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\LE\MT\MT\Incentive\Ket Qua Final\"/>
    </mc:Choice>
  </mc:AlternateContent>
  <bookViews>
    <workbookView xWindow="0" yWindow="0" windowWidth="20490" windowHeight="7755" firstSheet="1" activeTab="1"/>
  </bookViews>
  <sheets>
    <sheet name="MT" sheetId="1" state="hidden" r:id="rId1"/>
    <sheet name="MT-ky" sheetId="13" r:id="rId2"/>
    <sheet name="Giai thich sell in" sheetId="11" r:id="rId3"/>
    <sheet name="Data In.." sheetId="12" r:id="rId4"/>
    <sheet name="KQ audit" sheetId="3" state="hidden" r:id="rId5"/>
    <sheet name="Sheet1" sheetId="4" r:id="rId6"/>
    <sheet name="Data In" sheetId="5" r:id="rId7"/>
    <sheet name="sell in Direct-S" sheetId="6" r:id="rId8"/>
    <sheet name="Lien Hiep" sheetId="7" state="hidden" r:id="rId9"/>
    <sheet name="sell in coop MTE" sheetId="8" state="hidden" r:id="rId10"/>
    <sheet name="sell in Big C,Lotte North" sheetId="9" r:id="rId11"/>
  </sheets>
  <externalReferences>
    <externalReference r:id="rId12"/>
    <externalReference r:id="rId13"/>
  </externalReferences>
  <definedNames>
    <definedName name="_xlnm._FilterDatabase" localSheetId="6" hidden="1">'Data In'!$A$3:$AF$852</definedName>
    <definedName name="_xlnm._FilterDatabase" localSheetId="3" hidden="1">'Data In..'!$A$3:$AH$49</definedName>
    <definedName name="_xlnm._FilterDatabase" localSheetId="4" hidden="1">'KQ audit'!$A$2:$J$252</definedName>
    <definedName name="_xlnm._FilterDatabase" localSheetId="8" hidden="1">'Lien Hiep'!$A$1:$U$114</definedName>
    <definedName name="_xlnm._FilterDatabase" localSheetId="0" hidden="1">MT!$A$5:$Z$19</definedName>
    <definedName name="_xlnm._FilterDatabase" localSheetId="1" hidden="1">'MT-ky'!$A$5:$S$19</definedName>
    <definedName name="_xlnm._FilterDatabase" localSheetId="10" hidden="1">'sell in Big C,Lotte North'!$E$3:$G$25</definedName>
    <definedName name="_xlnm._FilterDatabase" localSheetId="7" hidden="1">'sell in Direct-S'!$A$1:$K$411</definedName>
    <definedName name="_xlnm.Print_Area" localSheetId="0">MT!$A$1:$Y$65</definedName>
    <definedName name="_xlnm.Print_Area" localSheetId="1">'MT-ky'!$A$1:$S$62</definedName>
    <definedName name="_xlnm.Print_Titles" localSheetId="1">'MT-ky'!$43:$44</definedName>
  </definedNames>
  <calcPr calcId="152511"/>
</workbook>
</file>

<file path=xl/calcChain.xml><?xml version="1.0" encoding="utf-8"?>
<calcChain xmlns="http://schemas.openxmlformats.org/spreadsheetml/2006/main">
  <c r="I45" i="13" l="1"/>
  <c r="M49" i="13" l="1"/>
  <c r="N48" i="13"/>
  <c r="N49" i="13" s="1"/>
  <c r="B48" i="13"/>
  <c r="O47" i="13"/>
  <c r="Q47" i="13" s="1"/>
  <c r="I46" i="13"/>
  <c r="H46" i="13"/>
  <c r="M46" i="13" s="1"/>
  <c r="E46" i="13"/>
  <c r="D46" i="13"/>
  <c r="B46" i="13"/>
  <c r="N45" i="13"/>
  <c r="H45" i="13"/>
  <c r="M45" i="13" s="1"/>
  <c r="E45" i="13"/>
  <c r="D45" i="13"/>
  <c r="N41" i="13"/>
  <c r="M41" i="13"/>
  <c r="I41" i="13"/>
  <c r="I48" i="13" s="1"/>
  <c r="I49" i="13" s="1"/>
  <c r="H41" i="13"/>
  <c r="H48" i="13" s="1"/>
  <c r="H49" i="13" s="1"/>
  <c r="E41" i="13"/>
  <c r="D41" i="13"/>
  <c r="D48" i="13" s="1"/>
  <c r="O40" i="13"/>
  <c r="P40" i="13" s="1"/>
  <c r="J40" i="13"/>
  <c r="L40" i="13" s="1"/>
  <c r="F40" i="13"/>
  <c r="G40" i="13" s="1"/>
  <c r="O39" i="13"/>
  <c r="P39" i="13" s="1"/>
  <c r="J39" i="13"/>
  <c r="K39" i="13" s="1"/>
  <c r="F39" i="13"/>
  <c r="G39" i="13" s="1"/>
  <c r="O38" i="13"/>
  <c r="P38" i="13" s="1"/>
  <c r="J38" i="13"/>
  <c r="L38" i="13" s="1"/>
  <c r="F38" i="13"/>
  <c r="G38" i="13" s="1"/>
  <c r="O37" i="13"/>
  <c r="P37" i="13" s="1"/>
  <c r="J37" i="13"/>
  <c r="L37" i="13" s="1"/>
  <c r="F37" i="13"/>
  <c r="G37" i="13" s="1"/>
  <c r="O36" i="13"/>
  <c r="P36" i="13" s="1"/>
  <c r="J36" i="13"/>
  <c r="L36" i="13" s="1"/>
  <c r="F36" i="13"/>
  <c r="G36" i="13" s="1"/>
  <c r="O35" i="13"/>
  <c r="P35" i="13" s="1"/>
  <c r="J35" i="13"/>
  <c r="K35" i="13" s="1"/>
  <c r="F35" i="13"/>
  <c r="G35" i="13" s="1"/>
  <c r="O34" i="13"/>
  <c r="P34" i="13" s="1"/>
  <c r="J34" i="13"/>
  <c r="L34" i="13" s="1"/>
  <c r="F34" i="13"/>
  <c r="G34" i="13" s="1"/>
  <c r="N30" i="13"/>
  <c r="M30" i="13"/>
  <c r="I30" i="13"/>
  <c r="I47" i="13" s="1"/>
  <c r="H30" i="13"/>
  <c r="H47" i="13" s="1"/>
  <c r="E30" i="13"/>
  <c r="D30" i="13"/>
  <c r="O29" i="13"/>
  <c r="P29" i="13" s="1"/>
  <c r="J29" i="13"/>
  <c r="L29" i="13" s="1"/>
  <c r="F29" i="13"/>
  <c r="G29" i="13" s="1"/>
  <c r="O28" i="13"/>
  <c r="P28" i="13" s="1"/>
  <c r="J28" i="13"/>
  <c r="K28" i="13" s="1"/>
  <c r="F28" i="13"/>
  <c r="G28" i="13" s="1"/>
  <c r="O27" i="13"/>
  <c r="P27" i="13" s="1"/>
  <c r="J27" i="13"/>
  <c r="K27" i="13" s="1"/>
  <c r="F27" i="13"/>
  <c r="G27" i="13" s="1"/>
  <c r="O26" i="13"/>
  <c r="P26" i="13" s="1"/>
  <c r="J26" i="13"/>
  <c r="L26" i="13" s="1"/>
  <c r="F26" i="13"/>
  <c r="G26" i="13" s="1"/>
  <c r="O25" i="13"/>
  <c r="P25" i="13" s="1"/>
  <c r="J25" i="13"/>
  <c r="K25" i="13" s="1"/>
  <c r="F25" i="13"/>
  <c r="G25" i="13" s="1"/>
  <c r="O24" i="13"/>
  <c r="P24" i="13" s="1"/>
  <c r="J24" i="13"/>
  <c r="L24" i="13" s="1"/>
  <c r="F24" i="13"/>
  <c r="G24" i="13" s="1"/>
  <c r="O23" i="13"/>
  <c r="P23" i="13" s="1"/>
  <c r="J23" i="13"/>
  <c r="K23" i="13" s="1"/>
  <c r="F23" i="13"/>
  <c r="G23" i="13" s="1"/>
  <c r="O22" i="13"/>
  <c r="P22" i="13" s="1"/>
  <c r="J22" i="13"/>
  <c r="L22" i="13" s="1"/>
  <c r="F22" i="13"/>
  <c r="G22" i="13" s="1"/>
  <c r="N18" i="13"/>
  <c r="M18" i="13"/>
  <c r="I18" i="13"/>
  <c r="H18" i="13"/>
  <c r="E18" i="13"/>
  <c r="D18" i="13"/>
  <c r="O17" i="13"/>
  <c r="P17" i="13" s="1"/>
  <c r="J17" i="13"/>
  <c r="L17" i="13" s="1"/>
  <c r="F17" i="13"/>
  <c r="G17" i="13" s="1"/>
  <c r="O16" i="13"/>
  <c r="P16" i="13" s="1"/>
  <c r="J16" i="13"/>
  <c r="K16" i="13" s="1"/>
  <c r="F16" i="13"/>
  <c r="G16" i="13" s="1"/>
  <c r="O15" i="13"/>
  <c r="J15" i="13"/>
  <c r="K15" i="13" s="1"/>
  <c r="F15" i="13"/>
  <c r="O14" i="13"/>
  <c r="J14" i="13"/>
  <c r="L14" i="13" s="1"/>
  <c r="F14" i="13"/>
  <c r="O13" i="13"/>
  <c r="P13" i="13" s="1"/>
  <c r="J13" i="13"/>
  <c r="K13" i="13" s="1"/>
  <c r="F13" i="13"/>
  <c r="G13" i="13" s="1"/>
  <c r="O12" i="13"/>
  <c r="P12" i="13" s="1"/>
  <c r="J12" i="13"/>
  <c r="K12" i="13" s="1"/>
  <c r="F12" i="13"/>
  <c r="G12" i="13" s="1"/>
  <c r="O11" i="13"/>
  <c r="P11" i="13" s="1"/>
  <c r="J11" i="13"/>
  <c r="K11" i="13" s="1"/>
  <c r="F11" i="13"/>
  <c r="G11" i="13" s="1"/>
  <c r="O10" i="13"/>
  <c r="P10" i="13" s="1"/>
  <c r="J10" i="13"/>
  <c r="L10" i="13" s="1"/>
  <c r="F10" i="13"/>
  <c r="G10" i="13" s="1"/>
  <c r="O9" i="13"/>
  <c r="P9" i="13" s="1"/>
  <c r="J9" i="13"/>
  <c r="L9" i="13" s="1"/>
  <c r="F9" i="13"/>
  <c r="G9" i="13" s="1"/>
  <c r="O8" i="13"/>
  <c r="P8" i="13" s="1"/>
  <c r="J8" i="13"/>
  <c r="L8" i="13" s="1"/>
  <c r="F8" i="13"/>
  <c r="G8" i="13" s="1"/>
  <c r="O7" i="13"/>
  <c r="P7" i="13" s="1"/>
  <c r="J7" i="13"/>
  <c r="L7" i="13" s="1"/>
  <c r="F7" i="13"/>
  <c r="G7" i="13" s="1"/>
  <c r="O6" i="13"/>
  <c r="P6" i="13" s="1"/>
  <c r="J6" i="13"/>
  <c r="L6" i="13" s="1"/>
  <c r="F6" i="13"/>
  <c r="G6" i="13" s="1"/>
  <c r="M50" i="13" l="1"/>
  <c r="M51" i="13" s="1"/>
  <c r="L39" i="13"/>
  <c r="J49" i="13"/>
  <c r="L49" i="13" s="1"/>
  <c r="K7" i="13"/>
  <c r="Q7" i="13" s="1"/>
  <c r="R7" i="13" s="1"/>
  <c r="K17" i="13"/>
  <c r="Q17" i="13" s="1"/>
  <c r="R17" i="13" s="1"/>
  <c r="O18" i="13"/>
  <c r="J30" i="13"/>
  <c r="J18" i="13"/>
  <c r="E47" i="13"/>
  <c r="L13" i="13"/>
  <c r="L25" i="13"/>
  <c r="D47" i="13"/>
  <c r="L28" i="13"/>
  <c r="K29" i="13"/>
  <c r="Q29" i="13" s="1"/>
  <c r="R29" i="13" s="1"/>
  <c r="L35" i="13"/>
  <c r="Q35" i="13" s="1"/>
  <c r="R35" i="13" s="1"/>
  <c r="F41" i="13"/>
  <c r="L11" i="13"/>
  <c r="J45" i="13"/>
  <c r="L45" i="13" s="1"/>
  <c r="J46" i="13"/>
  <c r="K46" i="13" s="1"/>
  <c r="J47" i="13"/>
  <c r="Q11" i="13"/>
  <c r="R11" i="13" s="1"/>
  <c r="P41" i="13"/>
  <c r="K6" i="13"/>
  <c r="Q6" i="13" s="1"/>
  <c r="R6" i="13" s="1"/>
  <c r="K10" i="13"/>
  <c r="Q10" i="13" s="1"/>
  <c r="R10" i="13" s="1"/>
  <c r="L15" i="13"/>
  <c r="P30" i="13"/>
  <c r="L23" i="13"/>
  <c r="F30" i="13"/>
  <c r="K36" i="13"/>
  <c r="Q36" i="13" s="1"/>
  <c r="R36" i="13" s="1"/>
  <c r="K40" i="13"/>
  <c r="Q40" i="13" s="1"/>
  <c r="R40" i="13" s="1"/>
  <c r="J41" i="13"/>
  <c r="K9" i="13"/>
  <c r="Q9" i="13" s="1"/>
  <c r="R9" i="13" s="1"/>
  <c r="K14" i="13"/>
  <c r="Q14" i="13" s="1"/>
  <c r="R14" i="13" s="1"/>
  <c r="K24" i="13"/>
  <c r="Q24" i="13" s="1"/>
  <c r="R24" i="13" s="1"/>
  <c r="L27" i="13"/>
  <c r="Q27" i="13" s="1"/>
  <c r="R27" i="13" s="1"/>
  <c r="K37" i="13"/>
  <c r="Q37" i="13" s="1"/>
  <c r="R37" i="13" s="1"/>
  <c r="O45" i="13"/>
  <c r="P45" i="13" s="1"/>
  <c r="P47" i="13"/>
  <c r="K8" i="13"/>
  <c r="Q8" i="13" s="1"/>
  <c r="R8" i="13" s="1"/>
  <c r="L16" i="13"/>
  <c r="Q16" i="13" s="1"/>
  <c r="R16" i="13" s="1"/>
  <c r="F18" i="13"/>
  <c r="O41" i="13"/>
  <c r="O48" i="13"/>
  <c r="G41" i="13"/>
  <c r="G18" i="13"/>
  <c r="P18" i="13"/>
  <c r="G30" i="13"/>
  <c r="N46" i="13"/>
  <c r="L12" i="13"/>
  <c r="K26" i="13"/>
  <c r="Q26" i="13" s="1"/>
  <c r="R26" i="13" s="1"/>
  <c r="K34" i="13"/>
  <c r="Q34" i="13" s="1"/>
  <c r="R34" i="13" s="1"/>
  <c r="H50" i="13"/>
  <c r="H51" i="13" s="1"/>
  <c r="O49" i="13"/>
  <c r="P49" i="13" s="1"/>
  <c r="I50" i="13"/>
  <c r="O30" i="13"/>
  <c r="Q39" i="13"/>
  <c r="R39" i="13" s="1"/>
  <c r="F46" i="13"/>
  <c r="G46" i="13" s="1"/>
  <c r="K22" i="13"/>
  <c r="Q22" i="13" s="1"/>
  <c r="R22" i="13" s="1"/>
  <c r="K38" i="13"/>
  <c r="Q38" i="13" s="1"/>
  <c r="R38" i="13" s="1"/>
  <c r="E48" i="13"/>
  <c r="F48" i="13" s="1"/>
  <c r="G48" i="13" s="1"/>
  <c r="F45" i="13"/>
  <c r="G45" i="13" s="1"/>
  <c r="J48" i="13"/>
  <c r="J27" i="11"/>
  <c r="I27" i="9"/>
  <c r="I23" i="11"/>
  <c r="T52" i="12"/>
  <c r="R41" i="13" l="1"/>
  <c r="L41" i="13"/>
  <c r="K49" i="13"/>
  <c r="R49" i="13" s="1"/>
  <c r="Q45" i="13"/>
  <c r="Q25" i="13"/>
  <c r="R25" i="13" s="1"/>
  <c r="Q13" i="13"/>
  <c r="R13" i="13" s="1"/>
  <c r="K45" i="13"/>
  <c r="Q28" i="13"/>
  <c r="R28" i="13" s="1"/>
  <c r="L46" i="13"/>
  <c r="F47" i="13"/>
  <c r="G47" i="13" s="1"/>
  <c r="D51" i="13"/>
  <c r="Q23" i="13"/>
  <c r="R23" i="13" s="1"/>
  <c r="Q15" i="13"/>
  <c r="R15" i="13" s="1"/>
  <c r="L18" i="13"/>
  <c r="J50" i="13"/>
  <c r="L50" i="13" s="1"/>
  <c r="K47" i="13"/>
  <c r="L47" i="13"/>
  <c r="K18" i="13"/>
  <c r="I51" i="13"/>
  <c r="L30" i="13"/>
  <c r="Q48" i="13"/>
  <c r="P48" i="13"/>
  <c r="K50" i="13"/>
  <c r="L48" i="13"/>
  <c r="K48" i="13"/>
  <c r="K30" i="13"/>
  <c r="E51" i="13"/>
  <c r="Q12" i="13"/>
  <c r="R12" i="13" s="1"/>
  <c r="O46" i="13"/>
  <c r="N50" i="13"/>
  <c r="Q41" i="13"/>
  <c r="K41" i="13"/>
  <c r="D13" i="11"/>
  <c r="D15" i="11"/>
  <c r="D14" i="11"/>
  <c r="D9" i="11"/>
  <c r="D8" i="11"/>
  <c r="D10" i="11" s="1"/>
  <c r="AH49" i="12"/>
  <c r="AF49" i="12"/>
  <c r="AE49" i="12"/>
  <c r="Z49" i="12" s="1"/>
  <c r="AD49" i="12"/>
  <c r="AC49" i="12"/>
  <c r="AB49" i="12"/>
  <c r="AA49" i="12"/>
  <c r="AH48" i="12"/>
  <c r="AF48" i="12"/>
  <c r="AE48" i="12"/>
  <c r="AD48" i="12"/>
  <c r="AC48" i="12"/>
  <c r="AB48" i="12"/>
  <c r="AA48" i="12"/>
  <c r="Z48" i="12"/>
  <c r="AH47" i="12"/>
  <c r="AF47" i="12"/>
  <c r="AE47" i="12"/>
  <c r="Z47" i="12" s="1"/>
  <c r="AD47" i="12"/>
  <c r="AC47" i="12"/>
  <c r="AB47" i="12"/>
  <c r="AA47" i="12"/>
  <c r="AH46" i="12"/>
  <c r="AF46" i="12"/>
  <c r="AG46" i="12" s="1"/>
  <c r="AE46" i="12"/>
  <c r="AD46" i="12"/>
  <c r="AC46" i="12"/>
  <c r="AB46" i="12"/>
  <c r="AA46" i="12"/>
  <c r="Z46" i="12"/>
  <c r="AH45" i="12"/>
  <c r="AF45" i="12"/>
  <c r="AE45" i="12"/>
  <c r="Z45" i="12" s="1"/>
  <c r="AD45" i="12"/>
  <c r="AC45" i="12"/>
  <c r="AB45" i="12"/>
  <c r="AA45" i="12"/>
  <c r="AH44" i="12"/>
  <c r="AF44" i="12"/>
  <c r="AE44" i="12"/>
  <c r="Z44" i="12" s="1"/>
  <c r="AD44" i="12"/>
  <c r="AC44" i="12"/>
  <c r="AB44" i="12"/>
  <c r="AA44" i="12"/>
  <c r="AH43" i="12"/>
  <c r="AF43" i="12"/>
  <c r="AE43" i="12"/>
  <c r="Z43" i="12" s="1"/>
  <c r="AD43" i="12"/>
  <c r="AC43" i="12"/>
  <c r="AB43" i="12"/>
  <c r="AA43" i="12"/>
  <c r="AH42" i="12"/>
  <c r="AF42" i="12"/>
  <c r="AE42" i="12"/>
  <c r="AD42" i="12"/>
  <c r="AC42" i="12"/>
  <c r="AB42" i="12"/>
  <c r="AA42" i="12"/>
  <c r="Z42" i="12"/>
  <c r="AH41" i="12"/>
  <c r="AF41" i="12"/>
  <c r="AE41" i="12"/>
  <c r="Z41" i="12" s="1"/>
  <c r="AD41" i="12"/>
  <c r="AC41" i="12"/>
  <c r="AB41" i="12"/>
  <c r="AA41" i="12"/>
  <c r="AH40" i="12"/>
  <c r="AF40" i="12"/>
  <c r="AE40" i="12"/>
  <c r="AD40" i="12"/>
  <c r="AC40" i="12"/>
  <c r="AB40" i="12"/>
  <c r="AA40" i="12"/>
  <c r="Z40" i="12"/>
  <c r="AH39" i="12"/>
  <c r="AF39" i="12"/>
  <c r="AE39" i="12"/>
  <c r="Z39" i="12" s="1"/>
  <c r="AD39" i="12"/>
  <c r="AC39" i="12"/>
  <c r="AB39" i="12"/>
  <c r="AA39" i="12"/>
  <c r="AH38" i="12"/>
  <c r="AF38" i="12"/>
  <c r="AG38" i="12" s="1"/>
  <c r="AE38" i="12"/>
  <c r="AD38" i="12"/>
  <c r="AC38" i="12"/>
  <c r="AB38" i="12"/>
  <c r="AA38" i="12"/>
  <c r="Z38" i="12"/>
  <c r="AH37" i="12"/>
  <c r="AF37" i="12"/>
  <c r="AE37" i="12"/>
  <c r="Z37" i="12" s="1"/>
  <c r="AD37" i="12"/>
  <c r="AC37" i="12"/>
  <c r="AB37" i="12"/>
  <c r="AA37" i="12"/>
  <c r="AH36" i="12"/>
  <c r="AF36" i="12"/>
  <c r="AE36" i="12"/>
  <c r="Z36" i="12" s="1"/>
  <c r="AD36" i="12"/>
  <c r="AC36" i="12"/>
  <c r="AB36" i="12"/>
  <c r="AA36" i="12"/>
  <c r="AH35" i="12"/>
  <c r="AF35" i="12"/>
  <c r="AE35" i="12"/>
  <c r="Z35" i="12" s="1"/>
  <c r="AD35" i="12"/>
  <c r="AC35" i="12"/>
  <c r="AB35" i="12"/>
  <c r="AA35" i="12"/>
  <c r="AH34" i="12"/>
  <c r="AF34" i="12"/>
  <c r="AE34" i="12"/>
  <c r="AD34" i="12"/>
  <c r="AC34" i="12"/>
  <c r="AB34" i="12"/>
  <c r="AA34" i="12"/>
  <c r="Z34" i="12"/>
  <c r="AH33" i="12"/>
  <c r="AF33" i="12"/>
  <c r="AE33" i="12"/>
  <c r="AD33" i="12"/>
  <c r="AC33" i="12"/>
  <c r="AB33" i="12"/>
  <c r="AA33" i="12"/>
  <c r="Z33" i="12"/>
  <c r="AH32" i="12"/>
  <c r="AF32" i="12"/>
  <c r="AE32" i="12"/>
  <c r="AD32" i="12"/>
  <c r="AC32" i="12"/>
  <c r="AB32" i="12"/>
  <c r="AA32" i="12"/>
  <c r="Z32" i="12"/>
  <c r="AH31" i="12"/>
  <c r="AF31" i="12"/>
  <c r="AE31" i="12"/>
  <c r="AD31" i="12"/>
  <c r="AC31" i="12"/>
  <c r="AB31" i="12"/>
  <c r="AA31" i="12"/>
  <c r="Z31" i="12"/>
  <c r="AH30" i="12"/>
  <c r="AF30" i="12"/>
  <c r="AE30" i="12"/>
  <c r="AD30" i="12"/>
  <c r="AC30" i="12"/>
  <c r="AB30" i="12"/>
  <c r="AA30" i="12"/>
  <c r="Z30" i="12"/>
  <c r="AH29" i="12"/>
  <c r="AF29" i="12"/>
  <c r="AE29" i="12"/>
  <c r="AD29" i="12"/>
  <c r="AC29" i="12"/>
  <c r="AB29" i="12"/>
  <c r="AA29" i="12"/>
  <c r="Z29" i="12"/>
  <c r="AH28" i="12"/>
  <c r="AF28" i="12"/>
  <c r="AE28" i="12"/>
  <c r="AD28" i="12"/>
  <c r="AC28" i="12"/>
  <c r="AB28" i="12"/>
  <c r="AA28" i="12"/>
  <c r="Z28" i="12"/>
  <c r="AH27" i="12"/>
  <c r="AF27" i="12"/>
  <c r="AE27" i="12"/>
  <c r="AD27" i="12"/>
  <c r="AC27" i="12"/>
  <c r="AB27" i="12"/>
  <c r="AA27" i="12"/>
  <c r="Z27" i="12"/>
  <c r="AH26" i="12"/>
  <c r="AF26" i="12"/>
  <c r="AE26" i="12"/>
  <c r="AD26" i="12"/>
  <c r="AC26" i="12"/>
  <c r="AB26" i="12"/>
  <c r="AA26" i="12"/>
  <c r="Z26" i="12"/>
  <c r="AH25" i="12"/>
  <c r="AF25" i="12"/>
  <c r="AE25" i="12"/>
  <c r="AD25" i="12"/>
  <c r="AC25" i="12"/>
  <c r="AB25" i="12"/>
  <c r="AA25" i="12"/>
  <c r="Z25" i="12"/>
  <c r="AH24" i="12"/>
  <c r="AF24" i="12"/>
  <c r="AE24" i="12"/>
  <c r="AD24" i="12"/>
  <c r="AC24" i="12"/>
  <c r="AB24" i="12"/>
  <c r="AA24" i="12"/>
  <c r="Z24" i="12"/>
  <c r="AH23" i="12"/>
  <c r="AF23" i="12"/>
  <c r="AE23" i="12"/>
  <c r="AD23" i="12"/>
  <c r="AC23" i="12"/>
  <c r="AB23" i="12"/>
  <c r="AA23" i="12"/>
  <c r="Z23" i="12"/>
  <c r="AH22" i="12"/>
  <c r="AF22" i="12"/>
  <c r="AE22" i="12"/>
  <c r="AD22" i="12"/>
  <c r="AC22" i="12"/>
  <c r="AB22" i="12"/>
  <c r="AA22" i="12"/>
  <c r="Z22" i="12"/>
  <c r="AH21" i="12"/>
  <c r="AF21" i="12"/>
  <c r="AE21" i="12"/>
  <c r="AD21" i="12"/>
  <c r="AC21" i="12"/>
  <c r="AB21" i="12"/>
  <c r="AA21" i="12"/>
  <c r="Z21" i="12"/>
  <c r="AH20" i="12"/>
  <c r="AF20" i="12"/>
  <c r="AE20" i="12"/>
  <c r="AD20" i="12"/>
  <c r="AC20" i="12"/>
  <c r="AB20" i="12"/>
  <c r="AA20" i="12"/>
  <c r="Z20" i="12"/>
  <c r="AH19" i="12"/>
  <c r="AF19" i="12"/>
  <c r="AE19" i="12"/>
  <c r="AD19" i="12"/>
  <c r="AC19" i="12"/>
  <c r="AB19" i="12"/>
  <c r="AA19" i="12"/>
  <c r="Z19" i="12"/>
  <c r="AH18" i="12"/>
  <c r="AF18" i="12"/>
  <c r="AE18" i="12"/>
  <c r="AD18" i="12"/>
  <c r="AC18" i="12"/>
  <c r="AB18" i="12"/>
  <c r="AA18" i="12"/>
  <c r="Z18" i="12"/>
  <c r="AH17" i="12"/>
  <c r="AF17" i="12"/>
  <c r="AE17" i="12"/>
  <c r="AD17" i="12"/>
  <c r="AC17" i="12"/>
  <c r="AB17" i="12"/>
  <c r="AA17" i="12"/>
  <c r="Z17" i="12"/>
  <c r="AH16" i="12"/>
  <c r="AF16" i="12"/>
  <c r="AE16" i="12"/>
  <c r="AD16" i="12"/>
  <c r="AC16" i="12"/>
  <c r="AB16" i="12"/>
  <c r="AA16" i="12"/>
  <c r="Z16" i="12"/>
  <c r="AH15" i="12"/>
  <c r="AF15" i="12"/>
  <c r="AE15" i="12"/>
  <c r="AD15" i="12"/>
  <c r="AC15" i="12"/>
  <c r="AB15" i="12"/>
  <c r="AA15" i="12"/>
  <c r="Z15" i="12"/>
  <c r="AH14" i="12"/>
  <c r="AF14" i="12"/>
  <c r="AE14" i="12"/>
  <c r="AD14" i="12"/>
  <c r="AC14" i="12"/>
  <c r="AB14" i="12"/>
  <c r="AA14" i="12"/>
  <c r="Z14" i="12"/>
  <c r="AH13" i="12"/>
  <c r="AF13" i="12"/>
  <c r="AE13" i="12"/>
  <c r="AD13" i="12"/>
  <c r="AC13" i="12"/>
  <c r="AB13" i="12"/>
  <c r="AA13" i="12"/>
  <c r="Z13" i="12"/>
  <c r="AH12" i="12"/>
  <c r="AF12" i="12"/>
  <c r="AE12" i="12"/>
  <c r="AD12" i="12"/>
  <c r="AC12" i="12"/>
  <c r="AB12" i="12"/>
  <c r="AA12" i="12"/>
  <c r="Z12" i="12"/>
  <c r="AH11" i="12"/>
  <c r="AF11" i="12"/>
  <c r="AE11" i="12"/>
  <c r="AD11" i="12"/>
  <c r="AC11" i="12"/>
  <c r="AB11" i="12"/>
  <c r="AA11" i="12"/>
  <c r="Z11" i="12"/>
  <c r="AH10" i="12"/>
  <c r="AF10" i="12"/>
  <c r="AE10" i="12"/>
  <c r="AD10" i="12"/>
  <c r="AC10" i="12"/>
  <c r="AB10" i="12"/>
  <c r="AA10" i="12"/>
  <c r="Z10" i="12"/>
  <c r="AH9" i="12"/>
  <c r="AF9" i="12"/>
  <c r="AE9" i="12"/>
  <c r="AD9" i="12"/>
  <c r="AC9" i="12"/>
  <c r="AB9" i="12"/>
  <c r="AA9" i="12"/>
  <c r="Z9" i="12"/>
  <c r="AH8" i="12"/>
  <c r="AF8" i="12"/>
  <c r="AE8" i="12"/>
  <c r="AD8" i="12"/>
  <c r="AC8" i="12"/>
  <c r="AB8" i="12"/>
  <c r="AA8" i="12"/>
  <c r="Z8" i="12"/>
  <c r="AH7" i="12"/>
  <c r="AF7" i="12"/>
  <c r="AE7" i="12"/>
  <c r="AD7" i="12"/>
  <c r="AC7" i="12"/>
  <c r="AB7" i="12"/>
  <c r="AA7" i="12"/>
  <c r="Z7" i="12"/>
  <c r="AH6" i="12"/>
  <c r="AF6" i="12"/>
  <c r="AE6" i="12"/>
  <c r="AD6" i="12"/>
  <c r="AC6" i="12"/>
  <c r="AB6" i="12"/>
  <c r="AA6" i="12"/>
  <c r="Z6" i="12"/>
  <c r="AH5" i="12"/>
  <c r="AF5" i="12"/>
  <c r="AE5" i="12"/>
  <c r="Z5" i="12" s="1"/>
  <c r="AD5" i="12"/>
  <c r="AC5" i="12"/>
  <c r="AB5" i="12"/>
  <c r="AA5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H4" i="12"/>
  <c r="AF4" i="12"/>
  <c r="AE4" i="12"/>
  <c r="Z4" i="12" s="1"/>
  <c r="AD4" i="12"/>
  <c r="AC4" i="12"/>
  <c r="AB4" i="12"/>
  <c r="AA4" i="12"/>
  <c r="T2" i="12"/>
  <c r="U1" i="12" s="1"/>
  <c r="P2" i="12"/>
  <c r="T1" i="12"/>
  <c r="J51" i="13" l="1"/>
  <c r="I54" i="13"/>
  <c r="R45" i="13"/>
  <c r="R48" i="13"/>
  <c r="R18" i="13"/>
  <c r="R30" i="13"/>
  <c r="G51" i="13"/>
  <c r="R47" i="13"/>
  <c r="Q30" i="13"/>
  <c r="F51" i="13"/>
  <c r="Q18" i="13"/>
  <c r="L51" i="13"/>
  <c r="Q46" i="13"/>
  <c r="Q51" i="13" s="1"/>
  <c r="P46" i="13"/>
  <c r="K51" i="13"/>
  <c r="O50" i="13"/>
  <c r="P50" i="13" s="1"/>
  <c r="R50" i="13" s="1"/>
  <c r="N51" i="13"/>
  <c r="O51" i="13" s="1"/>
  <c r="AG36" i="12"/>
  <c r="AG44" i="12"/>
  <c r="AG34" i="12"/>
  <c r="AG42" i="12"/>
  <c r="AG40" i="12"/>
  <c r="AG48" i="12"/>
  <c r="AG4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5" i="12"/>
  <c r="AG37" i="12"/>
  <c r="AG39" i="12"/>
  <c r="AG41" i="12"/>
  <c r="AG43" i="12"/>
  <c r="AG45" i="12"/>
  <c r="AG47" i="12"/>
  <c r="AG49" i="12"/>
  <c r="AG5" i="12"/>
  <c r="Q49" i="1"/>
  <c r="P49" i="1"/>
  <c r="L49" i="1"/>
  <c r="K49" i="1"/>
  <c r="G49" i="1"/>
  <c r="P24" i="1"/>
  <c r="L24" i="1"/>
  <c r="K24" i="1"/>
  <c r="G24" i="1"/>
  <c r="I47" i="1"/>
  <c r="R46" i="13" l="1"/>
  <c r="R51" i="13" s="1"/>
  <c r="P51" i="13"/>
  <c r="H52" i="1"/>
  <c r="I52" i="1"/>
  <c r="N52" i="1"/>
  <c r="M52" i="1"/>
  <c r="H51" i="1"/>
  <c r="N50" i="1"/>
  <c r="N47" i="1"/>
  <c r="M47" i="1"/>
  <c r="I50" i="1"/>
  <c r="H50" i="1"/>
  <c r="I49" i="1"/>
  <c r="H49" i="1"/>
  <c r="I48" i="1"/>
  <c r="M48" i="1" l="1"/>
  <c r="J47" i="1"/>
  <c r="H48" i="1"/>
  <c r="H47" i="1"/>
  <c r="D50" i="1"/>
  <c r="D49" i="1"/>
  <c r="D48" i="1"/>
  <c r="D47" i="1"/>
  <c r="H18" i="1"/>
  <c r="Q14" i="1"/>
  <c r="Q15" i="1"/>
  <c r="Q16" i="1"/>
  <c r="Q17" i="1"/>
  <c r="Q7" i="1"/>
  <c r="Q8" i="1"/>
  <c r="Q9" i="1"/>
  <c r="Q10" i="1"/>
  <c r="Q11" i="1"/>
  <c r="Q12" i="1"/>
  <c r="Q13" i="1"/>
  <c r="Q6" i="1"/>
  <c r="J6" i="1"/>
  <c r="J15" i="1" l="1"/>
  <c r="J14" i="1"/>
  <c r="K25" i="9" l="1"/>
  <c r="K21" i="9"/>
  <c r="Q24" i="1" l="1"/>
  <c r="H25" i="9" l="1"/>
  <c r="H21" i="9"/>
  <c r="B20" i="8"/>
  <c r="D18" i="8" s="1"/>
  <c r="F18" i="8" s="1"/>
  <c r="D19" i="8"/>
  <c r="F19" i="8" s="1"/>
  <c r="B13" i="8"/>
  <c r="D12" i="8" s="1"/>
  <c r="F12" i="8" s="1"/>
  <c r="D9" i="8"/>
  <c r="F9" i="8" s="1"/>
  <c r="D8" i="8"/>
  <c r="F8" i="8" s="1"/>
  <c r="D6" i="8"/>
  <c r="F6" i="8" s="1"/>
  <c r="L111" i="7"/>
  <c r="L114" i="7" s="1"/>
  <c r="K111" i="7"/>
  <c r="K114" i="7" s="1"/>
  <c r="J111" i="7"/>
  <c r="J114" i="7" s="1"/>
  <c r="I111" i="7"/>
  <c r="I114" i="7" s="1"/>
  <c r="H111" i="7"/>
  <c r="H114" i="7" s="1"/>
  <c r="G111" i="7"/>
  <c r="G114" i="7" s="1"/>
  <c r="F111" i="7"/>
  <c r="F114" i="7" s="1"/>
  <c r="E111" i="7"/>
  <c r="E114" i="7" s="1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N2" i="7"/>
  <c r="D4" i="8" l="1"/>
  <c r="F4" i="8" s="1"/>
  <c r="I4" i="8" s="1"/>
  <c r="D7" i="8"/>
  <c r="F7" i="8" s="1"/>
  <c r="D17" i="8"/>
  <c r="F17" i="8" s="1"/>
  <c r="D11" i="8"/>
  <c r="F11" i="8" s="1"/>
  <c r="D5" i="8"/>
  <c r="F5" i="8" s="1"/>
  <c r="I5" i="8" s="1"/>
  <c r="D10" i="8"/>
  <c r="F10" i="8" s="1"/>
  <c r="H8" i="8" l="1"/>
  <c r="K27" i="6" l="1"/>
  <c r="K26" i="6"/>
  <c r="K25" i="6"/>
  <c r="K24" i="6"/>
  <c r="K23" i="6"/>
  <c r="K22" i="6"/>
  <c r="K21" i="6"/>
  <c r="K20" i="6"/>
  <c r="K19" i="6"/>
  <c r="K18" i="6"/>
  <c r="K17" i="6"/>
  <c r="K16" i="6"/>
  <c r="I35" i="6"/>
  <c r="I34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8" i="6" l="1"/>
  <c r="H28" i="6"/>
  <c r="AF852" i="5"/>
  <c r="AD852" i="5"/>
  <c r="AE852" i="5" s="1"/>
  <c r="AC852" i="5"/>
  <c r="X852" i="5" s="1"/>
  <c r="AB852" i="5"/>
  <c r="AA852" i="5"/>
  <c r="Z852" i="5"/>
  <c r="Y852" i="5"/>
  <c r="AF851" i="5"/>
  <c r="AD851" i="5"/>
  <c r="AC851" i="5"/>
  <c r="X851" i="5" s="1"/>
  <c r="AB851" i="5"/>
  <c r="AA851" i="5"/>
  <c r="Z851" i="5"/>
  <c r="Y851" i="5"/>
  <c r="AF850" i="5"/>
  <c r="AD850" i="5"/>
  <c r="AE850" i="5" s="1"/>
  <c r="AC850" i="5"/>
  <c r="X850" i="5" s="1"/>
  <c r="AB850" i="5"/>
  <c r="AA850" i="5"/>
  <c r="Z850" i="5"/>
  <c r="Y850" i="5"/>
  <c r="AF849" i="5"/>
  <c r="AD849" i="5"/>
  <c r="AC849" i="5"/>
  <c r="X849" i="5" s="1"/>
  <c r="AB849" i="5"/>
  <c r="AA849" i="5"/>
  <c r="Z849" i="5"/>
  <c r="Y849" i="5"/>
  <c r="AF848" i="5"/>
  <c r="AD848" i="5"/>
  <c r="AC848" i="5"/>
  <c r="X848" i="5" s="1"/>
  <c r="AB848" i="5"/>
  <c r="AA848" i="5"/>
  <c r="Z848" i="5"/>
  <c r="Y848" i="5"/>
  <c r="AF847" i="5"/>
  <c r="AD847" i="5"/>
  <c r="AC847" i="5"/>
  <c r="X847" i="5" s="1"/>
  <c r="AB847" i="5"/>
  <c r="AA847" i="5"/>
  <c r="Z847" i="5"/>
  <c r="Y847" i="5"/>
  <c r="AF846" i="5"/>
  <c r="AD846" i="5"/>
  <c r="AE846" i="5" s="1"/>
  <c r="AC846" i="5"/>
  <c r="X846" i="5" s="1"/>
  <c r="AB846" i="5"/>
  <c r="AA846" i="5"/>
  <c r="Z846" i="5"/>
  <c r="Y846" i="5"/>
  <c r="AF845" i="5"/>
  <c r="AD845" i="5"/>
  <c r="AC845" i="5"/>
  <c r="X845" i="5" s="1"/>
  <c r="AB845" i="5"/>
  <c r="AA845" i="5"/>
  <c r="Z845" i="5"/>
  <c r="Y845" i="5"/>
  <c r="AF844" i="5"/>
  <c r="AD844" i="5"/>
  <c r="AC844" i="5"/>
  <c r="X844" i="5" s="1"/>
  <c r="AB844" i="5"/>
  <c r="AA844" i="5"/>
  <c r="Z844" i="5"/>
  <c r="Y844" i="5"/>
  <c r="AF843" i="5"/>
  <c r="AD843" i="5"/>
  <c r="AC843" i="5"/>
  <c r="X843" i="5" s="1"/>
  <c r="AB843" i="5"/>
  <c r="AA843" i="5"/>
  <c r="Z843" i="5"/>
  <c r="Y843" i="5"/>
  <c r="AF842" i="5"/>
  <c r="AE842" i="5"/>
  <c r="AD842" i="5"/>
  <c r="AC842" i="5"/>
  <c r="X842" i="5" s="1"/>
  <c r="AB842" i="5"/>
  <c r="AA842" i="5"/>
  <c r="Z842" i="5"/>
  <c r="Y842" i="5"/>
  <c r="AF841" i="5"/>
  <c r="AD841" i="5"/>
  <c r="AE841" i="5" s="1"/>
  <c r="AC841" i="5"/>
  <c r="X841" i="5" s="1"/>
  <c r="AB841" i="5"/>
  <c r="AA841" i="5"/>
  <c r="Z841" i="5"/>
  <c r="Y841" i="5"/>
  <c r="AF840" i="5"/>
  <c r="AD840" i="5"/>
  <c r="AC840" i="5"/>
  <c r="X840" i="5" s="1"/>
  <c r="AB840" i="5"/>
  <c r="AA840" i="5"/>
  <c r="Z840" i="5"/>
  <c r="Y840" i="5"/>
  <c r="AF839" i="5"/>
  <c r="AD839" i="5"/>
  <c r="AC839" i="5"/>
  <c r="X839" i="5" s="1"/>
  <c r="AB839" i="5"/>
  <c r="AA839" i="5"/>
  <c r="Z839" i="5"/>
  <c r="Y839" i="5"/>
  <c r="AF838" i="5"/>
  <c r="AD838" i="5"/>
  <c r="AC838" i="5"/>
  <c r="X838" i="5" s="1"/>
  <c r="AB838" i="5"/>
  <c r="AA838" i="5"/>
  <c r="Z838" i="5"/>
  <c r="Y838" i="5"/>
  <c r="AF837" i="5"/>
  <c r="AD837" i="5"/>
  <c r="AE837" i="5" s="1"/>
  <c r="AC837" i="5"/>
  <c r="X837" i="5" s="1"/>
  <c r="AB837" i="5"/>
  <c r="AA837" i="5"/>
  <c r="Z837" i="5"/>
  <c r="Y837" i="5"/>
  <c r="AF836" i="5"/>
  <c r="AD836" i="5"/>
  <c r="AC836" i="5"/>
  <c r="X836" i="5" s="1"/>
  <c r="AB836" i="5"/>
  <c r="AA836" i="5"/>
  <c r="Z836" i="5"/>
  <c r="Y836" i="5"/>
  <c r="AF835" i="5"/>
  <c r="AD835" i="5"/>
  <c r="AC835" i="5"/>
  <c r="X835" i="5" s="1"/>
  <c r="AB835" i="5"/>
  <c r="AA835" i="5"/>
  <c r="Z835" i="5"/>
  <c r="Y835" i="5"/>
  <c r="AF834" i="5"/>
  <c r="AD834" i="5"/>
  <c r="AC834" i="5"/>
  <c r="X834" i="5" s="1"/>
  <c r="AB834" i="5"/>
  <c r="AA834" i="5"/>
  <c r="Z834" i="5"/>
  <c r="Y834" i="5"/>
  <c r="AF833" i="5"/>
  <c r="AD833" i="5"/>
  <c r="AE833" i="5" s="1"/>
  <c r="AC833" i="5"/>
  <c r="X833" i="5" s="1"/>
  <c r="AB833" i="5"/>
  <c r="AA833" i="5"/>
  <c r="Z833" i="5"/>
  <c r="Y833" i="5"/>
  <c r="AF832" i="5"/>
  <c r="AD832" i="5"/>
  <c r="AC832" i="5"/>
  <c r="X832" i="5" s="1"/>
  <c r="AB832" i="5"/>
  <c r="AA832" i="5"/>
  <c r="Z832" i="5"/>
  <c r="Y832" i="5"/>
  <c r="AF831" i="5"/>
  <c r="AD831" i="5"/>
  <c r="AE831" i="5" s="1"/>
  <c r="AC831" i="5"/>
  <c r="X831" i="5" s="1"/>
  <c r="AB831" i="5"/>
  <c r="AA831" i="5"/>
  <c r="Z831" i="5"/>
  <c r="Y831" i="5"/>
  <c r="AF830" i="5"/>
  <c r="AD830" i="5"/>
  <c r="AC830" i="5"/>
  <c r="X830" i="5" s="1"/>
  <c r="AB830" i="5"/>
  <c r="AA830" i="5"/>
  <c r="Z830" i="5"/>
  <c r="Y830" i="5"/>
  <c r="AF829" i="5"/>
  <c r="AD829" i="5"/>
  <c r="AE829" i="5" s="1"/>
  <c r="AC829" i="5"/>
  <c r="X829" i="5" s="1"/>
  <c r="AB829" i="5"/>
  <c r="AA829" i="5"/>
  <c r="Z829" i="5"/>
  <c r="Y829" i="5"/>
  <c r="AF828" i="5"/>
  <c r="AD828" i="5"/>
  <c r="AC828" i="5"/>
  <c r="X828" i="5" s="1"/>
  <c r="AB828" i="5"/>
  <c r="AA828" i="5"/>
  <c r="Z828" i="5"/>
  <c r="Y828" i="5"/>
  <c r="AF827" i="5"/>
  <c r="AD827" i="5"/>
  <c r="AE827" i="5" s="1"/>
  <c r="AC827" i="5"/>
  <c r="X827" i="5" s="1"/>
  <c r="AB827" i="5"/>
  <c r="AA827" i="5"/>
  <c r="Z827" i="5"/>
  <c r="Y827" i="5"/>
  <c r="AF826" i="5"/>
  <c r="AD826" i="5"/>
  <c r="AE826" i="5" s="1"/>
  <c r="AC826" i="5"/>
  <c r="X826" i="5" s="1"/>
  <c r="AB826" i="5"/>
  <c r="AA826" i="5"/>
  <c r="Z826" i="5"/>
  <c r="Y826" i="5"/>
  <c r="AF825" i="5"/>
  <c r="AD825" i="5"/>
  <c r="AC825" i="5"/>
  <c r="X825" i="5" s="1"/>
  <c r="AB825" i="5"/>
  <c r="AA825" i="5"/>
  <c r="Z825" i="5"/>
  <c r="Y825" i="5"/>
  <c r="AF824" i="5"/>
  <c r="AD824" i="5"/>
  <c r="AC824" i="5"/>
  <c r="X824" i="5" s="1"/>
  <c r="AB824" i="5"/>
  <c r="AA824" i="5"/>
  <c r="Z824" i="5"/>
  <c r="Y824" i="5"/>
  <c r="AF823" i="5"/>
  <c r="AD823" i="5"/>
  <c r="AC823" i="5"/>
  <c r="X823" i="5" s="1"/>
  <c r="AB823" i="5"/>
  <c r="AA823" i="5"/>
  <c r="Z823" i="5"/>
  <c r="Y823" i="5"/>
  <c r="AF822" i="5"/>
  <c r="AD822" i="5"/>
  <c r="AE822" i="5" s="1"/>
  <c r="AC822" i="5"/>
  <c r="X822" i="5" s="1"/>
  <c r="AB822" i="5"/>
  <c r="AA822" i="5"/>
  <c r="Z822" i="5"/>
  <c r="Y822" i="5"/>
  <c r="AF821" i="5"/>
  <c r="AD821" i="5"/>
  <c r="AC821" i="5"/>
  <c r="X821" i="5" s="1"/>
  <c r="AB821" i="5"/>
  <c r="AA821" i="5"/>
  <c r="Z821" i="5"/>
  <c r="Y821" i="5"/>
  <c r="AF820" i="5"/>
  <c r="AD820" i="5"/>
  <c r="AE820" i="5" s="1"/>
  <c r="AC820" i="5"/>
  <c r="X820" i="5" s="1"/>
  <c r="AB820" i="5"/>
  <c r="AA820" i="5"/>
  <c r="Z820" i="5"/>
  <c r="Y820" i="5"/>
  <c r="AF819" i="5"/>
  <c r="AD819" i="5"/>
  <c r="AC819" i="5"/>
  <c r="X819" i="5" s="1"/>
  <c r="AB819" i="5"/>
  <c r="AA819" i="5"/>
  <c r="Z819" i="5"/>
  <c r="Y819" i="5"/>
  <c r="AF818" i="5"/>
  <c r="AD818" i="5"/>
  <c r="AE818" i="5" s="1"/>
  <c r="AC818" i="5"/>
  <c r="X818" i="5" s="1"/>
  <c r="AB818" i="5"/>
  <c r="AA818" i="5"/>
  <c r="Z818" i="5"/>
  <c r="Y818" i="5"/>
  <c r="AF817" i="5"/>
  <c r="AD817" i="5"/>
  <c r="AC817" i="5"/>
  <c r="X817" i="5" s="1"/>
  <c r="AB817" i="5"/>
  <c r="AA817" i="5"/>
  <c r="Z817" i="5"/>
  <c r="Y817" i="5"/>
  <c r="AF816" i="5"/>
  <c r="AD816" i="5"/>
  <c r="AE816" i="5" s="1"/>
  <c r="AC816" i="5"/>
  <c r="X816" i="5" s="1"/>
  <c r="AB816" i="5"/>
  <c r="AA816" i="5"/>
  <c r="Z816" i="5"/>
  <c r="Y816" i="5"/>
  <c r="AF815" i="5"/>
  <c r="AD815" i="5"/>
  <c r="AC815" i="5"/>
  <c r="X815" i="5" s="1"/>
  <c r="AB815" i="5"/>
  <c r="AA815" i="5"/>
  <c r="Z815" i="5"/>
  <c r="Y815" i="5"/>
  <c r="AF814" i="5"/>
  <c r="AD814" i="5"/>
  <c r="AE814" i="5" s="1"/>
  <c r="AC814" i="5"/>
  <c r="X814" i="5" s="1"/>
  <c r="AB814" i="5"/>
  <c r="AA814" i="5"/>
  <c r="Z814" i="5"/>
  <c r="Y814" i="5"/>
  <c r="AF813" i="5"/>
  <c r="AD813" i="5"/>
  <c r="AC813" i="5"/>
  <c r="X813" i="5" s="1"/>
  <c r="AB813" i="5"/>
  <c r="AA813" i="5"/>
  <c r="Z813" i="5"/>
  <c r="Y813" i="5"/>
  <c r="AF812" i="5"/>
  <c r="AD812" i="5"/>
  <c r="AC812" i="5"/>
  <c r="X812" i="5" s="1"/>
  <c r="AB812" i="5"/>
  <c r="AA812" i="5"/>
  <c r="Z812" i="5"/>
  <c r="Y812" i="5"/>
  <c r="AF811" i="5"/>
  <c r="AD811" i="5"/>
  <c r="AC811" i="5"/>
  <c r="X811" i="5" s="1"/>
  <c r="AB811" i="5"/>
  <c r="AA811" i="5"/>
  <c r="Z811" i="5"/>
  <c r="Y811" i="5"/>
  <c r="AF810" i="5"/>
  <c r="AD810" i="5"/>
  <c r="AC810" i="5"/>
  <c r="X810" i="5" s="1"/>
  <c r="AB810" i="5"/>
  <c r="AA810" i="5"/>
  <c r="Z810" i="5"/>
  <c r="Y810" i="5"/>
  <c r="AF809" i="5"/>
  <c r="AD809" i="5"/>
  <c r="AE809" i="5" s="1"/>
  <c r="AC809" i="5"/>
  <c r="X809" i="5" s="1"/>
  <c r="AB809" i="5"/>
  <c r="AA809" i="5"/>
  <c r="Z809" i="5"/>
  <c r="Y809" i="5"/>
  <c r="AF808" i="5"/>
  <c r="AD808" i="5"/>
  <c r="AC808" i="5"/>
  <c r="X808" i="5" s="1"/>
  <c r="AB808" i="5"/>
  <c r="AA808" i="5"/>
  <c r="Z808" i="5"/>
  <c r="Y808" i="5"/>
  <c r="AF807" i="5"/>
  <c r="AD807" i="5"/>
  <c r="AC807" i="5"/>
  <c r="X807" i="5" s="1"/>
  <c r="AB807" i="5"/>
  <c r="AA807" i="5"/>
  <c r="Z807" i="5"/>
  <c r="Y807" i="5"/>
  <c r="AF806" i="5"/>
  <c r="AD806" i="5"/>
  <c r="AC806" i="5"/>
  <c r="X806" i="5" s="1"/>
  <c r="AB806" i="5"/>
  <c r="AA806" i="5"/>
  <c r="Z806" i="5"/>
  <c r="Y806" i="5"/>
  <c r="AF805" i="5"/>
  <c r="AD805" i="5"/>
  <c r="AE805" i="5" s="1"/>
  <c r="AC805" i="5"/>
  <c r="X805" i="5" s="1"/>
  <c r="AB805" i="5"/>
  <c r="AA805" i="5"/>
  <c r="Z805" i="5"/>
  <c r="Y805" i="5"/>
  <c r="AF804" i="5"/>
  <c r="AD804" i="5"/>
  <c r="AC804" i="5"/>
  <c r="X804" i="5" s="1"/>
  <c r="AB804" i="5"/>
  <c r="AA804" i="5"/>
  <c r="Z804" i="5"/>
  <c r="Y804" i="5"/>
  <c r="AF803" i="5"/>
  <c r="AD803" i="5"/>
  <c r="AC803" i="5"/>
  <c r="X803" i="5" s="1"/>
  <c r="AB803" i="5"/>
  <c r="AA803" i="5"/>
  <c r="Z803" i="5"/>
  <c r="Y803" i="5"/>
  <c r="AF802" i="5"/>
  <c r="AD802" i="5"/>
  <c r="AC802" i="5"/>
  <c r="X802" i="5" s="1"/>
  <c r="AB802" i="5"/>
  <c r="AA802" i="5"/>
  <c r="Z802" i="5"/>
  <c r="Y802" i="5"/>
  <c r="AF801" i="5"/>
  <c r="AD801" i="5"/>
  <c r="AE801" i="5" s="1"/>
  <c r="AC801" i="5"/>
  <c r="X801" i="5" s="1"/>
  <c r="AB801" i="5"/>
  <c r="AA801" i="5"/>
  <c r="Z801" i="5"/>
  <c r="Y801" i="5"/>
  <c r="AF800" i="5"/>
  <c r="AD800" i="5"/>
  <c r="AC800" i="5"/>
  <c r="X800" i="5" s="1"/>
  <c r="AB800" i="5"/>
  <c r="AA800" i="5"/>
  <c r="Z800" i="5"/>
  <c r="Y800" i="5"/>
  <c r="AF799" i="5"/>
  <c r="AD799" i="5"/>
  <c r="AE799" i="5" s="1"/>
  <c r="AC799" i="5"/>
  <c r="X799" i="5" s="1"/>
  <c r="AB799" i="5"/>
  <c r="AA799" i="5"/>
  <c r="Z799" i="5"/>
  <c r="Y799" i="5"/>
  <c r="AF798" i="5"/>
  <c r="AD798" i="5"/>
  <c r="AC798" i="5"/>
  <c r="X798" i="5" s="1"/>
  <c r="AB798" i="5"/>
  <c r="AA798" i="5"/>
  <c r="Z798" i="5"/>
  <c r="Y798" i="5"/>
  <c r="AF797" i="5"/>
  <c r="AD797" i="5"/>
  <c r="AE797" i="5" s="1"/>
  <c r="AC797" i="5"/>
  <c r="X797" i="5" s="1"/>
  <c r="AB797" i="5"/>
  <c r="AA797" i="5"/>
  <c r="Z797" i="5"/>
  <c r="Y797" i="5"/>
  <c r="AF796" i="5"/>
  <c r="AD796" i="5"/>
  <c r="AC796" i="5"/>
  <c r="X796" i="5" s="1"/>
  <c r="AB796" i="5"/>
  <c r="AA796" i="5"/>
  <c r="Z796" i="5"/>
  <c r="Y796" i="5"/>
  <c r="AF795" i="5"/>
  <c r="AD795" i="5"/>
  <c r="AE795" i="5" s="1"/>
  <c r="AC795" i="5"/>
  <c r="X795" i="5" s="1"/>
  <c r="AB795" i="5"/>
  <c r="AA795" i="5"/>
  <c r="Z795" i="5"/>
  <c r="Y795" i="5"/>
  <c r="AF794" i="5"/>
  <c r="AD794" i="5"/>
  <c r="AE794" i="5" s="1"/>
  <c r="AC794" i="5"/>
  <c r="X794" i="5" s="1"/>
  <c r="AB794" i="5"/>
  <c r="AA794" i="5"/>
  <c r="Z794" i="5"/>
  <c r="Y794" i="5"/>
  <c r="AF793" i="5"/>
  <c r="AD793" i="5"/>
  <c r="AC793" i="5"/>
  <c r="X793" i="5" s="1"/>
  <c r="AB793" i="5"/>
  <c r="AA793" i="5"/>
  <c r="Z793" i="5"/>
  <c r="Y793" i="5"/>
  <c r="AF792" i="5"/>
  <c r="AD792" i="5"/>
  <c r="AC792" i="5"/>
  <c r="X792" i="5" s="1"/>
  <c r="AB792" i="5"/>
  <c r="AA792" i="5"/>
  <c r="Z792" i="5"/>
  <c r="Y792" i="5"/>
  <c r="AF791" i="5"/>
  <c r="AD791" i="5"/>
  <c r="AC791" i="5"/>
  <c r="X791" i="5" s="1"/>
  <c r="AB791" i="5"/>
  <c r="AA791" i="5"/>
  <c r="Z791" i="5"/>
  <c r="Y791" i="5"/>
  <c r="AF790" i="5"/>
  <c r="AD790" i="5"/>
  <c r="AE790" i="5" s="1"/>
  <c r="AC790" i="5"/>
  <c r="X790" i="5" s="1"/>
  <c r="AB790" i="5"/>
  <c r="AA790" i="5"/>
  <c r="Z790" i="5"/>
  <c r="Y790" i="5"/>
  <c r="AF789" i="5"/>
  <c r="AD789" i="5"/>
  <c r="AC789" i="5"/>
  <c r="X789" i="5" s="1"/>
  <c r="AB789" i="5"/>
  <c r="AA789" i="5"/>
  <c r="Z789" i="5"/>
  <c r="Y789" i="5"/>
  <c r="AF788" i="5"/>
  <c r="AD788" i="5"/>
  <c r="AE788" i="5" s="1"/>
  <c r="AC788" i="5"/>
  <c r="X788" i="5" s="1"/>
  <c r="AB788" i="5"/>
  <c r="AA788" i="5"/>
  <c r="Z788" i="5"/>
  <c r="Y788" i="5"/>
  <c r="AF787" i="5"/>
  <c r="AD787" i="5"/>
  <c r="AC787" i="5"/>
  <c r="X787" i="5" s="1"/>
  <c r="AB787" i="5"/>
  <c r="AA787" i="5"/>
  <c r="Z787" i="5"/>
  <c r="Y787" i="5"/>
  <c r="AF786" i="5"/>
  <c r="AD786" i="5"/>
  <c r="AE786" i="5" s="1"/>
  <c r="AC786" i="5"/>
  <c r="X786" i="5" s="1"/>
  <c r="AB786" i="5"/>
  <c r="AA786" i="5"/>
  <c r="Z786" i="5"/>
  <c r="Y786" i="5"/>
  <c r="AF785" i="5"/>
  <c r="AD785" i="5"/>
  <c r="AC785" i="5"/>
  <c r="AB785" i="5"/>
  <c r="AA785" i="5"/>
  <c r="Z785" i="5"/>
  <c r="Y785" i="5"/>
  <c r="AF784" i="5"/>
  <c r="AD784" i="5"/>
  <c r="AC784" i="5"/>
  <c r="X784" i="5" s="1"/>
  <c r="AB784" i="5"/>
  <c r="AA784" i="5"/>
  <c r="Z784" i="5"/>
  <c r="Y784" i="5"/>
  <c r="AF783" i="5"/>
  <c r="AD783" i="5"/>
  <c r="AC783" i="5"/>
  <c r="X783" i="5" s="1"/>
  <c r="AB783" i="5"/>
  <c r="AA783" i="5"/>
  <c r="Z783" i="5"/>
  <c r="Y783" i="5"/>
  <c r="AF782" i="5"/>
  <c r="AD782" i="5"/>
  <c r="AE782" i="5" s="1"/>
  <c r="AC782" i="5"/>
  <c r="X782" i="5" s="1"/>
  <c r="AB782" i="5"/>
  <c r="AA782" i="5"/>
  <c r="Z782" i="5"/>
  <c r="Y782" i="5"/>
  <c r="AF781" i="5"/>
  <c r="AD781" i="5"/>
  <c r="AC781" i="5"/>
  <c r="X781" i="5" s="1"/>
  <c r="AB781" i="5"/>
  <c r="AA781" i="5"/>
  <c r="Z781" i="5"/>
  <c r="Y781" i="5"/>
  <c r="AF780" i="5"/>
  <c r="AD780" i="5"/>
  <c r="AE780" i="5" s="1"/>
  <c r="AC780" i="5"/>
  <c r="X780" i="5" s="1"/>
  <c r="AB780" i="5"/>
  <c r="AA780" i="5"/>
  <c r="Z780" i="5"/>
  <c r="Y780" i="5"/>
  <c r="AF779" i="5"/>
  <c r="AD779" i="5"/>
  <c r="AC779" i="5"/>
  <c r="X779" i="5" s="1"/>
  <c r="AB779" i="5"/>
  <c r="AA779" i="5"/>
  <c r="Z779" i="5"/>
  <c r="Y779" i="5"/>
  <c r="AF778" i="5"/>
  <c r="AE778" i="5"/>
  <c r="AD778" i="5"/>
  <c r="AC778" i="5"/>
  <c r="X778" i="5" s="1"/>
  <c r="AB778" i="5"/>
  <c r="AA778" i="5"/>
  <c r="Z778" i="5"/>
  <c r="Y778" i="5"/>
  <c r="AF777" i="5"/>
  <c r="AD777" i="5"/>
  <c r="AE777" i="5" s="1"/>
  <c r="AC777" i="5"/>
  <c r="X777" i="5" s="1"/>
  <c r="AB777" i="5"/>
  <c r="AA777" i="5"/>
  <c r="Z777" i="5"/>
  <c r="Y777" i="5"/>
  <c r="AF776" i="5"/>
  <c r="AD776" i="5"/>
  <c r="AC776" i="5"/>
  <c r="X776" i="5" s="1"/>
  <c r="AB776" i="5"/>
  <c r="AA776" i="5"/>
  <c r="Z776" i="5"/>
  <c r="Y776" i="5"/>
  <c r="AF775" i="5"/>
  <c r="AD775" i="5"/>
  <c r="AC775" i="5"/>
  <c r="X775" i="5" s="1"/>
  <c r="AB775" i="5"/>
  <c r="AA775" i="5"/>
  <c r="Z775" i="5"/>
  <c r="Y775" i="5"/>
  <c r="AF774" i="5"/>
  <c r="AD774" i="5"/>
  <c r="AC774" i="5"/>
  <c r="X774" i="5" s="1"/>
  <c r="AB774" i="5"/>
  <c r="AA774" i="5"/>
  <c r="Z774" i="5"/>
  <c r="Y774" i="5"/>
  <c r="AF773" i="5"/>
  <c r="AD773" i="5"/>
  <c r="AE773" i="5" s="1"/>
  <c r="AC773" i="5"/>
  <c r="X773" i="5" s="1"/>
  <c r="AB773" i="5"/>
  <c r="AA773" i="5"/>
  <c r="Z773" i="5"/>
  <c r="Y773" i="5"/>
  <c r="AF772" i="5"/>
  <c r="AD772" i="5"/>
  <c r="AC772" i="5"/>
  <c r="X772" i="5" s="1"/>
  <c r="AB772" i="5"/>
  <c r="AA772" i="5"/>
  <c r="Z772" i="5"/>
  <c r="Y772" i="5"/>
  <c r="AF771" i="5"/>
  <c r="AD771" i="5"/>
  <c r="AC771" i="5"/>
  <c r="X771" i="5" s="1"/>
  <c r="AB771" i="5"/>
  <c r="AA771" i="5"/>
  <c r="Z771" i="5"/>
  <c r="Y771" i="5"/>
  <c r="AF770" i="5"/>
  <c r="AD770" i="5"/>
  <c r="AE770" i="5" s="1"/>
  <c r="AC770" i="5"/>
  <c r="X770" i="5" s="1"/>
  <c r="AB770" i="5"/>
  <c r="AA770" i="5"/>
  <c r="Z770" i="5"/>
  <c r="Y770" i="5"/>
  <c r="AF769" i="5"/>
  <c r="AD769" i="5"/>
  <c r="AC769" i="5"/>
  <c r="X769" i="5" s="1"/>
  <c r="AB769" i="5"/>
  <c r="AA769" i="5"/>
  <c r="Z769" i="5"/>
  <c r="Y769" i="5"/>
  <c r="AF768" i="5"/>
  <c r="AD768" i="5"/>
  <c r="AE768" i="5" s="1"/>
  <c r="AC768" i="5"/>
  <c r="X768" i="5" s="1"/>
  <c r="AB768" i="5"/>
  <c r="AA768" i="5"/>
  <c r="Z768" i="5"/>
  <c r="Y768" i="5"/>
  <c r="AF767" i="5"/>
  <c r="AD767" i="5"/>
  <c r="AE767" i="5" s="1"/>
  <c r="AC767" i="5"/>
  <c r="X767" i="5" s="1"/>
  <c r="AB767" i="5"/>
  <c r="AA767" i="5"/>
  <c r="Z767" i="5"/>
  <c r="Y767" i="5"/>
  <c r="AF766" i="5"/>
  <c r="AD766" i="5"/>
  <c r="AE766" i="5" s="1"/>
  <c r="AC766" i="5"/>
  <c r="AB766" i="5"/>
  <c r="AA766" i="5"/>
  <c r="Z766" i="5"/>
  <c r="Y766" i="5"/>
  <c r="X766" i="5"/>
  <c r="AF765" i="5"/>
  <c r="AD765" i="5"/>
  <c r="AC765" i="5"/>
  <c r="X765" i="5" s="1"/>
  <c r="AB765" i="5"/>
  <c r="AA765" i="5"/>
  <c r="Z765" i="5"/>
  <c r="Y765" i="5"/>
  <c r="AF764" i="5"/>
  <c r="AD764" i="5"/>
  <c r="AC764" i="5"/>
  <c r="X764" i="5" s="1"/>
  <c r="AB764" i="5"/>
  <c r="AA764" i="5"/>
  <c r="Z764" i="5"/>
  <c r="Y764" i="5"/>
  <c r="AF763" i="5"/>
  <c r="AD763" i="5"/>
  <c r="AE763" i="5" s="1"/>
  <c r="AC763" i="5"/>
  <c r="X763" i="5" s="1"/>
  <c r="AB763" i="5"/>
  <c r="AA763" i="5"/>
  <c r="Z763" i="5"/>
  <c r="Y763" i="5"/>
  <c r="AF762" i="5"/>
  <c r="AD762" i="5"/>
  <c r="AE762" i="5" s="1"/>
  <c r="AC762" i="5"/>
  <c r="AB762" i="5"/>
  <c r="AA762" i="5"/>
  <c r="Z762" i="5"/>
  <c r="Y762" i="5"/>
  <c r="X762" i="5"/>
  <c r="AF761" i="5"/>
  <c r="AD761" i="5"/>
  <c r="AE761" i="5" s="1"/>
  <c r="AC761" i="5"/>
  <c r="X761" i="5" s="1"/>
  <c r="AB761" i="5"/>
  <c r="AA761" i="5"/>
  <c r="Z761" i="5"/>
  <c r="Y761" i="5"/>
  <c r="AF760" i="5"/>
  <c r="AD760" i="5"/>
  <c r="AC760" i="5"/>
  <c r="X760" i="5" s="1"/>
  <c r="AB760" i="5"/>
  <c r="AA760" i="5"/>
  <c r="Z760" i="5"/>
  <c r="Y760" i="5"/>
  <c r="AF759" i="5"/>
  <c r="AD759" i="5"/>
  <c r="AE759" i="5" s="1"/>
  <c r="AC759" i="5"/>
  <c r="X759" i="5" s="1"/>
  <c r="AB759" i="5"/>
  <c r="AA759" i="5"/>
  <c r="Z759" i="5"/>
  <c r="Y759" i="5"/>
  <c r="AF758" i="5"/>
  <c r="AD758" i="5"/>
  <c r="AC758" i="5"/>
  <c r="X758" i="5" s="1"/>
  <c r="AB758" i="5"/>
  <c r="AA758" i="5"/>
  <c r="Z758" i="5"/>
  <c r="Y758" i="5"/>
  <c r="AF757" i="5"/>
  <c r="AD757" i="5"/>
  <c r="AE757" i="5" s="1"/>
  <c r="AC757" i="5"/>
  <c r="X757" i="5" s="1"/>
  <c r="AB757" i="5"/>
  <c r="AA757" i="5"/>
  <c r="Z757" i="5"/>
  <c r="Y757" i="5"/>
  <c r="AF756" i="5"/>
  <c r="AD756" i="5"/>
  <c r="AC756" i="5"/>
  <c r="X756" i="5" s="1"/>
  <c r="AB756" i="5"/>
  <c r="AA756" i="5"/>
  <c r="Z756" i="5"/>
  <c r="Y756" i="5"/>
  <c r="AF755" i="5"/>
  <c r="AD755" i="5"/>
  <c r="AC755" i="5"/>
  <c r="X755" i="5" s="1"/>
  <c r="AB755" i="5"/>
  <c r="AA755" i="5"/>
  <c r="Z755" i="5"/>
  <c r="Y755" i="5"/>
  <c r="AF754" i="5"/>
  <c r="AD754" i="5"/>
  <c r="AE754" i="5" s="1"/>
  <c r="AC754" i="5"/>
  <c r="X754" i="5" s="1"/>
  <c r="AB754" i="5"/>
  <c r="AA754" i="5"/>
  <c r="Z754" i="5"/>
  <c r="Y754" i="5"/>
  <c r="AF753" i="5"/>
  <c r="AD753" i="5"/>
  <c r="AC753" i="5"/>
  <c r="X753" i="5" s="1"/>
  <c r="AB753" i="5"/>
  <c r="AA753" i="5"/>
  <c r="Z753" i="5"/>
  <c r="Y753" i="5"/>
  <c r="AF752" i="5"/>
  <c r="AD752" i="5"/>
  <c r="AE752" i="5" s="1"/>
  <c r="AC752" i="5"/>
  <c r="X752" i="5" s="1"/>
  <c r="AB752" i="5"/>
  <c r="AA752" i="5"/>
  <c r="Z752" i="5"/>
  <c r="Y752" i="5"/>
  <c r="AF751" i="5"/>
  <c r="AD751" i="5"/>
  <c r="AE751" i="5" s="1"/>
  <c r="AC751" i="5"/>
  <c r="X751" i="5" s="1"/>
  <c r="AB751" i="5"/>
  <c r="AA751" i="5"/>
  <c r="Z751" i="5"/>
  <c r="Y751" i="5"/>
  <c r="AF750" i="5"/>
  <c r="AD750" i="5"/>
  <c r="AE750" i="5" s="1"/>
  <c r="AC750" i="5"/>
  <c r="AB750" i="5"/>
  <c r="AA750" i="5"/>
  <c r="Z750" i="5"/>
  <c r="Y750" i="5"/>
  <c r="X750" i="5"/>
  <c r="AF749" i="5"/>
  <c r="AD749" i="5"/>
  <c r="AC749" i="5"/>
  <c r="X749" i="5" s="1"/>
  <c r="AB749" i="5"/>
  <c r="AA749" i="5"/>
  <c r="Z749" i="5"/>
  <c r="Y749" i="5"/>
  <c r="AF748" i="5"/>
  <c r="AD748" i="5"/>
  <c r="AC748" i="5"/>
  <c r="X748" i="5" s="1"/>
  <c r="AB748" i="5"/>
  <c r="AA748" i="5"/>
  <c r="Z748" i="5"/>
  <c r="Y748" i="5"/>
  <c r="AF747" i="5"/>
  <c r="AD747" i="5"/>
  <c r="AE747" i="5" s="1"/>
  <c r="AC747" i="5"/>
  <c r="X747" i="5" s="1"/>
  <c r="AB747" i="5"/>
  <c r="AA747" i="5"/>
  <c r="Z747" i="5"/>
  <c r="Y747" i="5"/>
  <c r="AF746" i="5"/>
  <c r="AD746" i="5"/>
  <c r="AE746" i="5" s="1"/>
  <c r="AC746" i="5"/>
  <c r="AB746" i="5"/>
  <c r="AA746" i="5"/>
  <c r="Z746" i="5"/>
  <c r="Y746" i="5"/>
  <c r="X746" i="5"/>
  <c r="AF745" i="5"/>
  <c r="AD745" i="5"/>
  <c r="AE745" i="5" s="1"/>
  <c r="AC745" i="5"/>
  <c r="X745" i="5" s="1"/>
  <c r="AB745" i="5"/>
  <c r="AA745" i="5"/>
  <c r="Z745" i="5"/>
  <c r="Y745" i="5"/>
  <c r="AF744" i="5"/>
  <c r="AD744" i="5"/>
  <c r="AC744" i="5"/>
  <c r="X744" i="5" s="1"/>
  <c r="AB744" i="5"/>
  <c r="AA744" i="5"/>
  <c r="Z744" i="5"/>
  <c r="Y744" i="5"/>
  <c r="AF743" i="5"/>
  <c r="AD743" i="5"/>
  <c r="AE743" i="5" s="1"/>
  <c r="AC743" i="5"/>
  <c r="X743" i="5" s="1"/>
  <c r="AB743" i="5"/>
  <c r="AA743" i="5"/>
  <c r="Z743" i="5"/>
  <c r="Y743" i="5"/>
  <c r="AF742" i="5"/>
  <c r="AD742" i="5"/>
  <c r="AC742" i="5"/>
  <c r="X742" i="5" s="1"/>
  <c r="AB742" i="5"/>
  <c r="AA742" i="5"/>
  <c r="Z742" i="5"/>
  <c r="Y742" i="5"/>
  <c r="AF741" i="5"/>
  <c r="AD741" i="5"/>
  <c r="AE741" i="5" s="1"/>
  <c r="AC741" i="5"/>
  <c r="X741" i="5" s="1"/>
  <c r="AB741" i="5"/>
  <c r="AA741" i="5"/>
  <c r="Z741" i="5"/>
  <c r="Y741" i="5"/>
  <c r="AF740" i="5"/>
  <c r="AD740" i="5"/>
  <c r="AC740" i="5"/>
  <c r="X740" i="5" s="1"/>
  <c r="AB740" i="5"/>
  <c r="AA740" i="5"/>
  <c r="Z740" i="5"/>
  <c r="Y740" i="5"/>
  <c r="AF739" i="5"/>
  <c r="AD739" i="5"/>
  <c r="AC739" i="5"/>
  <c r="X739" i="5" s="1"/>
  <c r="AB739" i="5"/>
  <c r="AA739" i="5"/>
  <c r="Z739" i="5"/>
  <c r="Y739" i="5"/>
  <c r="AF738" i="5"/>
  <c r="AD738" i="5"/>
  <c r="AE738" i="5" s="1"/>
  <c r="AC738" i="5"/>
  <c r="X738" i="5" s="1"/>
  <c r="AB738" i="5"/>
  <c r="AA738" i="5"/>
  <c r="Z738" i="5"/>
  <c r="Y738" i="5"/>
  <c r="AF737" i="5"/>
  <c r="AD737" i="5"/>
  <c r="AC737" i="5"/>
  <c r="X737" i="5" s="1"/>
  <c r="AB737" i="5"/>
  <c r="AA737" i="5"/>
  <c r="Z737" i="5"/>
  <c r="Y737" i="5"/>
  <c r="AF736" i="5"/>
  <c r="AD736" i="5"/>
  <c r="AE736" i="5" s="1"/>
  <c r="AC736" i="5"/>
  <c r="X736" i="5" s="1"/>
  <c r="AB736" i="5"/>
  <c r="AA736" i="5"/>
  <c r="Z736" i="5"/>
  <c r="Y736" i="5"/>
  <c r="AF735" i="5"/>
  <c r="AD735" i="5"/>
  <c r="AE735" i="5" s="1"/>
  <c r="AC735" i="5"/>
  <c r="X735" i="5" s="1"/>
  <c r="AB735" i="5"/>
  <c r="AA735" i="5"/>
  <c r="Z735" i="5"/>
  <c r="Y735" i="5"/>
  <c r="AF734" i="5"/>
  <c r="AD734" i="5"/>
  <c r="AE734" i="5" s="1"/>
  <c r="AC734" i="5"/>
  <c r="AB734" i="5"/>
  <c r="AA734" i="5"/>
  <c r="Z734" i="5"/>
  <c r="Y734" i="5"/>
  <c r="X734" i="5"/>
  <c r="AF733" i="5"/>
  <c r="AD733" i="5"/>
  <c r="AC733" i="5"/>
  <c r="X733" i="5" s="1"/>
  <c r="AB733" i="5"/>
  <c r="AA733" i="5"/>
  <c r="Z733" i="5"/>
  <c r="Y733" i="5"/>
  <c r="AF732" i="5"/>
  <c r="AD732" i="5"/>
  <c r="AC732" i="5"/>
  <c r="X732" i="5" s="1"/>
  <c r="AB732" i="5"/>
  <c r="AA732" i="5"/>
  <c r="Z732" i="5"/>
  <c r="Y732" i="5"/>
  <c r="AF731" i="5"/>
  <c r="AD731" i="5"/>
  <c r="AE731" i="5" s="1"/>
  <c r="AC731" i="5"/>
  <c r="X731" i="5" s="1"/>
  <c r="AB731" i="5"/>
  <c r="AA731" i="5"/>
  <c r="Z731" i="5"/>
  <c r="Y731" i="5"/>
  <c r="AF730" i="5"/>
  <c r="AD730" i="5"/>
  <c r="AE730" i="5" s="1"/>
  <c r="AC730" i="5"/>
  <c r="AB730" i="5"/>
  <c r="AA730" i="5"/>
  <c r="Z730" i="5"/>
  <c r="Y730" i="5"/>
  <c r="X730" i="5"/>
  <c r="AF729" i="5"/>
  <c r="AD729" i="5"/>
  <c r="AE729" i="5" s="1"/>
  <c r="AC729" i="5"/>
  <c r="X729" i="5" s="1"/>
  <c r="AB729" i="5"/>
  <c r="AA729" i="5"/>
  <c r="Z729" i="5"/>
  <c r="Y729" i="5"/>
  <c r="AF728" i="5"/>
  <c r="AD728" i="5"/>
  <c r="AC728" i="5"/>
  <c r="X728" i="5" s="1"/>
  <c r="AB728" i="5"/>
  <c r="AA728" i="5"/>
  <c r="Z728" i="5"/>
  <c r="Y728" i="5"/>
  <c r="AF727" i="5"/>
  <c r="AD727" i="5"/>
  <c r="AE727" i="5" s="1"/>
  <c r="AC727" i="5"/>
  <c r="X727" i="5" s="1"/>
  <c r="AB727" i="5"/>
  <c r="AA727" i="5"/>
  <c r="Z727" i="5"/>
  <c r="Y727" i="5"/>
  <c r="AF726" i="5"/>
  <c r="AD726" i="5"/>
  <c r="AC726" i="5"/>
  <c r="X726" i="5" s="1"/>
  <c r="AB726" i="5"/>
  <c r="AA726" i="5"/>
  <c r="Z726" i="5"/>
  <c r="Y726" i="5"/>
  <c r="AF725" i="5"/>
  <c r="AD725" i="5"/>
  <c r="AE725" i="5" s="1"/>
  <c r="AC725" i="5"/>
  <c r="X725" i="5" s="1"/>
  <c r="AB725" i="5"/>
  <c r="AA725" i="5"/>
  <c r="Z725" i="5"/>
  <c r="Y725" i="5"/>
  <c r="AF724" i="5"/>
  <c r="AD724" i="5"/>
  <c r="AC724" i="5"/>
  <c r="X724" i="5" s="1"/>
  <c r="AB724" i="5"/>
  <c r="AA724" i="5"/>
  <c r="Z724" i="5"/>
  <c r="Y724" i="5"/>
  <c r="AF723" i="5"/>
  <c r="AD723" i="5"/>
  <c r="AC723" i="5"/>
  <c r="X723" i="5" s="1"/>
  <c r="AB723" i="5"/>
  <c r="AA723" i="5"/>
  <c r="Z723" i="5"/>
  <c r="Y723" i="5"/>
  <c r="AF722" i="5"/>
  <c r="AD722" i="5"/>
  <c r="AE722" i="5" s="1"/>
  <c r="AC722" i="5"/>
  <c r="X722" i="5" s="1"/>
  <c r="AB722" i="5"/>
  <c r="AA722" i="5"/>
  <c r="Z722" i="5"/>
  <c r="Y722" i="5"/>
  <c r="AF721" i="5"/>
  <c r="AD721" i="5"/>
  <c r="AC721" i="5"/>
  <c r="X721" i="5" s="1"/>
  <c r="AB721" i="5"/>
  <c r="AA721" i="5"/>
  <c r="Z721" i="5"/>
  <c r="Y721" i="5"/>
  <c r="AF720" i="5"/>
  <c r="AD720" i="5"/>
  <c r="AE720" i="5" s="1"/>
  <c r="AC720" i="5"/>
  <c r="X720" i="5" s="1"/>
  <c r="AB720" i="5"/>
  <c r="AA720" i="5"/>
  <c r="Z720" i="5"/>
  <c r="Y720" i="5"/>
  <c r="AF719" i="5"/>
  <c r="AD719" i="5"/>
  <c r="AE719" i="5" s="1"/>
  <c r="AC719" i="5"/>
  <c r="X719" i="5" s="1"/>
  <c r="AB719" i="5"/>
  <c r="AA719" i="5"/>
  <c r="Z719" i="5"/>
  <c r="Y719" i="5"/>
  <c r="AF718" i="5"/>
  <c r="AD718" i="5"/>
  <c r="AE718" i="5" s="1"/>
  <c r="AC718" i="5"/>
  <c r="AB718" i="5"/>
  <c r="AA718" i="5"/>
  <c r="Z718" i="5"/>
  <c r="Y718" i="5"/>
  <c r="X718" i="5"/>
  <c r="AF717" i="5"/>
  <c r="AD717" i="5"/>
  <c r="AC717" i="5"/>
  <c r="X717" i="5" s="1"/>
  <c r="AB717" i="5"/>
  <c r="AA717" i="5"/>
  <c r="Z717" i="5"/>
  <c r="Y717" i="5"/>
  <c r="AF716" i="5"/>
  <c r="AD716" i="5"/>
  <c r="AC716" i="5"/>
  <c r="X716" i="5" s="1"/>
  <c r="AB716" i="5"/>
  <c r="AA716" i="5"/>
  <c r="Z716" i="5"/>
  <c r="Y716" i="5"/>
  <c r="AF715" i="5"/>
  <c r="AD715" i="5"/>
  <c r="AE715" i="5" s="1"/>
  <c r="AC715" i="5"/>
  <c r="X715" i="5" s="1"/>
  <c r="AB715" i="5"/>
  <c r="AA715" i="5"/>
  <c r="Z715" i="5"/>
  <c r="Y715" i="5"/>
  <c r="AF714" i="5"/>
  <c r="AD714" i="5"/>
  <c r="AE714" i="5" s="1"/>
  <c r="AC714" i="5"/>
  <c r="AB714" i="5"/>
  <c r="AA714" i="5"/>
  <c r="Z714" i="5"/>
  <c r="Y714" i="5"/>
  <c r="X714" i="5"/>
  <c r="AF713" i="5"/>
  <c r="AD713" i="5"/>
  <c r="AE713" i="5" s="1"/>
  <c r="AC713" i="5"/>
  <c r="X713" i="5" s="1"/>
  <c r="AB713" i="5"/>
  <c r="AA713" i="5"/>
  <c r="Z713" i="5"/>
  <c r="Y713" i="5"/>
  <c r="AF712" i="5"/>
  <c r="AD712" i="5"/>
  <c r="AC712" i="5"/>
  <c r="X712" i="5" s="1"/>
  <c r="AB712" i="5"/>
  <c r="AA712" i="5"/>
  <c r="Z712" i="5"/>
  <c r="Y712" i="5"/>
  <c r="AF711" i="5"/>
  <c r="AD711" i="5"/>
  <c r="AC711" i="5"/>
  <c r="X711" i="5" s="1"/>
  <c r="AB711" i="5"/>
  <c r="AA711" i="5"/>
  <c r="Z711" i="5"/>
  <c r="Y711" i="5"/>
  <c r="AF710" i="5"/>
  <c r="AD710" i="5"/>
  <c r="AC710" i="5"/>
  <c r="X710" i="5" s="1"/>
  <c r="AB710" i="5"/>
  <c r="AA710" i="5"/>
  <c r="Z710" i="5"/>
  <c r="Y710" i="5"/>
  <c r="AF709" i="5"/>
  <c r="AD709" i="5"/>
  <c r="AC709" i="5"/>
  <c r="AB709" i="5"/>
  <c r="AA709" i="5"/>
  <c r="Z709" i="5"/>
  <c r="Y709" i="5"/>
  <c r="AF708" i="5"/>
  <c r="AD708" i="5"/>
  <c r="AC708" i="5"/>
  <c r="X708" i="5" s="1"/>
  <c r="AB708" i="5"/>
  <c r="AA708" i="5"/>
  <c r="Z708" i="5"/>
  <c r="Y708" i="5"/>
  <c r="AF707" i="5"/>
  <c r="AD707" i="5"/>
  <c r="AC707" i="5"/>
  <c r="X707" i="5" s="1"/>
  <c r="AB707" i="5"/>
  <c r="AA707" i="5"/>
  <c r="Z707" i="5"/>
  <c r="Y707" i="5"/>
  <c r="AF706" i="5"/>
  <c r="AD706" i="5"/>
  <c r="AC706" i="5"/>
  <c r="X706" i="5" s="1"/>
  <c r="AB706" i="5"/>
  <c r="AA706" i="5"/>
  <c r="Z706" i="5"/>
  <c r="Y706" i="5"/>
  <c r="AF705" i="5"/>
  <c r="AD705" i="5"/>
  <c r="AC705" i="5"/>
  <c r="AB705" i="5"/>
  <c r="AA705" i="5"/>
  <c r="Z705" i="5"/>
  <c r="Y705" i="5"/>
  <c r="AF704" i="5"/>
  <c r="AD704" i="5"/>
  <c r="AC704" i="5"/>
  <c r="X704" i="5" s="1"/>
  <c r="AB704" i="5"/>
  <c r="AA704" i="5"/>
  <c r="Z704" i="5"/>
  <c r="Y704" i="5"/>
  <c r="AF703" i="5"/>
  <c r="AD703" i="5"/>
  <c r="AC703" i="5"/>
  <c r="AB703" i="5"/>
  <c r="AA703" i="5"/>
  <c r="Z703" i="5"/>
  <c r="Y703" i="5"/>
  <c r="AF702" i="5"/>
  <c r="AD702" i="5"/>
  <c r="AC702" i="5"/>
  <c r="AE702" i="5" s="1"/>
  <c r="AB702" i="5"/>
  <c r="AA702" i="5"/>
  <c r="Z702" i="5"/>
  <c r="Y702" i="5"/>
  <c r="X702" i="5"/>
  <c r="AF701" i="5"/>
  <c r="AD701" i="5"/>
  <c r="AC701" i="5"/>
  <c r="AE701" i="5" s="1"/>
  <c r="AB701" i="5"/>
  <c r="AA701" i="5"/>
  <c r="Z701" i="5"/>
  <c r="Y701" i="5"/>
  <c r="AF700" i="5"/>
  <c r="AD700" i="5"/>
  <c r="AE700" i="5" s="1"/>
  <c r="AC700" i="5"/>
  <c r="X700" i="5" s="1"/>
  <c r="AB700" i="5"/>
  <c r="AA700" i="5"/>
  <c r="Z700" i="5"/>
  <c r="Y700" i="5"/>
  <c r="AF699" i="5"/>
  <c r="AD699" i="5"/>
  <c r="AE699" i="5" s="1"/>
  <c r="AC699" i="5"/>
  <c r="X699" i="5" s="1"/>
  <c r="AB699" i="5"/>
  <c r="AA699" i="5"/>
  <c r="Z699" i="5"/>
  <c r="Y699" i="5"/>
  <c r="AF698" i="5"/>
  <c r="AD698" i="5"/>
  <c r="AE698" i="5" s="1"/>
  <c r="AC698" i="5"/>
  <c r="AB698" i="5"/>
  <c r="AA698" i="5"/>
  <c r="Z698" i="5"/>
  <c r="Y698" i="5"/>
  <c r="X698" i="5"/>
  <c r="AF697" i="5"/>
  <c r="AD697" i="5"/>
  <c r="AC697" i="5"/>
  <c r="AB697" i="5"/>
  <c r="AA697" i="5"/>
  <c r="Z697" i="5"/>
  <c r="Y697" i="5"/>
  <c r="AF696" i="5"/>
  <c r="AD696" i="5"/>
  <c r="AC696" i="5"/>
  <c r="X696" i="5" s="1"/>
  <c r="AB696" i="5"/>
  <c r="AA696" i="5"/>
  <c r="Z696" i="5"/>
  <c r="Y696" i="5"/>
  <c r="AF695" i="5"/>
  <c r="AD695" i="5"/>
  <c r="AC695" i="5"/>
  <c r="X695" i="5" s="1"/>
  <c r="AB695" i="5"/>
  <c r="AA695" i="5"/>
  <c r="Z695" i="5"/>
  <c r="Y695" i="5"/>
  <c r="AF694" i="5"/>
  <c r="AD694" i="5"/>
  <c r="AC694" i="5"/>
  <c r="X694" i="5" s="1"/>
  <c r="AB694" i="5"/>
  <c r="AA694" i="5"/>
  <c r="Z694" i="5"/>
  <c r="Y694" i="5"/>
  <c r="AF693" i="5"/>
  <c r="AD693" i="5"/>
  <c r="AC693" i="5"/>
  <c r="AB693" i="5"/>
  <c r="AA693" i="5"/>
  <c r="Z693" i="5"/>
  <c r="Y693" i="5"/>
  <c r="AF692" i="5"/>
  <c r="AD692" i="5"/>
  <c r="AC692" i="5"/>
  <c r="X692" i="5" s="1"/>
  <c r="AB692" i="5"/>
  <c r="AA692" i="5"/>
  <c r="Z692" i="5"/>
  <c r="Y692" i="5"/>
  <c r="AF691" i="5"/>
  <c r="AD691" i="5"/>
  <c r="AC691" i="5"/>
  <c r="X691" i="5" s="1"/>
  <c r="AB691" i="5"/>
  <c r="AA691" i="5"/>
  <c r="Z691" i="5"/>
  <c r="Y691" i="5"/>
  <c r="AF690" i="5"/>
  <c r="AD690" i="5"/>
  <c r="AC690" i="5"/>
  <c r="X690" i="5" s="1"/>
  <c r="AB690" i="5"/>
  <c r="AA690" i="5"/>
  <c r="Z690" i="5"/>
  <c r="Y690" i="5"/>
  <c r="AF689" i="5"/>
  <c r="AD689" i="5"/>
  <c r="AC689" i="5"/>
  <c r="AB689" i="5"/>
  <c r="AA689" i="5"/>
  <c r="Z689" i="5"/>
  <c r="Y689" i="5"/>
  <c r="AF688" i="5"/>
  <c r="AD688" i="5"/>
  <c r="AC688" i="5"/>
  <c r="X688" i="5" s="1"/>
  <c r="AB688" i="5"/>
  <c r="AA688" i="5"/>
  <c r="Z688" i="5"/>
  <c r="Y688" i="5"/>
  <c r="AF687" i="5"/>
  <c r="AD687" i="5"/>
  <c r="AC687" i="5"/>
  <c r="AB687" i="5"/>
  <c r="AA687" i="5"/>
  <c r="Z687" i="5"/>
  <c r="Y687" i="5"/>
  <c r="AF686" i="5"/>
  <c r="AD686" i="5"/>
  <c r="AC686" i="5"/>
  <c r="AE686" i="5" s="1"/>
  <c r="AB686" i="5"/>
  <c r="AA686" i="5"/>
  <c r="Z686" i="5"/>
  <c r="Y686" i="5"/>
  <c r="X686" i="5"/>
  <c r="AF685" i="5"/>
  <c r="AD685" i="5"/>
  <c r="AC685" i="5"/>
  <c r="AE685" i="5" s="1"/>
  <c r="AB685" i="5"/>
  <c r="AA685" i="5"/>
  <c r="Z685" i="5"/>
  <c r="Y685" i="5"/>
  <c r="AF684" i="5"/>
  <c r="AD684" i="5"/>
  <c r="AE684" i="5" s="1"/>
  <c r="AC684" i="5"/>
  <c r="X684" i="5" s="1"/>
  <c r="AB684" i="5"/>
  <c r="AA684" i="5"/>
  <c r="Z684" i="5"/>
  <c r="Y684" i="5"/>
  <c r="AF683" i="5"/>
  <c r="AD683" i="5"/>
  <c r="AE683" i="5" s="1"/>
  <c r="AC683" i="5"/>
  <c r="X683" i="5" s="1"/>
  <c r="AB683" i="5"/>
  <c r="AA683" i="5"/>
  <c r="Z683" i="5"/>
  <c r="Y683" i="5"/>
  <c r="AF682" i="5"/>
  <c r="AD682" i="5"/>
  <c r="AE682" i="5" s="1"/>
  <c r="AC682" i="5"/>
  <c r="AB682" i="5"/>
  <c r="AA682" i="5"/>
  <c r="Z682" i="5"/>
  <c r="Y682" i="5"/>
  <c r="X682" i="5"/>
  <c r="AF681" i="5"/>
  <c r="AD681" i="5"/>
  <c r="AC681" i="5"/>
  <c r="AB681" i="5"/>
  <c r="AA681" i="5"/>
  <c r="Z681" i="5"/>
  <c r="Y681" i="5"/>
  <c r="AF680" i="5"/>
  <c r="AD680" i="5"/>
  <c r="AC680" i="5"/>
  <c r="X680" i="5" s="1"/>
  <c r="AB680" i="5"/>
  <c r="AA680" i="5"/>
  <c r="Z680" i="5"/>
  <c r="Y680" i="5"/>
  <c r="AF679" i="5"/>
  <c r="AD679" i="5"/>
  <c r="AC679" i="5"/>
  <c r="AB679" i="5"/>
  <c r="AA679" i="5"/>
  <c r="Z679" i="5"/>
  <c r="Y679" i="5"/>
  <c r="AF678" i="5"/>
  <c r="AD678" i="5"/>
  <c r="AC678" i="5"/>
  <c r="AE678" i="5" s="1"/>
  <c r="AB678" i="5"/>
  <c r="AA678" i="5"/>
  <c r="Z678" i="5"/>
  <c r="Y678" i="5"/>
  <c r="X678" i="5"/>
  <c r="AF677" i="5"/>
  <c r="AD677" i="5"/>
  <c r="AC677" i="5"/>
  <c r="AE677" i="5" s="1"/>
  <c r="AB677" i="5"/>
  <c r="AA677" i="5"/>
  <c r="Z677" i="5"/>
  <c r="Y677" i="5"/>
  <c r="AF676" i="5"/>
  <c r="AD676" i="5"/>
  <c r="AE676" i="5" s="1"/>
  <c r="AC676" i="5"/>
  <c r="X676" i="5" s="1"/>
  <c r="AB676" i="5"/>
  <c r="AA676" i="5"/>
  <c r="Z676" i="5"/>
  <c r="Y676" i="5"/>
  <c r="AF675" i="5"/>
  <c r="AD675" i="5"/>
  <c r="AE675" i="5" s="1"/>
  <c r="AC675" i="5"/>
  <c r="X675" i="5" s="1"/>
  <c r="AB675" i="5"/>
  <c r="AA675" i="5"/>
  <c r="Z675" i="5"/>
  <c r="Y675" i="5"/>
  <c r="AF674" i="5"/>
  <c r="AD674" i="5"/>
  <c r="AE674" i="5" s="1"/>
  <c r="AC674" i="5"/>
  <c r="AB674" i="5"/>
  <c r="AA674" i="5"/>
  <c r="Z674" i="5"/>
  <c r="Y674" i="5"/>
  <c r="X674" i="5"/>
  <c r="AF673" i="5"/>
  <c r="AD673" i="5"/>
  <c r="AC673" i="5"/>
  <c r="AB673" i="5"/>
  <c r="AA673" i="5"/>
  <c r="Z673" i="5"/>
  <c r="Y673" i="5"/>
  <c r="AF672" i="5"/>
  <c r="AD672" i="5"/>
  <c r="AC672" i="5"/>
  <c r="X672" i="5" s="1"/>
  <c r="AB672" i="5"/>
  <c r="AA672" i="5"/>
  <c r="Z672" i="5"/>
  <c r="Y672" i="5"/>
  <c r="AF671" i="5"/>
  <c r="AD671" i="5"/>
  <c r="AC671" i="5"/>
  <c r="AB671" i="5"/>
  <c r="AA671" i="5"/>
  <c r="Z671" i="5"/>
  <c r="Y671" i="5"/>
  <c r="AF670" i="5"/>
  <c r="AD670" i="5"/>
  <c r="AC670" i="5"/>
  <c r="AE670" i="5" s="1"/>
  <c r="AB670" i="5"/>
  <c r="AA670" i="5"/>
  <c r="Z670" i="5"/>
  <c r="Y670" i="5"/>
  <c r="X670" i="5"/>
  <c r="AF669" i="5"/>
  <c r="AD669" i="5"/>
  <c r="AC669" i="5"/>
  <c r="AE669" i="5" s="1"/>
  <c r="AB669" i="5"/>
  <c r="AA669" i="5"/>
  <c r="Z669" i="5"/>
  <c r="Y669" i="5"/>
  <c r="AF668" i="5"/>
  <c r="AD668" i="5"/>
  <c r="AE668" i="5" s="1"/>
  <c r="AC668" i="5"/>
  <c r="X668" i="5" s="1"/>
  <c r="AB668" i="5"/>
  <c r="AA668" i="5"/>
  <c r="Z668" i="5"/>
  <c r="Y668" i="5"/>
  <c r="AF667" i="5"/>
  <c r="AD667" i="5"/>
  <c r="AE667" i="5" s="1"/>
  <c r="AC667" i="5"/>
  <c r="X667" i="5" s="1"/>
  <c r="AB667" i="5"/>
  <c r="AA667" i="5"/>
  <c r="Z667" i="5"/>
  <c r="Y667" i="5"/>
  <c r="AF666" i="5"/>
  <c r="AD666" i="5"/>
  <c r="AE666" i="5" s="1"/>
  <c r="AC666" i="5"/>
  <c r="AB666" i="5"/>
  <c r="AA666" i="5"/>
  <c r="Z666" i="5"/>
  <c r="Y666" i="5"/>
  <c r="X666" i="5"/>
  <c r="AF665" i="5"/>
  <c r="AD665" i="5"/>
  <c r="AC665" i="5"/>
  <c r="AB665" i="5"/>
  <c r="AA665" i="5"/>
  <c r="Z665" i="5"/>
  <c r="Y665" i="5"/>
  <c r="AF664" i="5"/>
  <c r="AD664" i="5"/>
  <c r="AC664" i="5"/>
  <c r="X664" i="5" s="1"/>
  <c r="AB664" i="5"/>
  <c r="AA664" i="5"/>
  <c r="Z664" i="5"/>
  <c r="Y664" i="5"/>
  <c r="AF663" i="5"/>
  <c r="AD663" i="5"/>
  <c r="AC663" i="5"/>
  <c r="AB663" i="5"/>
  <c r="AA663" i="5"/>
  <c r="Z663" i="5"/>
  <c r="Y663" i="5"/>
  <c r="AF662" i="5"/>
  <c r="AD662" i="5"/>
  <c r="AC662" i="5"/>
  <c r="AE662" i="5" s="1"/>
  <c r="AB662" i="5"/>
  <c r="AA662" i="5"/>
  <c r="Z662" i="5"/>
  <c r="Y662" i="5"/>
  <c r="X662" i="5"/>
  <c r="AF661" i="5"/>
  <c r="AD661" i="5"/>
  <c r="AC661" i="5"/>
  <c r="AE661" i="5" s="1"/>
  <c r="AB661" i="5"/>
  <c r="AA661" i="5"/>
  <c r="Z661" i="5"/>
  <c r="Y661" i="5"/>
  <c r="AF660" i="5"/>
  <c r="AD660" i="5"/>
  <c r="AE660" i="5" s="1"/>
  <c r="AC660" i="5"/>
  <c r="X660" i="5" s="1"/>
  <c r="AB660" i="5"/>
  <c r="AA660" i="5"/>
  <c r="Z660" i="5"/>
  <c r="Y660" i="5"/>
  <c r="AF659" i="5"/>
  <c r="AD659" i="5"/>
  <c r="AE659" i="5" s="1"/>
  <c r="AC659" i="5"/>
  <c r="X659" i="5" s="1"/>
  <c r="AB659" i="5"/>
  <c r="AA659" i="5"/>
  <c r="Z659" i="5"/>
  <c r="Y659" i="5"/>
  <c r="AF658" i="5"/>
  <c r="AD658" i="5"/>
  <c r="AE658" i="5" s="1"/>
  <c r="AC658" i="5"/>
  <c r="AB658" i="5"/>
  <c r="AA658" i="5"/>
  <c r="Z658" i="5"/>
  <c r="Y658" i="5"/>
  <c r="X658" i="5"/>
  <c r="AF657" i="5"/>
  <c r="AD657" i="5"/>
  <c r="AC657" i="5"/>
  <c r="AB657" i="5"/>
  <c r="AA657" i="5"/>
  <c r="Z657" i="5"/>
  <c r="Y657" i="5"/>
  <c r="X657" i="5"/>
  <c r="AF656" i="5"/>
  <c r="AD656" i="5"/>
  <c r="AC656" i="5"/>
  <c r="AB656" i="5"/>
  <c r="AA656" i="5"/>
  <c r="Z656" i="5"/>
  <c r="Y656" i="5"/>
  <c r="X656" i="5"/>
  <c r="AF655" i="5"/>
  <c r="AD655" i="5"/>
  <c r="AC655" i="5"/>
  <c r="AB655" i="5"/>
  <c r="AA655" i="5"/>
  <c r="Z655" i="5"/>
  <c r="Y655" i="5"/>
  <c r="AF654" i="5"/>
  <c r="AD654" i="5"/>
  <c r="AC654" i="5"/>
  <c r="AB654" i="5"/>
  <c r="AA654" i="5"/>
  <c r="Z654" i="5"/>
  <c r="Y654" i="5"/>
  <c r="AF653" i="5"/>
  <c r="AD653" i="5"/>
  <c r="AC653" i="5"/>
  <c r="AE653" i="5" s="1"/>
  <c r="AB653" i="5"/>
  <c r="AA653" i="5"/>
  <c r="Z653" i="5"/>
  <c r="Y653" i="5"/>
  <c r="AF652" i="5"/>
  <c r="AD652" i="5"/>
  <c r="AC652" i="5"/>
  <c r="X652" i="5" s="1"/>
  <c r="AB652" i="5"/>
  <c r="AA652" i="5"/>
  <c r="Z652" i="5"/>
  <c r="Y652" i="5"/>
  <c r="AF651" i="5"/>
  <c r="AD651" i="5"/>
  <c r="AE651" i="5" s="1"/>
  <c r="AC651" i="5"/>
  <c r="X651" i="5" s="1"/>
  <c r="AB651" i="5"/>
  <c r="AA651" i="5"/>
  <c r="Z651" i="5"/>
  <c r="Y651" i="5"/>
  <c r="AF650" i="5"/>
  <c r="AD650" i="5"/>
  <c r="AC650" i="5"/>
  <c r="X650" i="5" s="1"/>
  <c r="AB650" i="5"/>
  <c r="AA650" i="5"/>
  <c r="Z650" i="5"/>
  <c r="Y650" i="5"/>
  <c r="AF649" i="5"/>
  <c r="AD649" i="5"/>
  <c r="AC649" i="5"/>
  <c r="AB649" i="5"/>
  <c r="AA649" i="5"/>
  <c r="Z649" i="5"/>
  <c r="Y649" i="5"/>
  <c r="AF648" i="5"/>
  <c r="AD648" i="5"/>
  <c r="AC648" i="5"/>
  <c r="X648" i="5" s="1"/>
  <c r="AB648" i="5"/>
  <c r="AA648" i="5"/>
  <c r="Z648" i="5"/>
  <c r="Y648" i="5"/>
  <c r="AF647" i="5"/>
  <c r="AD647" i="5"/>
  <c r="AC647" i="5"/>
  <c r="AB647" i="5"/>
  <c r="AA647" i="5"/>
  <c r="Z647" i="5"/>
  <c r="Y647" i="5"/>
  <c r="AF646" i="5"/>
  <c r="AD646" i="5"/>
  <c r="AC646" i="5"/>
  <c r="AB646" i="5"/>
  <c r="AA646" i="5"/>
  <c r="Z646" i="5"/>
  <c r="Y646" i="5"/>
  <c r="AF645" i="5"/>
  <c r="AD645" i="5"/>
  <c r="AC645" i="5"/>
  <c r="AE645" i="5" s="1"/>
  <c r="AB645" i="5"/>
  <c r="AA645" i="5"/>
  <c r="Z645" i="5"/>
  <c r="Y645" i="5"/>
  <c r="AF644" i="5"/>
  <c r="AD644" i="5"/>
  <c r="AC644" i="5"/>
  <c r="X644" i="5" s="1"/>
  <c r="AB644" i="5"/>
  <c r="AA644" i="5"/>
  <c r="Z644" i="5"/>
  <c r="Y644" i="5"/>
  <c r="AF643" i="5"/>
  <c r="AD643" i="5"/>
  <c r="AE643" i="5" s="1"/>
  <c r="AC643" i="5"/>
  <c r="X643" i="5" s="1"/>
  <c r="AB643" i="5"/>
  <c r="AA643" i="5"/>
  <c r="Z643" i="5"/>
  <c r="Y643" i="5"/>
  <c r="AF642" i="5"/>
  <c r="AD642" i="5"/>
  <c r="AE642" i="5" s="1"/>
  <c r="AC642" i="5"/>
  <c r="X642" i="5" s="1"/>
  <c r="AB642" i="5"/>
  <c r="AA642" i="5"/>
  <c r="Z642" i="5"/>
  <c r="Y642" i="5"/>
  <c r="AF641" i="5"/>
  <c r="AD641" i="5"/>
  <c r="AC641" i="5"/>
  <c r="AB641" i="5"/>
  <c r="AA641" i="5"/>
  <c r="Z641" i="5"/>
  <c r="Y641" i="5"/>
  <c r="AF640" i="5"/>
  <c r="AD640" i="5"/>
  <c r="AC640" i="5"/>
  <c r="X640" i="5" s="1"/>
  <c r="AB640" i="5"/>
  <c r="AA640" i="5"/>
  <c r="Z640" i="5"/>
  <c r="Y640" i="5"/>
  <c r="AF639" i="5"/>
  <c r="AD639" i="5"/>
  <c r="AC639" i="5"/>
  <c r="AB639" i="5"/>
  <c r="AA639" i="5"/>
  <c r="Z639" i="5"/>
  <c r="Y639" i="5"/>
  <c r="AF638" i="5"/>
  <c r="AD638" i="5"/>
  <c r="AC638" i="5"/>
  <c r="AB638" i="5"/>
  <c r="AA638" i="5"/>
  <c r="Z638" i="5"/>
  <c r="Y638" i="5"/>
  <c r="AF637" i="5"/>
  <c r="AD637" i="5"/>
  <c r="AC637" i="5"/>
  <c r="AB637" i="5"/>
  <c r="AA637" i="5"/>
  <c r="Z637" i="5"/>
  <c r="Y637" i="5"/>
  <c r="AF636" i="5"/>
  <c r="AD636" i="5"/>
  <c r="AC636" i="5"/>
  <c r="X636" i="5" s="1"/>
  <c r="AB636" i="5"/>
  <c r="AA636" i="5"/>
  <c r="Z636" i="5"/>
  <c r="Y636" i="5"/>
  <c r="AF635" i="5"/>
  <c r="AD635" i="5"/>
  <c r="AC635" i="5"/>
  <c r="X635" i="5" s="1"/>
  <c r="AB635" i="5"/>
  <c r="AA635" i="5"/>
  <c r="Z635" i="5"/>
  <c r="Y635" i="5"/>
  <c r="AF634" i="5"/>
  <c r="AD634" i="5"/>
  <c r="AE634" i="5" s="1"/>
  <c r="AC634" i="5"/>
  <c r="AB634" i="5"/>
  <c r="AA634" i="5"/>
  <c r="Z634" i="5"/>
  <c r="Y634" i="5"/>
  <c r="X634" i="5"/>
  <c r="AF633" i="5"/>
  <c r="AD633" i="5"/>
  <c r="AC633" i="5"/>
  <c r="AB633" i="5"/>
  <c r="AA633" i="5"/>
  <c r="Z633" i="5"/>
  <c r="Y633" i="5"/>
  <c r="AF632" i="5"/>
  <c r="AD632" i="5"/>
  <c r="AC632" i="5"/>
  <c r="X632" i="5" s="1"/>
  <c r="AB632" i="5"/>
  <c r="AA632" i="5"/>
  <c r="Z632" i="5"/>
  <c r="Y632" i="5"/>
  <c r="AF631" i="5"/>
  <c r="AD631" i="5"/>
  <c r="AC631" i="5"/>
  <c r="AB631" i="5"/>
  <c r="AA631" i="5"/>
  <c r="Z631" i="5"/>
  <c r="Y631" i="5"/>
  <c r="AF630" i="5"/>
  <c r="AD630" i="5"/>
  <c r="AC630" i="5"/>
  <c r="AB630" i="5"/>
  <c r="AA630" i="5"/>
  <c r="Z630" i="5"/>
  <c r="Y630" i="5"/>
  <c r="AF629" i="5"/>
  <c r="AD629" i="5"/>
  <c r="AC629" i="5"/>
  <c r="AB629" i="5"/>
  <c r="AA629" i="5"/>
  <c r="Z629" i="5"/>
  <c r="Y629" i="5"/>
  <c r="AF628" i="5"/>
  <c r="AD628" i="5"/>
  <c r="AC628" i="5"/>
  <c r="X628" i="5" s="1"/>
  <c r="AB628" i="5"/>
  <c r="AA628" i="5"/>
  <c r="Z628" i="5"/>
  <c r="Y628" i="5"/>
  <c r="AF627" i="5"/>
  <c r="AD627" i="5"/>
  <c r="AC627" i="5"/>
  <c r="X627" i="5" s="1"/>
  <c r="AB627" i="5"/>
  <c r="AA627" i="5"/>
  <c r="Z627" i="5"/>
  <c r="Y627" i="5"/>
  <c r="AF626" i="5"/>
  <c r="AD626" i="5"/>
  <c r="AC626" i="5"/>
  <c r="AB626" i="5"/>
  <c r="AA626" i="5"/>
  <c r="Z626" i="5"/>
  <c r="Y626" i="5"/>
  <c r="X626" i="5"/>
  <c r="AF625" i="5"/>
  <c r="AD625" i="5"/>
  <c r="AC625" i="5"/>
  <c r="AE625" i="5" s="1"/>
  <c r="AB625" i="5"/>
  <c r="AA625" i="5"/>
  <c r="Z625" i="5"/>
  <c r="Y625" i="5"/>
  <c r="X625" i="5"/>
  <c r="AF624" i="5"/>
  <c r="AD624" i="5"/>
  <c r="AC624" i="5"/>
  <c r="AB624" i="5"/>
  <c r="AA624" i="5"/>
  <c r="Z624" i="5"/>
  <c r="Y624" i="5"/>
  <c r="X624" i="5"/>
  <c r="AF623" i="5"/>
  <c r="AD623" i="5"/>
  <c r="AC623" i="5"/>
  <c r="AB623" i="5"/>
  <c r="AA623" i="5"/>
  <c r="Z623" i="5"/>
  <c r="Y623" i="5"/>
  <c r="AF622" i="5"/>
  <c r="AD622" i="5"/>
  <c r="AC622" i="5"/>
  <c r="AE622" i="5" s="1"/>
  <c r="AB622" i="5"/>
  <c r="AA622" i="5"/>
  <c r="Z622" i="5"/>
  <c r="Y622" i="5"/>
  <c r="X622" i="5"/>
  <c r="AF621" i="5"/>
  <c r="AD621" i="5"/>
  <c r="AC621" i="5"/>
  <c r="AE621" i="5" s="1"/>
  <c r="AB621" i="5"/>
  <c r="AA621" i="5"/>
  <c r="Z621" i="5"/>
  <c r="Y621" i="5"/>
  <c r="AF620" i="5"/>
  <c r="AD620" i="5"/>
  <c r="AC620" i="5"/>
  <c r="X620" i="5" s="1"/>
  <c r="AB620" i="5"/>
  <c r="AA620" i="5"/>
  <c r="Z620" i="5"/>
  <c r="Y620" i="5"/>
  <c r="AF619" i="5"/>
  <c r="AD619" i="5"/>
  <c r="AC619" i="5"/>
  <c r="X619" i="5" s="1"/>
  <c r="AB619" i="5"/>
  <c r="AA619" i="5"/>
  <c r="Z619" i="5"/>
  <c r="Y619" i="5"/>
  <c r="AF618" i="5"/>
  <c r="AD618" i="5"/>
  <c r="AC618" i="5"/>
  <c r="AB618" i="5"/>
  <c r="AA618" i="5"/>
  <c r="Z618" i="5"/>
  <c r="Y618" i="5"/>
  <c r="AF617" i="5"/>
  <c r="AD617" i="5"/>
  <c r="AC617" i="5"/>
  <c r="X617" i="5" s="1"/>
  <c r="AB617" i="5"/>
  <c r="AA617" i="5"/>
  <c r="Z617" i="5"/>
  <c r="Y617" i="5"/>
  <c r="AF616" i="5"/>
  <c r="AD616" i="5"/>
  <c r="AE616" i="5" s="1"/>
  <c r="AC616" i="5"/>
  <c r="X616" i="5" s="1"/>
  <c r="AB616" i="5"/>
  <c r="AA616" i="5"/>
  <c r="Z616" i="5"/>
  <c r="Y616" i="5"/>
  <c r="AF615" i="5"/>
  <c r="AD615" i="5"/>
  <c r="AC615" i="5"/>
  <c r="X615" i="5" s="1"/>
  <c r="AB615" i="5"/>
  <c r="AA615" i="5"/>
  <c r="Z615" i="5"/>
  <c r="Y615" i="5"/>
  <c r="AF614" i="5"/>
  <c r="AD614" i="5"/>
  <c r="AC614" i="5"/>
  <c r="AB614" i="5"/>
  <c r="AA614" i="5"/>
  <c r="Z614" i="5"/>
  <c r="Y614" i="5"/>
  <c r="AF613" i="5"/>
  <c r="AD613" i="5"/>
  <c r="AC613" i="5"/>
  <c r="X613" i="5" s="1"/>
  <c r="AB613" i="5"/>
  <c r="AA613" i="5"/>
  <c r="Z613" i="5"/>
  <c r="Y613" i="5"/>
  <c r="AF612" i="5"/>
  <c r="AD612" i="5"/>
  <c r="AE612" i="5" s="1"/>
  <c r="AC612" i="5"/>
  <c r="X612" i="5" s="1"/>
  <c r="AB612" i="5"/>
  <c r="AA612" i="5"/>
  <c r="Z612" i="5"/>
  <c r="Y612" i="5"/>
  <c r="AF611" i="5"/>
  <c r="AD611" i="5"/>
  <c r="AE611" i="5" s="1"/>
  <c r="AC611" i="5"/>
  <c r="X611" i="5" s="1"/>
  <c r="AB611" i="5"/>
  <c r="AA611" i="5"/>
  <c r="Z611" i="5"/>
  <c r="Y611" i="5"/>
  <c r="AF610" i="5"/>
  <c r="AD610" i="5"/>
  <c r="AC610" i="5"/>
  <c r="AB610" i="5"/>
  <c r="AA610" i="5"/>
  <c r="Z610" i="5"/>
  <c r="Y610" i="5"/>
  <c r="AF609" i="5"/>
  <c r="AD609" i="5"/>
  <c r="AC609" i="5"/>
  <c r="X609" i="5" s="1"/>
  <c r="AB609" i="5"/>
  <c r="AA609" i="5"/>
  <c r="Z609" i="5"/>
  <c r="Y609" i="5"/>
  <c r="AF608" i="5"/>
  <c r="AD608" i="5"/>
  <c r="AC608" i="5"/>
  <c r="X608" i="5" s="1"/>
  <c r="AB608" i="5"/>
  <c r="AA608" i="5"/>
  <c r="Z608" i="5"/>
  <c r="Y608" i="5"/>
  <c r="AF607" i="5"/>
  <c r="AD607" i="5"/>
  <c r="AE607" i="5" s="1"/>
  <c r="AC607" i="5"/>
  <c r="X607" i="5" s="1"/>
  <c r="AB607" i="5"/>
  <c r="AA607" i="5"/>
  <c r="Z607" i="5"/>
  <c r="Y607" i="5"/>
  <c r="AF606" i="5"/>
  <c r="AD606" i="5"/>
  <c r="AC606" i="5"/>
  <c r="AB606" i="5"/>
  <c r="AA606" i="5"/>
  <c r="Z606" i="5"/>
  <c r="Y606" i="5"/>
  <c r="AF605" i="5"/>
  <c r="AD605" i="5"/>
  <c r="AC605" i="5"/>
  <c r="X605" i="5" s="1"/>
  <c r="AB605" i="5"/>
  <c r="AA605" i="5"/>
  <c r="Z605" i="5"/>
  <c r="Y605" i="5"/>
  <c r="AF604" i="5"/>
  <c r="AD604" i="5"/>
  <c r="AC604" i="5"/>
  <c r="AB604" i="5"/>
  <c r="AA604" i="5"/>
  <c r="Z604" i="5"/>
  <c r="Y604" i="5"/>
  <c r="AF603" i="5"/>
  <c r="AD603" i="5"/>
  <c r="AC603" i="5"/>
  <c r="AB603" i="5"/>
  <c r="AA603" i="5"/>
  <c r="Z603" i="5"/>
  <c r="Y603" i="5"/>
  <c r="AF602" i="5"/>
  <c r="AD602" i="5"/>
  <c r="AC602" i="5"/>
  <c r="AB602" i="5"/>
  <c r="AA602" i="5"/>
  <c r="Z602" i="5"/>
  <c r="Y602" i="5"/>
  <c r="AF601" i="5"/>
  <c r="AD601" i="5"/>
  <c r="AC601" i="5"/>
  <c r="X601" i="5" s="1"/>
  <c r="AB601" i="5"/>
  <c r="AA601" i="5"/>
  <c r="Z601" i="5"/>
  <c r="Y601" i="5"/>
  <c r="AF600" i="5"/>
  <c r="AD600" i="5"/>
  <c r="AC600" i="5"/>
  <c r="X600" i="5" s="1"/>
  <c r="AB600" i="5"/>
  <c r="AA600" i="5"/>
  <c r="Z600" i="5"/>
  <c r="Y600" i="5"/>
  <c r="AF599" i="5"/>
  <c r="AD599" i="5"/>
  <c r="AE599" i="5" s="1"/>
  <c r="AC599" i="5"/>
  <c r="AB599" i="5"/>
  <c r="AA599" i="5"/>
  <c r="Z599" i="5"/>
  <c r="Y599" i="5"/>
  <c r="X599" i="5"/>
  <c r="AF598" i="5"/>
  <c r="AD598" i="5"/>
  <c r="AC598" i="5"/>
  <c r="AB598" i="5"/>
  <c r="AA598" i="5"/>
  <c r="Z598" i="5"/>
  <c r="Y598" i="5"/>
  <c r="AF597" i="5"/>
  <c r="AD597" i="5"/>
  <c r="AC597" i="5"/>
  <c r="X597" i="5" s="1"/>
  <c r="AB597" i="5"/>
  <c r="AA597" i="5"/>
  <c r="Z597" i="5"/>
  <c r="Y597" i="5"/>
  <c r="AF596" i="5"/>
  <c r="AD596" i="5"/>
  <c r="AC596" i="5"/>
  <c r="AB596" i="5"/>
  <c r="AA596" i="5"/>
  <c r="Z596" i="5"/>
  <c r="Y596" i="5"/>
  <c r="AF595" i="5"/>
  <c r="AD595" i="5"/>
  <c r="AC595" i="5"/>
  <c r="AB595" i="5"/>
  <c r="AA595" i="5"/>
  <c r="Z595" i="5"/>
  <c r="Y595" i="5"/>
  <c r="AF594" i="5"/>
  <c r="AD594" i="5"/>
  <c r="AC594" i="5"/>
  <c r="AB594" i="5"/>
  <c r="AA594" i="5"/>
  <c r="Z594" i="5"/>
  <c r="Y594" i="5"/>
  <c r="AF593" i="5"/>
  <c r="AD593" i="5"/>
  <c r="AC593" i="5"/>
  <c r="X593" i="5" s="1"/>
  <c r="AB593" i="5"/>
  <c r="AA593" i="5"/>
  <c r="Z593" i="5"/>
  <c r="Y593" i="5"/>
  <c r="AF592" i="5"/>
  <c r="AD592" i="5"/>
  <c r="AC592" i="5"/>
  <c r="X592" i="5" s="1"/>
  <c r="AB592" i="5"/>
  <c r="AA592" i="5"/>
  <c r="Z592" i="5"/>
  <c r="Y592" i="5"/>
  <c r="AF591" i="5"/>
  <c r="AD591" i="5"/>
  <c r="AC591" i="5"/>
  <c r="AB591" i="5"/>
  <c r="AA591" i="5"/>
  <c r="Z591" i="5"/>
  <c r="Y591" i="5"/>
  <c r="X591" i="5"/>
  <c r="AF590" i="5"/>
  <c r="AD590" i="5"/>
  <c r="AC590" i="5"/>
  <c r="AE590" i="5" s="1"/>
  <c r="AB590" i="5"/>
  <c r="AA590" i="5"/>
  <c r="Z590" i="5"/>
  <c r="Y590" i="5"/>
  <c r="AF589" i="5"/>
  <c r="AD589" i="5"/>
  <c r="AC589" i="5"/>
  <c r="X589" i="5" s="1"/>
  <c r="AB589" i="5"/>
  <c r="AA589" i="5"/>
  <c r="Z589" i="5"/>
  <c r="Y589" i="5"/>
  <c r="AF588" i="5"/>
  <c r="AD588" i="5"/>
  <c r="AE588" i="5" s="1"/>
  <c r="AC588" i="5"/>
  <c r="X588" i="5" s="1"/>
  <c r="AB588" i="5"/>
  <c r="AA588" i="5"/>
  <c r="Z588" i="5"/>
  <c r="Y588" i="5"/>
  <c r="AF587" i="5"/>
  <c r="AD587" i="5"/>
  <c r="AC587" i="5"/>
  <c r="X587" i="5" s="1"/>
  <c r="AB587" i="5"/>
  <c r="AA587" i="5"/>
  <c r="Z587" i="5"/>
  <c r="Y587" i="5"/>
  <c r="AF586" i="5"/>
  <c r="AD586" i="5"/>
  <c r="AC586" i="5"/>
  <c r="AB586" i="5"/>
  <c r="AA586" i="5"/>
  <c r="Z586" i="5"/>
  <c r="Y586" i="5"/>
  <c r="AF585" i="5"/>
  <c r="AD585" i="5"/>
  <c r="AC585" i="5"/>
  <c r="X585" i="5" s="1"/>
  <c r="AB585" i="5"/>
  <c r="AA585" i="5"/>
  <c r="Z585" i="5"/>
  <c r="Y585" i="5"/>
  <c r="AF584" i="5"/>
  <c r="AD584" i="5"/>
  <c r="AC584" i="5"/>
  <c r="X584" i="5" s="1"/>
  <c r="AB584" i="5"/>
  <c r="AA584" i="5"/>
  <c r="Z584" i="5"/>
  <c r="Y584" i="5"/>
  <c r="AF583" i="5"/>
  <c r="AD583" i="5"/>
  <c r="AC583" i="5"/>
  <c r="X583" i="5" s="1"/>
  <c r="AB583" i="5"/>
  <c r="AA583" i="5"/>
  <c r="Z583" i="5"/>
  <c r="Y583" i="5"/>
  <c r="AF582" i="5"/>
  <c r="AD582" i="5"/>
  <c r="AC582" i="5"/>
  <c r="AE582" i="5" s="1"/>
  <c r="AB582" i="5"/>
  <c r="AA582" i="5"/>
  <c r="Z582" i="5"/>
  <c r="Y582" i="5"/>
  <c r="AF581" i="5"/>
  <c r="AD581" i="5"/>
  <c r="AC581" i="5"/>
  <c r="X581" i="5" s="1"/>
  <c r="AB581" i="5"/>
  <c r="AA581" i="5"/>
  <c r="Z581" i="5"/>
  <c r="Y581" i="5"/>
  <c r="AF580" i="5"/>
  <c r="AD580" i="5"/>
  <c r="AC580" i="5"/>
  <c r="X580" i="5" s="1"/>
  <c r="AB580" i="5"/>
  <c r="AA580" i="5"/>
  <c r="Z580" i="5"/>
  <c r="Y580" i="5"/>
  <c r="AF579" i="5"/>
  <c r="AD579" i="5"/>
  <c r="AE579" i="5" s="1"/>
  <c r="AC579" i="5"/>
  <c r="AB579" i="5"/>
  <c r="AA579" i="5"/>
  <c r="Z579" i="5"/>
  <c r="Y579" i="5"/>
  <c r="X579" i="5"/>
  <c r="AF578" i="5"/>
  <c r="AD578" i="5"/>
  <c r="AC578" i="5"/>
  <c r="AB578" i="5"/>
  <c r="AA578" i="5"/>
  <c r="Z578" i="5"/>
  <c r="Y578" i="5"/>
  <c r="AF577" i="5"/>
  <c r="AD577" i="5"/>
  <c r="AC577" i="5"/>
  <c r="X577" i="5" s="1"/>
  <c r="AB577" i="5"/>
  <c r="AA577" i="5"/>
  <c r="Z577" i="5"/>
  <c r="Y577" i="5"/>
  <c r="AF576" i="5"/>
  <c r="AD576" i="5"/>
  <c r="AC576" i="5"/>
  <c r="X576" i="5" s="1"/>
  <c r="AB576" i="5"/>
  <c r="AA576" i="5"/>
  <c r="Z576" i="5"/>
  <c r="Y576" i="5"/>
  <c r="AF575" i="5"/>
  <c r="AD575" i="5"/>
  <c r="AC575" i="5"/>
  <c r="AB575" i="5"/>
  <c r="AA575" i="5"/>
  <c r="Z575" i="5"/>
  <c r="Y575" i="5"/>
  <c r="X575" i="5"/>
  <c r="AF574" i="5"/>
  <c r="AD574" i="5"/>
  <c r="AC574" i="5"/>
  <c r="AB574" i="5"/>
  <c r="AA574" i="5"/>
  <c r="Z574" i="5"/>
  <c r="Y574" i="5"/>
  <c r="AF573" i="5"/>
  <c r="AD573" i="5"/>
  <c r="AC573" i="5"/>
  <c r="X573" i="5" s="1"/>
  <c r="AB573" i="5"/>
  <c r="AA573" i="5"/>
  <c r="Z573" i="5"/>
  <c r="Y573" i="5"/>
  <c r="AF572" i="5"/>
  <c r="AD572" i="5"/>
  <c r="AC572" i="5"/>
  <c r="X572" i="5" s="1"/>
  <c r="AB572" i="5"/>
  <c r="AA572" i="5"/>
  <c r="Z572" i="5"/>
  <c r="Y572" i="5"/>
  <c r="AF571" i="5"/>
  <c r="AD571" i="5"/>
  <c r="AC571" i="5"/>
  <c r="AB571" i="5"/>
  <c r="AA571" i="5"/>
  <c r="Z571" i="5"/>
  <c r="Y571" i="5"/>
  <c r="X571" i="5"/>
  <c r="AF570" i="5"/>
  <c r="AD570" i="5"/>
  <c r="AC570" i="5"/>
  <c r="AB570" i="5"/>
  <c r="AA570" i="5"/>
  <c r="Z570" i="5"/>
  <c r="Y570" i="5"/>
  <c r="AF569" i="5"/>
  <c r="AD569" i="5"/>
  <c r="AC569" i="5"/>
  <c r="X569" i="5" s="1"/>
  <c r="AB569" i="5"/>
  <c r="AA569" i="5"/>
  <c r="Z569" i="5"/>
  <c r="Y569" i="5"/>
  <c r="AF568" i="5"/>
  <c r="AD568" i="5"/>
  <c r="AE568" i="5" s="1"/>
  <c r="AC568" i="5"/>
  <c r="X568" i="5" s="1"/>
  <c r="AB568" i="5"/>
  <c r="AA568" i="5"/>
  <c r="Z568" i="5"/>
  <c r="Y568" i="5"/>
  <c r="AF567" i="5"/>
  <c r="AD567" i="5"/>
  <c r="AC567" i="5"/>
  <c r="X567" i="5" s="1"/>
  <c r="AB567" i="5"/>
  <c r="AA567" i="5"/>
  <c r="Z567" i="5"/>
  <c r="Y567" i="5"/>
  <c r="AF566" i="5"/>
  <c r="AD566" i="5"/>
  <c r="AC566" i="5"/>
  <c r="AE566" i="5" s="1"/>
  <c r="AB566" i="5"/>
  <c r="AA566" i="5"/>
  <c r="Z566" i="5"/>
  <c r="Y566" i="5"/>
  <c r="AF565" i="5"/>
  <c r="AD565" i="5"/>
  <c r="AC565" i="5"/>
  <c r="X565" i="5" s="1"/>
  <c r="AB565" i="5"/>
  <c r="AA565" i="5"/>
  <c r="Z565" i="5"/>
  <c r="Y565" i="5"/>
  <c r="AF564" i="5"/>
  <c r="AD564" i="5"/>
  <c r="AE564" i="5" s="1"/>
  <c r="AC564" i="5"/>
  <c r="X564" i="5" s="1"/>
  <c r="AB564" i="5"/>
  <c r="AA564" i="5"/>
  <c r="Z564" i="5"/>
  <c r="Y564" i="5"/>
  <c r="AF563" i="5"/>
  <c r="AD563" i="5"/>
  <c r="AE563" i="5" s="1"/>
  <c r="AC563" i="5"/>
  <c r="AB563" i="5"/>
  <c r="AA563" i="5"/>
  <c r="Z563" i="5"/>
  <c r="Y563" i="5"/>
  <c r="X563" i="5"/>
  <c r="AF562" i="5"/>
  <c r="AD562" i="5"/>
  <c r="AC562" i="5"/>
  <c r="AB562" i="5"/>
  <c r="AA562" i="5"/>
  <c r="Z562" i="5"/>
  <c r="Y562" i="5"/>
  <c r="AF561" i="5"/>
  <c r="AD561" i="5"/>
  <c r="AC561" i="5"/>
  <c r="X561" i="5" s="1"/>
  <c r="AB561" i="5"/>
  <c r="AA561" i="5"/>
  <c r="Z561" i="5"/>
  <c r="Y561" i="5"/>
  <c r="AF560" i="5"/>
  <c r="AD560" i="5"/>
  <c r="AC560" i="5"/>
  <c r="X560" i="5" s="1"/>
  <c r="AB560" i="5"/>
  <c r="AA560" i="5"/>
  <c r="Z560" i="5"/>
  <c r="Y560" i="5"/>
  <c r="AF559" i="5"/>
  <c r="AD559" i="5"/>
  <c r="AC559" i="5"/>
  <c r="AB559" i="5"/>
  <c r="AA559" i="5"/>
  <c r="Z559" i="5"/>
  <c r="Y559" i="5"/>
  <c r="X559" i="5"/>
  <c r="AF558" i="5"/>
  <c r="AD558" i="5"/>
  <c r="AC558" i="5"/>
  <c r="AB558" i="5"/>
  <c r="AA558" i="5"/>
  <c r="Z558" i="5"/>
  <c r="Y558" i="5"/>
  <c r="AF557" i="5"/>
  <c r="AD557" i="5"/>
  <c r="AC557" i="5"/>
  <c r="X557" i="5" s="1"/>
  <c r="AB557" i="5"/>
  <c r="AA557" i="5"/>
  <c r="Z557" i="5"/>
  <c r="Y557" i="5"/>
  <c r="AF556" i="5"/>
  <c r="AD556" i="5"/>
  <c r="AC556" i="5"/>
  <c r="X556" i="5" s="1"/>
  <c r="AB556" i="5"/>
  <c r="AA556" i="5"/>
  <c r="Z556" i="5"/>
  <c r="Y556" i="5"/>
  <c r="AF555" i="5"/>
  <c r="AD555" i="5"/>
  <c r="AC555" i="5"/>
  <c r="AB555" i="5"/>
  <c r="AA555" i="5"/>
  <c r="Z555" i="5"/>
  <c r="Y555" i="5"/>
  <c r="X555" i="5"/>
  <c r="AF554" i="5"/>
  <c r="AD554" i="5"/>
  <c r="AC554" i="5"/>
  <c r="AB554" i="5"/>
  <c r="AA554" i="5"/>
  <c r="Z554" i="5"/>
  <c r="Y554" i="5"/>
  <c r="AF553" i="5"/>
  <c r="AD553" i="5"/>
  <c r="AC553" i="5"/>
  <c r="X553" i="5" s="1"/>
  <c r="AB553" i="5"/>
  <c r="AA553" i="5"/>
  <c r="Z553" i="5"/>
  <c r="Y553" i="5"/>
  <c r="AF552" i="5"/>
  <c r="AD552" i="5"/>
  <c r="AE552" i="5" s="1"/>
  <c r="AC552" i="5"/>
  <c r="X552" i="5" s="1"/>
  <c r="AB552" i="5"/>
  <c r="AA552" i="5"/>
  <c r="Z552" i="5"/>
  <c r="Y552" i="5"/>
  <c r="AF551" i="5"/>
  <c r="AD551" i="5"/>
  <c r="AC551" i="5"/>
  <c r="X551" i="5" s="1"/>
  <c r="AB551" i="5"/>
  <c r="AA551" i="5"/>
  <c r="Z551" i="5"/>
  <c r="Y551" i="5"/>
  <c r="AF550" i="5"/>
  <c r="AD550" i="5"/>
  <c r="AC550" i="5"/>
  <c r="AE550" i="5" s="1"/>
  <c r="AB550" i="5"/>
  <c r="AA550" i="5"/>
  <c r="Z550" i="5"/>
  <c r="Y550" i="5"/>
  <c r="AF549" i="5"/>
  <c r="AD549" i="5"/>
  <c r="AC549" i="5"/>
  <c r="X549" i="5" s="1"/>
  <c r="AB549" i="5"/>
  <c r="AA549" i="5"/>
  <c r="Z549" i="5"/>
  <c r="Y549" i="5"/>
  <c r="AF548" i="5"/>
  <c r="AD548" i="5"/>
  <c r="AE548" i="5" s="1"/>
  <c r="AC548" i="5"/>
  <c r="X548" i="5" s="1"/>
  <c r="AB548" i="5"/>
  <c r="AA548" i="5"/>
  <c r="Z548" i="5"/>
  <c r="Y548" i="5"/>
  <c r="AF547" i="5"/>
  <c r="AD547" i="5"/>
  <c r="AE547" i="5" s="1"/>
  <c r="AC547" i="5"/>
  <c r="AB547" i="5"/>
  <c r="AA547" i="5"/>
  <c r="Z547" i="5"/>
  <c r="Y547" i="5"/>
  <c r="X547" i="5"/>
  <c r="AF546" i="5"/>
  <c r="AD546" i="5"/>
  <c r="AC546" i="5"/>
  <c r="AB546" i="5"/>
  <c r="AA546" i="5"/>
  <c r="Z546" i="5"/>
  <c r="Y546" i="5"/>
  <c r="AF545" i="5"/>
  <c r="AD545" i="5"/>
  <c r="AC545" i="5"/>
  <c r="X545" i="5" s="1"/>
  <c r="AB545" i="5"/>
  <c r="AA545" i="5"/>
  <c r="Z545" i="5"/>
  <c r="Y545" i="5"/>
  <c r="AF544" i="5"/>
  <c r="AD544" i="5"/>
  <c r="AC544" i="5"/>
  <c r="X544" i="5" s="1"/>
  <c r="AB544" i="5"/>
  <c r="AA544" i="5"/>
  <c r="Z544" i="5"/>
  <c r="Y544" i="5"/>
  <c r="AF543" i="5"/>
  <c r="AD543" i="5"/>
  <c r="AC543" i="5"/>
  <c r="X543" i="5" s="1"/>
  <c r="AB543" i="5"/>
  <c r="AA543" i="5"/>
  <c r="Z543" i="5"/>
  <c r="Y543" i="5"/>
  <c r="AF542" i="5"/>
  <c r="AD542" i="5"/>
  <c r="AC542" i="5"/>
  <c r="AB542" i="5"/>
  <c r="AA542" i="5"/>
  <c r="Z542" i="5"/>
  <c r="Y542" i="5"/>
  <c r="AF541" i="5"/>
  <c r="AD541" i="5"/>
  <c r="AC541" i="5"/>
  <c r="X541" i="5" s="1"/>
  <c r="AB541" i="5"/>
  <c r="AA541" i="5"/>
  <c r="Z541" i="5"/>
  <c r="Y541" i="5"/>
  <c r="AF540" i="5"/>
  <c r="AD540" i="5"/>
  <c r="AC540" i="5"/>
  <c r="X540" i="5" s="1"/>
  <c r="AB540" i="5"/>
  <c r="AA540" i="5"/>
  <c r="Z540" i="5"/>
  <c r="Y540" i="5"/>
  <c r="AF539" i="5"/>
  <c r="AD539" i="5"/>
  <c r="AC539" i="5"/>
  <c r="AB539" i="5"/>
  <c r="AA539" i="5"/>
  <c r="Z539" i="5"/>
  <c r="Y539" i="5"/>
  <c r="X539" i="5"/>
  <c r="AF538" i="5"/>
  <c r="AD538" i="5"/>
  <c r="AC538" i="5"/>
  <c r="AB538" i="5"/>
  <c r="AA538" i="5"/>
  <c r="Z538" i="5"/>
  <c r="Y538" i="5"/>
  <c r="AF537" i="5"/>
  <c r="AD537" i="5"/>
  <c r="AC537" i="5"/>
  <c r="X537" i="5" s="1"/>
  <c r="AB537" i="5"/>
  <c r="AA537" i="5"/>
  <c r="Z537" i="5"/>
  <c r="Y537" i="5"/>
  <c r="AF536" i="5"/>
  <c r="AD536" i="5"/>
  <c r="AE536" i="5" s="1"/>
  <c r="AC536" i="5"/>
  <c r="X536" i="5" s="1"/>
  <c r="AB536" i="5"/>
  <c r="AA536" i="5"/>
  <c r="Z536" i="5"/>
  <c r="Y536" i="5"/>
  <c r="AF535" i="5"/>
  <c r="AD535" i="5"/>
  <c r="AC535" i="5"/>
  <c r="X535" i="5" s="1"/>
  <c r="AB535" i="5"/>
  <c r="AA535" i="5"/>
  <c r="Z535" i="5"/>
  <c r="Y535" i="5"/>
  <c r="AF534" i="5"/>
  <c r="AD534" i="5"/>
  <c r="AC534" i="5"/>
  <c r="AB534" i="5"/>
  <c r="AA534" i="5"/>
  <c r="Z534" i="5"/>
  <c r="Y534" i="5"/>
  <c r="AF533" i="5"/>
  <c r="AD533" i="5"/>
  <c r="AC533" i="5"/>
  <c r="X533" i="5" s="1"/>
  <c r="AB533" i="5"/>
  <c r="AA533" i="5"/>
  <c r="Z533" i="5"/>
  <c r="Y533" i="5"/>
  <c r="AF532" i="5"/>
  <c r="AD532" i="5"/>
  <c r="AE532" i="5" s="1"/>
  <c r="AC532" i="5"/>
  <c r="X532" i="5" s="1"/>
  <c r="AB532" i="5"/>
  <c r="AA532" i="5"/>
  <c r="Z532" i="5"/>
  <c r="Y532" i="5"/>
  <c r="AF531" i="5"/>
  <c r="AD531" i="5"/>
  <c r="AE531" i="5" s="1"/>
  <c r="AC531" i="5"/>
  <c r="AB531" i="5"/>
  <c r="AA531" i="5"/>
  <c r="Z531" i="5"/>
  <c r="Y531" i="5"/>
  <c r="X531" i="5"/>
  <c r="AF530" i="5"/>
  <c r="AD530" i="5"/>
  <c r="AC530" i="5"/>
  <c r="AB530" i="5"/>
  <c r="AA530" i="5"/>
  <c r="Z530" i="5"/>
  <c r="Y530" i="5"/>
  <c r="AF529" i="5"/>
  <c r="AD529" i="5"/>
  <c r="AC529" i="5"/>
  <c r="X529" i="5" s="1"/>
  <c r="AB529" i="5"/>
  <c r="AA529" i="5"/>
  <c r="Z529" i="5"/>
  <c r="Y529" i="5"/>
  <c r="AF528" i="5"/>
  <c r="AD528" i="5"/>
  <c r="AC528" i="5"/>
  <c r="X528" i="5" s="1"/>
  <c r="AB528" i="5"/>
  <c r="AA528" i="5"/>
  <c r="Z528" i="5"/>
  <c r="Y528" i="5"/>
  <c r="AF527" i="5"/>
  <c r="AD527" i="5"/>
  <c r="AC527" i="5"/>
  <c r="X527" i="5" s="1"/>
  <c r="AB527" i="5"/>
  <c r="AA527" i="5"/>
  <c r="Z527" i="5"/>
  <c r="Y527" i="5"/>
  <c r="AF526" i="5"/>
  <c r="AD526" i="5"/>
  <c r="AC526" i="5"/>
  <c r="AE526" i="5" s="1"/>
  <c r="AB526" i="5"/>
  <c r="AA526" i="5"/>
  <c r="Z526" i="5"/>
  <c r="Y526" i="5"/>
  <c r="AF525" i="5"/>
  <c r="AD525" i="5"/>
  <c r="AC525" i="5"/>
  <c r="X525" i="5" s="1"/>
  <c r="AB525" i="5"/>
  <c r="AA525" i="5"/>
  <c r="Z525" i="5"/>
  <c r="Y525" i="5"/>
  <c r="AF524" i="5"/>
  <c r="AD524" i="5"/>
  <c r="AC524" i="5"/>
  <c r="X524" i="5" s="1"/>
  <c r="AB524" i="5"/>
  <c r="AA524" i="5"/>
  <c r="Z524" i="5"/>
  <c r="Y524" i="5"/>
  <c r="AF523" i="5"/>
  <c r="AD523" i="5"/>
  <c r="AE523" i="5" s="1"/>
  <c r="AC523" i="5"/>
  <c r="AB523" i="5"/>
  <c r="AA523" i="5"/>
  <c r="Z523" i="5"/>
  <c r="Y523" i="5"/>
  <c r="X523" i="5"/>
  <c r="AF522" i="5"/>
  <c r="AD522" i="5"/>
  <c r="AC522" i="5"/>
  <c r="AB522" i="5"/>
  <c r="AA522" i="5"/>
  <c r="Z522" i="5"/>
  <c r="Y522" i="5"/>
  <c r="AF521" i="5"/>
  <c r="AD521" i="5"/>
  <c r="AC521" i="5"/>
  <c r="X521" i="5" s="1"/>
  <c r="AB521" i="5"/>
  <c r="AA521" i="5"/>
  <c r="Z521" i="5"/>
  <c r="Y521" i="5"/>
  <c r="AF520" i="5"/>
  <c r="AD520" i="5"/>
  <c r="AC520" i="5"/>
  <c r="X520" i="5" s="1"/>
  <c r="AB520" i="5"/>
  <c r="AA520" i="5"/>
  <c r="Z520" i="5"/>
  <c r="Y520" i="5"/>
  <c r="AF519" i="5"/>
  <c r="AD519" i="5"/>
  <c r="AC519" i="5"/>
  <c r="X519" i="5" s="1"/>
  <c r="AB519" i="5"/>
  <c r="AA519" i="5"/>
  <c r="Z519" i="5"/>
  <c r="Y519" i="5"/>
  <c r="AF518" i="5"/>
  <c r="AD518" i="5"/>
  <c r="AC518" i="5"/>
  <c r="AB518" i="5"/>
  <c r="AA518" i="5"/>
  <c r="Z518" i="5"/>
  <c r="Y518" i="5"/>
  <c r="AF517" i="5"/>
  <c r="AD517" i="5"/>
  <c r="AC517" i="5"/>
  <c r="X517" i="5" s="1"/>
  <c r="AB517" i="5"/>
  <c r="AA517" i="5"/>
  <c r="Z517" i="5"/>
  <c r="Y517" i="5"/>
  <c r="AF516" i="5"/>
  <c r="AD516" i="5"/>
  <c r="AC516" i="5"/>
  <c r="X516" i="5" s="1"/>
  <c r="AB516" i="5"/>
  <c r="AA516" i="5"/>
  <c r="Z516" i="5"/>
  <c r="Y516" i="5"/>
  <c r="AF515" i="5"/>
  <c r="AD515" i="5"/>
  <c r="AE515" i="5" s="1"/>
  <c r="AC515" i="5"/>
  <c r="AB515" i="5"/>
  <c r="AA515" i="5"/>
  <c r="Z515" i="5"/>
  <c r="Y515" i="5"/>
  <c r="X515" i="5"/>
  <c r="AF514" i="5"/>
  <c r="AD514" i="5"/>
  <c r="AC514" i="5"/>
  <c r="AB514" i="5"/>
  <c r="AA514" i="5"/>
  <c r="Z514" i="5"/>
  <c r="Y514" i="5"/>
  <c r="AF513" i="5"/>
  <c r="AD513" i="5"/>
  <c r="AC513" i="5"/>
  <c r="X513" i="5" s="1"/>
  <c r="AB513" i="5"/>
  <c r="AA513" i="5"/>
  <c r="Z513" i="5"/>
  <c r="Y513" i="5"/>
  <c r="AF512" i="5"/>
  <c r="AD512" i="5"/>
  <c r="AC512" i="5"/>
  <c r="X512" i="5" s="1"/>
  <c r="AB512" i="5"/>
  <c r="AA512" i="5"/>
  <c r="Z512" i="5"/>
  <c r="Y512" i="5"/>
  <c r="AF511" i="5"/>
  <c r="AD511" i="5"/>
  <c r="AC511" i="5"/>
  <c r="X511" i="5" s="1"/>
  <c r="AB511" i="5"/>
  <c r="AA511" i="5"/>
  <c r="Z511" i="5"/>
  <c r="Y511" i="5"/>
  <c r="AF510" i="5"/>
  <c r="AD510" i="5"/>
  <c r="AC510" i="5"/>
  <c r="AB510" i="5"/>
  <c r="AA510" i="5"/>
  <c r="Z510" i="5"/>
  <c r="Y510" i="5"/>
  <c r="AF509" i="5"/>
  <c r="AD509" i="5"/>
  <c r="AC509" i="5"/>
  <c r="X509" i="5" s="1"/>
  <c r="AB509" i="5"/>
  <c r="AA509" i="5"/>
  <c r="Z509" i="5"/>
  <c r="Y509" i="5"/>
  <c r="AF508" i="5"/>
  <c r="AD508" i="5"/>
  <c r="AE508" i="5" s="1"/>
  <c r="AC508" i="5"/>
  <c r="X508" i="5" s="1"/>
  <c r="AB508" i="5"/>
  <c r="AA508" i="5"/>
  <c r="Z508" i="5"/>
  <c r="Y508" i="5"/>
  <c r="AF507" i="5"/>
  <c r="AD507" i="5"/>
  <c r="AE507" i="5" s="1"/>
  <c r="AC507" i="5"/>
  <c r="X507" i="5" s="1"/>
  <c r="AB507" i="5"/>
  <c r="AA507" i="5"/>
  <c r="Z507" i="5"/>
  <c r="Y507" i="5"/>
  <c r="AF506" i="5"/>
  <c r="AD506" i="5"/>
  <c r="AC506" i="5"/>
  <c r="AB506" i="5"/>
  <c r="AA506" i="5"/>
  <c r="Z506" i="5"/>
  <c r="Y506" i="5"/>
  <c r="AF505" i="5"/>
  <c r="AD505" i="5"/>
  <c r="AC505" i="5"/>
  <c r="X505" i="5" s="1"/>
  <c r="AB505" i="5"/>
  <c r="AA505" i="5"/>
  <c r="Z505" i="5"/>
  <c r="Y505" i="5"/>
  <c r="AF504" i="5"/>
  <c r="AD504" i="5"/>
  <c r="AE504" i="5" s="1"/>
  <c r="AC504" i="5"/>
  <c r="X504" i="5" s="1"/>
  <c r="AB504" i="5"/>
  <c r="AA504" i="5"/>
  <c r="Z504" i="5"/>
  <c r="Y504" i="5"/>
  <c r="AF503" i="5"/>
  <c r="AD503" i="5"/>
  <c r="AC503" i="5"/>
  <c r="X503" i="5" s="1"/>
  <c r="AB503" i="5"/>
  <c r="AA503" i="5"/>
  <c r="Z503" i="5"/>
  <c r="Y503" i="5"/>
  <c r="AF502" i="5"/>
  <c r="AD502" i="5"/>
  <c r="AC502" i="5"/>
  <c r="X502" i="5" s="1"/>
  <c r="AB502" i="5"/>
  <c r="AA502" i="5"/>
  <c r="Z502" i="5"/>
  <c r="Y502" i="5"/>
  <c r="AF501" i="5"/>
  <c r="AD501" i="5"/>
  <c r="AC501" i="5"/>
  <c r="X501" i="5" s="1"/>
  <c r="AB501" i="5"/>
  <c r="AA501" i="5"/>
  <c r="Z501" i="5"/>
  <c r="Y501" i="5"/>
  <c r="AF500" i="5"/>
  <c r="AD500" i="5"/>
  <c r="AC500" i="5"/>
  <c r="AB500" i="5"/>
  <c r="AA500" i="5"/>
  <c r="Z500" i="5"/>
  <c r="Y500" i="5"/>
  <c r="AF499" i="5"/>
  <c r="AD499" i="5"/>
  <c r="AC499" i="5"/>
  <c r="AB499" i="5"/>
  <c r="AA499" i="5"/>
  <c r="Z499" i="5"/>
  <c r="Y499" i="5"/>
  <c r="AF498" i="5"/>
  <c r="AD498" i="5"/>
  <c r="AC498" i="5"/>
  <c r="AB498" i="5"/>
  <c r="AA498" i="5"/>
  <c r="Z498" i="5"/>
  <c r="Y498" i="5"/>
  <c r="AF497" i="5"/>
  <c r="AD497" i="5"/>
  <c r="AC497" i="5"/>
  <c r="X497" i="5" s="1"/>
  <c r="AB497" i="5"/>
  <c r="AA497" i="5"/>
  <c r="Z497" i="5"/>
  <c r="Y497" i="5"/>
  <c r="AF496" i="5"/>
  <c r="AD496" i="5"/>
  <c r="AC496" i="5"/>
  <c r="X496" i="5" s="1"/>
  <c r="AB496" i="5"/>
  <c r="AA496" i="5"/>
  <c r="Z496" i="5"/>
  <c r="Y496" i="5"/>
  <c r="AF495" i="5"/>
  <c r="AD495" i="5"/>
  <c r="AC495" i="5"/>
  <c r="X495" i="5" s="1"/>
  <c r="AB495" i="5"/>
  <c r="AA495" i="5"/>
  <c r="Z495" i="5"/>
  <c r="Y495" i="5"/>
  <c r="AF494" i="5"/>
  <c r="AD494" i="5"/>
  <c r="AE494" i="5" s="1"/>
  <c r="AC494" i="5"/>
  <c r="X494" i="5" s="1"/>
  <c r="AB494" i="5"/>
  <c r="AA494" i="5"/>
  <c r="Z494" i="5"/>
  <c r="Y494" i="5"/>
  <c r="AF493" i="5"/>
  <c r="AD493" i="5"/>
  <c r="AC493" i="5"/>
  <c r="X493" i="5" s="1"/>
  <c r="AB493" i="5"/>
  <c r="AA493" i="5"/>
  <c r="Z493" i="5"/>
  <c r="Y493" i="5"/>
  <c r="AF492" i="5"/>
  <c r="AD492" i="5"/>
  <c r="AC492" i="5"/>
  <c r="X492" i="5" s="1"/>
  <c r="AB492" i="5"/>
  <c r="AA492" i="5"/>
  <c r="Z492" i="5"/>
  <c r="Y492" i="5"/>
  <c r="AF491" i="5"/>
  <c r="AD491" i="5"/>
  <c r="AC491" i="5"/>
  <c r="AB491" i="5"/>
  <c r="AA491" i="5"/>
  <c r="Z491" i="5"/>
  <c r="Y491" i="5"/>
  <c r="X491" i="5"/>
  <c r="AF490" i="5"/>
  <c r="AD490" i="5"/>
  <c r="AC490" i="5"/>
  <c r="AB490" i="5"/>
  <c r="AA490" i="5"/>
  <c r="Z490" i="5"/>
  <c r="Y490" i="5"/>
  <c r="AF489" i="5"/>
  <c r="AD489" i="5"/>
  <c r="AC489" i="5"/>
  <c r="X489" i="5" s="1"/>
  <c r="AB489" i="5"/>
  <c r="AA489" i="5"/>
  <c r="Z489" i="5"/>
  <c r="Y489" i="5"/>
  <c r="AF488" i="5"/>
  <c r="AD488" i="5"/>
  <c r="AC488" i="5"/>
  <c r="X488" i="5" s="1"/>
  <c r="AB488" i="5"/>
  <c r="AA488" i="5"/>
  <c r="Z488" i="5"/>
  <c r="Y488" i="5"/>
  <c r="AF487" i="5"/>
  <c r="AD487" i="5"/>
  <c r="AC487" i="5"/>
  <c r="X487" i="5" s="1"/>
  <c r="AB487" i="5"/>
  <c r="AA487" i="5"/>
  <c r="Z487" i="5"/>
  <c r="Y487" i="5"/>
  <c r="AF486" i="5"/>
  <c r="AD486" i="5"/>
  <c r="AE486" i="5" s="1"/>
  <c r="AC486" i="5"/>
  <c r="X486" i="5" s="1"/>
  <c r="AB486" i="5"/>
  <c r="AA486" i="5"/>
  <c r="Z486" i="5"/>
  <c r="Y486" i="5"/>
  <c r="AF485" i="5"/>
  <c r="AD485" i="5"/>
  <c r="AC485" i="5"/>
  <c r="X485" i="5" s="1"/>
  <c r="AB485" i="5"/>
  <c r="AA485" i="5"/>
  <c r="Z485" i="5"/>
  <c r="Y485" i="5"/>
  <c r="AF484" i="5"/>
  <c r="AD484" i="5"/>
  <c r="AC484" i="5"/>
  <c r="AB484" i="5"/>
  <c r="AA484" i="5"/>
  <c r="Z484" i="5"/>
  <c r="Y484" i="5"/>
  <c r="AF483" i="5"/>
  <c r="AD483" i="5"/>
  <c r="AC483" i="5"/>
  <c r="AB483" i="5"/>
  <c r="AA483" i="5"/>
  <c r="Z483" i="5"/>
  <c r="Y483" i="5"/>
  <c r="AF482" i="5"/>
  <c r="AD482" i="5"/>
  <c r="AC482" i="5"/>
  <c r="AB482" i="5"/>
  <c r="AA482" i="5"/>
  <c r="Z482" i="5"/>
  <c r="Y482" i="5"/>
  <c r="AF481" i="5"/>
  <c r="AD481" i="5"/>
  <c r="AC481" i="5"/>
  <c r="X481" i="5" s="1"/>
  <c r="AB481" i="5"/>
  <c r="AA481" i="5"/>
  <c r="Z481" i="5"/>
  <c r="Y481" i="5"/>
  <c r="AF480" i="5"/>
  <c r="AD480" i="5"/>
  <c r="AC480" i="5"/>
  <c r="X480" i="5" s="1"/>
  <c r="AB480" i="5"/>
  <c r="AA480" i="5"/>
  <c r="Z480" i="5"/>
  <c r="Y480" i="5"/>
  <c r="AF479" i="5"/>
  <c r="AD479" i="5"/>
  <c r="AC479" i="5"/>
  <c r="AB479" i="5"/>
  <c r="AA479" i="5"/>
  <c r="Z479" i="5"/>
  <c r="Y479" i="5"/>
  <c r="X479" i="5"/>
  <c r="AF478" i="5"/>
  <c r="AD478" i="5"/>
  <c r="AC478" i="5"/>
  <c r="AB478" i="5"/>
  <c r="AA478" i="5"/>
  <c r="Z478" i="5"/>
  <c r="Y478" i="5"/>
  <c r="AF477" i="5"/>
  <c r="AD477" i="5"/>
  <c r="AE477" i="5" s="1"/>
  <c r="AC477" i="5"/>
  <c r="X477" i="5" s="1"/>
  <c r="AB477" i="5"/>
  <c r="AA477" i="5"/>
  <c r="Z477" i="5"/>
  <c r="Y477" i="5"/>
  <c r="AF476" i="5"/>
  <c r="AE476" i="5"/>
  <c r="AD476" i="5"/>
  <c r="AC476" i="5"/>
  <c r="X476" i="5" s="1"/>
  <c r="AB476" i="5"/>
  <c r="AA476" i="5"/>
  <c r="Z476" i="5"/>
  <c r="Y476" i="5"/>
  <c r="AF475" i="5"/>
  <c r="AE475" i="5"/>
  <c r="AD475" i="5"/>
  <c r="AC475" i="5"/>
  <c r="AB475" i="5"/>
  <c r="AA475" i="5"/>
  <c r="Z475" i="5"/>
  <c r="Y475" i="5"/>
  <c r="X475" i="5"/>
  <c r="AF474" i="5"/>
  <c r="AD474" i="5"/>
  <c r="AC474" i="5"/>
  <c r="AB474" i="5"/>
  <c r="AA474" i="5"/>
  <c r="Z474" i="5"/>
  <c r="Y474" i="5"/>
  <c r="AF473" i="5"/>
  <c r="AD473" i="5"/>
  <c r="AE473" i="5" s="1"/>
  <c r="AC473" i="5"/>
  <c r="X473" i="5" s="1"/>
  <c r="AB473" i="5"/>
  <c r="AA473" i="5"/>
  <c r="Z473" i="5"/>
  <c r="Y473" i="5"/>
  <c r="AF472" i="5"/>
  <c r="AD472" i="5"/>
  <c r="AC472" i="5"/>
  <c r="X472" i="5" s="1"/>
  <c r="AB472" i="5"/>
  <c r="AA472" i="5"/>
  <c r="Z472" i="5"/>
  <c r="Y472" i="5"/>
  <c r="AF471" i="5"/>
  <c r="AD471" i="5"/>
  <c r="AC471" i="5"/>
  <c r="X471" i="5" s="1"/>
  <c r="AB471" i="5"/>
  <c r="AA471" i="5"/>
  <c r="Z471" i="5"/>
  <c r="Y471" i="5"/>
  <c r="AF470" i="5"/>
  <c r="AD470" i="5"/>
  <c r="AC470" i="5"/>
  <c r="AB470" i="5"/>
  <c r="AA470" i="5"/>
  <c r="Z470" i="5"/>
  <c r="Y470" i="5"/>
  <c r="AF469" i="5"/>
  <c r="AD469" i="5"/>
  <c r="AC469" i="5"/>
  <c r="X469" i="5" s="1"/>
  <c r="AB469" i="5"/>
  <c r="AA469" i="5"/>
  <c r="Z469" i="5"/>
  <c r="Y469" i="5"/>
  <c r="AF468" i="5"/>
  <c r="AD468" i="5"/>
  <c r="AC468" i="5"/>
  <c r="X468" i="5" s="1"/>
  <c r="AB468" i="5"/>
  <c r="AA468" i="5"/>
  <c r="Z468" i="5"/>
  <c r="Y468" i="5"/>
  <c r="AF467" i="5"/>
  <c r="AD467" i="5"/>
  <c r="AC467" i="5"/>
  <c r="AB467" i="5"/>
  <c r="AA467" i="5"/>
  <c r="Z467" i="5"/>
  <c r="Y467" i="5"/>
  <c r="X467" i="5"/>
  <c r="AF466" i="5"/>
  <c r="AD466" i="5"/>
  <c r="AC466" i="5"/>
  <c r="AB466" i="5"/>
  <c r="AA466" i="5"/>
  <c r="Z466" i="5"/>
  <c r="Y466" i="5"/>
  <c r="AF465" i="5"/>
  <c r="AD465" i="5"/>
  <c r="AC465" i="5"/>
  <c r="X465" i="5" s="1"/>
  <c r="AB465" i="5"/>
  <c r="AA465" i="5"/>
  <c r="Z465" i="5"/>
  <c r="Y465" i="5"/>
  <c r="AF464" i="5"/>
  <c r="AD464" i="5"/>
  <c r="AC464" i="5"/>
  <c r="AB464" i="5"/>
  <c r="AA464" i="5"/>
  <c r="Z464" i="5"/>
  <c r="Y464" i="5"/>
  <c r="AF463" i="5"/>
  <c r="AD463" i="5"/>
  <c r="AC463" i="5"/>
  <c r="AB463" i="5"/>
  <c r="AA463" i="5"/>
  <c r="Z463" i="5"/>
  <c r="Y463" i="5"/>
  <c r="AF462" i="5"/>
  <c r="AD462" i="5"/>
  <c r="AC462" i="5"/>
  <c r="AB462" i="5"/>
  <c r="AA462" i="5"/>
  <c r="Z462" i="5"/>
  <c r="Y462" i="5"/>
  <c r="AF461" i="5"/>
  <c r="AD461" i="5"/>
  <c r="AE461" i="5" s="1"/>
  <c r="AC461" i="5"/>
  <c r="X461" i="5" s="1"/>
  <c r="AB461" i="5"/>
  <c r="AA461" i="5"/>
  <c r="Z461" i="5"/>
  <c r="Y461" i="5"/>
  <c r="AF460" i="5"/>
  <c r="AD460" i="5"/>
  <c r="AE460" i="5" s="1"/>
  <c r="AC460" i="5"/>
  <c r="X460" i="5" s="1"/>
  <c r="AB460" i="5"/>
  <c r="AA460" i="5"/>
  <c r="Z460" i="5"/>
  <c r="Y460" i="5"/>
  <c r="AF459" i="5"/>
  <c r="AD459" i="5"/>
  <c r="AC459" i="5"/>
  <c r="X459" i="5" s="1"/>
  <c r="AB459" i="5"/>
  <c r="AA459" i="5"/>
  <c r="Z459" i="5"/>
  <c r="Y459" i="5"/>
  <c r="AF458" i="5"/>
  <c r="AD458" i="5"/>
  <c r="AC458" i="5"/>
  <c r="AB458" i="5"/>
  <c r="AA458" i="5"/>
  <c r="Z458" i="5"/>
  <c r="Y458" i="5"/>
  <c r="AF457" i="5"/>
  <c r="AD457" i="5"/>
  <c r="AC457" i="5"/>
  <c r="X457" i="5" s="1"/>
  <c r="AB457" i="5"/>
  <c r="AA457" i="5"/>
  <c r="Z457" i="5"/>
  <c r="Y457" i="5"/>
  <c r="AF456" i="5"/>
  <c r="AD456" i="5"/>
  <c r="AC456" i="5"/>
  <c r="AB456" i="5"/>
  <c r="AA456" i="5"/>
  <c r="Z456" i="5"/>
  <c r="Y456" i="5"/>
  <c r="AF455" i="5"/>
  <c r="AD455" i="5"/>
  <c r="AC455" i="5"/>
  <c r="AB455" i="5"/>
  <c r="AA455" i="5"/>
  <c r="Z455" i="5"/>
  <c r="Y455" i="5"/>
  <c r="AF454" i="5"/>
  <c r="AD454" i="5"/>
  <c r="AC454" i="5"/>
  <c r="AB454" i="5"/>
  <c r="AA454" i="5"/>
  <c r="Z454" i="5"/>
  <c r="Y454" i="5"/>
  <c r="AF453" i="5"/>
  <c r="AD453" i="5"/>
  <c r="AC453" i="5"/>
  <c r="X453" i="5" s="1"/>
  <c r="AB453" i="5"/>
  <c r="AA453" i="5"/>
  <c r="Z453" i="5"/>
  <c r="Y453" i="5"/>
  <c r="AF452" i="5"/>
  <c r="AD452" i="5"/>
  <c r="AC452" i="5"/>
  <c r="X452" i="5" s="1"/>
  <c r="AB452" i="5"/>
  <c r="AA452" i="5"/>
  <c r="Z452" i="5"/>
  <c r="Y452" i="5"/>
  <c r="AF451" i="5"/>
  <c r="AD451" i="5"/>
  <c r="AC451" i="5"/>
  <c r="X451" i="5" s="1"/>
  <c r="AB451" i="5"/>
  <c r="AA451" i="5"/>
  <c r="Z451" i="5"/>
  <c r="Y451" i="5"/>
  <c r="AF450" i="5"/>
  <c r="AD450" i="5"/>
  <c r="AC450" i="5"/>
  <c r="AB450" i="5"/>
  <c r="AA450" i="5"/>
  <c r="Z450" i="5"/>
  <c r="Y450" i="5"/>
  <c r="AF449" i="5"/>
  <c r="AD449" i="5"/>
  <c r="AC449" i="5"/>
  <c r="X449" i="5" s="1"/>
  <c r="AB449" i="5"/>
  <c r="AA449" i="5"/>
  <c r="Z449" i="5"/>
  <c r="Y449" i="5"/>
  <c r="AF448" i="5"/>
  <c r="AD448" i="5"/>
  <c r="AE448" i="5" s="1"/>
  <c r="AC448" i="5"/>
  <c r="X448" i="5" s="1"/>
  <c r="AB448" i="5"/>
  <c r="AA448" i="5"/>
  <c r="Z448" i="5"/>
  <c r="Y448" i="5"/>
  <c r="AF447" i="5"/>
  <c r="AD447" i="5"/>
  <c r="AE447" i="5" s="1"/>
  <c r="AC447" i="5"/>
  <c r="X447" i="5" s="1"/>
  <c r="AB447" i="5"/>
  <c r="AA447" i="5"/>
  <c r="Z447" i="5"/>
  <c r="Y447" i="5"/>
  <c r="AF446" i="5"/>
  <c r="AD446" i="5"/>
  <c r="AC446" i="5"/>
  <c r="AB446" i="5"/>
  <c r="AA446" i="5"/>
  <c r="Z446" i="5"/>
  <c r="Y446" i="5"/>
  <c r="AF445" i="5"/>
  <c r="AD445" i="5"/>
  <c r="AC445" i="5"/>
  <c r="X445" i="5" s="1"/>
  <c r="AB445" i="5"/>
  <c r="AA445" i="5"/>
  <c r="Z445" i="5"/>
  <c r="Y445" i="5"/>
  <c r="AF444" i="5"/>
  <c r="AD444" i="5"/>
  <c r="AE444" i="5" s="1"/>
  <c r="AC444" i="5"/>
  <c r="X444" i="5" s="1"/>
  <c r="AB444" i="5"/>
  <c r="AA444" i="5"/>
  <c r="Z444" i="5"/>
  <c r="Y444" i="5"/>
  <c r="AF443" i="5"/>
  <c r="AD443" i="5"/>
  <c r="AE443" i="5" s="1"/>
  <c r="AC443" i="5"/>
  <c r="X443" i="5" s="1"/>
  <c r="AB443" i="5"/>
  <c r="AA443" i="5"/>
  <c r="Z443" i="5"/>
  <c r="Y443" i="5"/>
  <c r="AF442" i="5"/>
  <c r="AD442" i="5"/>
  <c r="AC442" i="5"/>
  <c r="AB442" i="5"/>
  <c r="AA442" i="5"/>
  <c r="Z442" i="5"/>
  <c r="Y442" i="5"/>
  <c r="AF441" i="5"/>
  <c r="AD441" i="5"/>
  <c r="AC441" i="5"/>
  <c r="X441" i="5" s="1"/>
  <c r="AB441" i="5"/>
  <c r="AA441" i="5"/>
  <c r="Z441" i="5"/>
  <c r="Y441" i="5"/>
  <c r="AF440" i="5"/>
  <c r="AD440" i="5"/>
  <c r="AC440" i="5"/>
  <c r="X440" i="5" s="1"/>
  <c r="AB440" i="5"/>
  <c r="AA440" i="5"/>
  <c r="Z440" i="5"/>
  <c r="Y440" i="5"/>
  <c r="AF439" i="5"/>
  <c r="AD439" i="5"/>
  <c r="AC439" i="5"/>
  <c r="X439" i="5" s="1"/>
  <c r="AB439" i="5"/>
  <c r="AA439" i="5"/>
  <c r="Z439" i="5"/>
  <c r="Y439" i="5"/>
  <c r="AF438" i="5"/>
  <c r="AD438" i="5"/>
  <c r="AC438" i="5"/>
  <c r="AB438" i="5"/>
  <c r="AA438" i="5"/>
  <c r="Z438" i="5"/>
  <c r="Y438" i="5"/>
  <c r="AF437" i="5"/>
  <c r="AD437" i="5"/>
  <c r="AC437" i="5"/>
  <c r="X437" i="5" s="1"/>
  <c r="AB437" i="5"/>
  <c r="AA437" i="5"/>
  <c r="Z437" i="5"/>
  <c r="Y437" i="5"/>
  <c r="AF436" i="5"/>
  <c r="AD436" i="5"/>
  <c r="AC436" i="5"/>
  <c r="X436" i="5" s="1"/>
  <c r="AB436" i="5"/>
  <c r="AA436" i="5"/>
  <c r="Z436" i="5"/>
  <c r="Y436" i="5"/>
  <c r="AF435" i="5"/>
  <c r="AD435" i="5"/>
  <c r="AC435" i="5"/>
  <c r="AB435" i="5"/>
  <c r="AA435" i="5"/>
  <c r="Z435" i="5"/>
  <c r="Y435" i="5"/>
  <c r="X435" i="5"/>
  <c r="AF434" i="5"/>
  <c r="AD434" i="5"/>
  <c r="AC434" i="5"/>
  <c r="AB434" i="5"/>
  <c r="AA434" i="5"/>
  <c r="Z434" i="5"/>
  <c r="Y434" i="5"/>
  <c r="AF433" i="5"/>
  <c r="AD433" i="5"/>
  <c r="AC433" i="5"/>
  <c r="X433" i="5" s="1"/>
  <c r="AB433" i="5"/>
  <c r="AA433" i="5"/>
  <c r="Z433" i="5"/>
  <c r="Y433" i="5"/>
  <c r="AF432" i="5"/>
  <c r="AD432" i="5"/>
  <c r="AE432" i="5" s="1"/>
  <c r="AC432" i="5"/>
  <c r="X432" i="5" s="1"/>
  <c r="AB432" i="5"/>
  <c r="AA432" i="5"/>
  <c r="Z432" i="5"/>
  <c r="Y432" i="5"/>
  <c r="AF431" i="5"/>
  <c r="AD431" i="5"/>
  <c r="AE431" i="5" s="1"/>
  <c r="AC431" i="5"/>
  <c r="X431" i="5" s="1"/>
  <c r="AB431" i="5"/>
  <c r="AA431" i="5"/>
  <c r="Z431" i="5"/>
  <c r="Y431" i="5"/>
  <c r="AF430" i="5"/>
  <c r="AD430" i="5"/>
  <c r="AC430" i="5"/>
  <c r="AB430" i="5"/>
  <c r="AA430" i="5"/>
  <c r="Z430" i="5"/>
  <c r="Y430" i="5"/>
  <c r="AF429" i="5"/>
  <c r="AD429" i="5"/>
  <c r="AC429" i="5"/>
  <c r="X429" i="5" s="1"/>
  <c r="AB429" i="5"/>
  <c r="AA429" i="5"/>
  <c r="Z429" i="5"/>
  <c r="Y429" i="5"/>
  <c r="AF428" i="5"/>
  <c r="AD428" i="5"/>
  <c r="AE428" i="5" s="1"/>
  <c r="AC428" i="5"/>
  <c r="X428" i="5" s="1"/>
  <c r="AB428" i="5"/>
  <c r="AA428" i="5"/>
  <c r="Z428" i="5"/>
  <c r="Y428" i="5"/>
  <c r="AF427" i="5"/>
  <c r="AD427" i="5"/>
  <c r="AC427" i="5"/>
  <c r="X427" i="5" s="1"/>
  <c r="AB427" i="5"/>
  <c r="AA427" i="5"/>
  <c r="Z427" i="5"/>
  <c r="Y427" i="5"/>
  <c r="AF426" i="5"/>
  <c r="AD426" i="5"/>
  <c r="AC426" i="5"/>
  <c r="X426" i="5" s="1"/>
  <c r="AB426" i="5"/>
  <c r="AA426" i="5"/>
  <c r="Z426" i="5"/>
  <c r="Y426" i="5"/>
  <c r="AF425" i="5"/>
  <c r="AD425" i="5"/>
  <c r="AC425" i="5"/>
  <c r="X425" i="5" s="1"/>
  <c r="AB425" i="5"/>
  <c r="AA425" i="5"/>
  <c r="Z425" i="5"/>
  <c r="Y425" i="5"/>
  <c r="AF424" i="5"/>
  <c r="AD424" i="5"/>
  <c r="AC424" i="5"/>
  <c r="X424" i="5" s="1"/>
  <c r="AB424" i="5"/>
  <c r="AA424" i="5"/>
  <c r="Z424" i="5"/>
  <c r="Y424" i="5"/>
  <c r="AF423" i="5"/>
  <c r="AD423" i="5"/>
  <c r="AC423" i="5"/>
  <c r="AB423" i="5"/>
  <c r="AA423" i="5"/>
  <c r="Z423" i="5"/>
  <c r="Y423" i="5"/>
  <c r="AF422" i="5"/>
  <c r="AD422" i="5"/>
  <c r="AC422" i="5"/>
  <c r="AB422" i="5"/>
  <c r="AA422" i="5"/>
  <c r="Z422" i="5"/>
  <c r="Y422" i="5"/>
  <c r="AF421" i="5"/>
  <c r="AD421" i="5"/>
  <c r="AC421" i="5"/>
  <c r="X421" i="5" s="1"/>
  <c r="AB421" i="5"/>
  <c r="AA421" i="5"/>
  <c r="Z421" i="5"/>
  <c r="Y421" i="5"/>
  <c r="AF420" i="5"/>
  <c r="AD420" i="5"/>
  <c r="AC420" i="5"/>
  <c r="X420" i="5" s="1"/>
  <c r="AB420" i="5"/>
  <c r="AA420" i="5"/>
  <c r="Z420" i="5"/>
  <c r="Y420" i="5"/>
  <c r="AF419" i="5"/>
  <c r="AD419" i="5"/>
  <c r="AC419" i="5"/>
  <c r="X419" i="5" s="1"/>
  <c r="AB419" i="5"/>
  <c r="AA419" i="5"/>
  <c r="Z419" i="5"/>
  <c r="Y419" i="5"/>
  <c r="AF418" i="5"/>
  <c r="AD418" i="5"/>
  <c r="AC418" i="5"/>
  <c r="AE418" i="5" s="1"/>
  <c r="AB418" i="5"/>
  <c r="AA418" i="5"/>
  <c r="Z418" i="5"/>
  <c r="Y418" i="5"/>
  <c r="AF417" i="5"/>
  <c r="AD417" i="5"/>
  <c r="AC417" i="5"/>
  <c r="X417" i="5" s="1"/>
  <c r="AB417" i="5"/>
  <c r="AA417" i="5"/>
  <c r="Z417" i="5"/>
  <c r="Y417" i="5"/>
  <c r="AF416" i="5"/>
  <c r="AD416" i="5"/>
  <c r="AC416" i="5"/>
  <c r="X416" i="5" s="1"/>
  <c r="AB416" i="5"/>
  <c r="AA416" i="5"/>
  <c r="Z416" i="5"/>
  <c r="Y416" i="5"/>
  <c r="AF415" i="5"/>
  <c r="AD415" i="5"/>
  <c r="AE415" i="5" s="1"/>
  <c r="AC415" i="5"/>
  <c r="X415" i="5" s="1"/>
  <c r="AB415" i="5"/>
  <c r="AA415" i="5"/>
  <c r="Z415" i="5"/>
  <c r="Y415" i="5"/>
  <c r="AF414" i="5"/>
  <c r="AD414" i="5"/>
  <c r="AC414" i="5"/>
  <c r="X414" i="5" s="1"/>
  <c r="AB414" i="5"/>
  <c r="AA414" i="5"/>
  <c r="Z414" i="5"/>
  <c r="Y414" i="5"/>
  <c r="AF413" i="5"/>
  <c r="AD413" i="5"/>
  <c r="AC413" i="5"/>
  <c r="X413" i="5" s="1"/>
  <c r="AB413" i="5"/>
  <c r="AA413" i="5"/>
  <c r="Z413" i="5"/>
  <c r="Y413" i="5"/>
  <c r="AF412" i="5"/>
  <c r="AD412" i="5"/>
  <c r="AC412" i="5"/>
  <c r="X412" i="5" s="1"/>
  <c r="AB412" i="5"/>
  <c r="AA412" i="5"/>
  <c r="Z412" i="5"/>
  <c r="Y412" i="5"/>
  <c r="AF411" i="5"/>
  <c r="AD411" i="5"/>
  <c r="AC411" i="5"/>
  <c r="AB411" i="5"/>
  <c r="AA411" i="5"/>
  <c r="Z411" i="5"/>
  <c r="Y411" i="5"/>
  <c r="AF410" i="5"/>
  <c r="AD410" i="5"/>
  <c r="AC410" i="5"/>
  <c r="AE410" i="5" s="1"/>
  <c r="AB410" i="5"/>
  <c r="AA410" i="5"/>
  <c r="Z410" i="5"/>
  <c r="Y410" i="5"/>
  <c r="AF409" i="5"/>
  <c r="AD409" i="5"/>
  <c r="AC409" i="5"/>
  <c r="X409" i="5" s="1"/>
  <c r="AB409" i="5"/>
  <c r="AA409" i="5"/>
  <c r="Z409" i="5"/>
  <c r="Y409" i="5"/>
  <c r="AF408" i="5"/>
  <c r="AD408" i="5"/>
  <c r="AC408" i="5"/>
  <c r="X408" i="5" s="1"/>
  <c r="AB408" i="5"/>
  <c r="AA408" i="5"/>
  <c r="Z408" i="5"/>
  <c r="Y408" i="5"/>
  <c r="AF407" i="5"/>
  <c r="AD407" i="5"/>
  <c r="AC407" i="5"/>
  <c r="X407" i="5" s="1"/>
  <c r="AB407" i="5"/>
  <c r="AA407" i="5"/>
  <c r="Z407" i="5"/>
  <c r="Y407" i="5"/>
  <c r="AF406" i="5"/>
  <c r="AD406" i="5"/>
  <c r="AC406" i="5"/>
  <c r="X406" i="5" s="1"/>
  <c r="AB406" i="5"/>
  <c r="AA406" i="5"/>
  <c r="Z406" i="5"/>
  <c r="Y406" i="5"/>
  <c r="AF405" i="5"/>
  <c r="AD405" i="5"/>
  <c r="AC405" i="5"/>
  <c r="X405" i="5" s="1"/>
  <c r="AB405" i="5"/>
  <c r="AA405" i="5"/>
  <c r="Z405" i="5"/>
  <c r="Y405" i="5"/>
  <c r="AF404" i="5"/>
  <c r="AD404" i="5"/>
  <c r="AC404" i="5"/>
  <c r="X404" i="5" s="1"/>
  <c r="AB404" i="5"/>
  <c r="AA404" i="5"/>
  <c r="Z404" i="5"/>
  <c r="Y404" i="5"/>
  <c r="AF403" i="5"/>
  <c r="AD403" i="5"/>
  <c r="AE403" i="5" s="1"/>
  <c r="AC403" i="5"/>
  <c r="AB403" i="5"/>
  <c r="AA403" i="5"/>
  <c r="Z403" i="5"/>
  <c r="Y403" i="5"/>
  <c r="X403" i="5"/>
  <c r="AF402" i="5"/>
  <c r="AD402" i="5"/>
  <c r="AC402" i="5"/>
  <c r="AB402" i="5"/>
  <c r="AA402" i="5"/>
  <c r="Z402" i="5"/>
  <c r="Y402" i="5"/>
  <c r="AF401" i="5"/>
  <c r="AD401" i="5"/>
  <c r="AC401" i="5"/>
  <c r="X401" i="5" s="1"/>
  <c r="AB401" i="5"/>
  <c r="AA401" i="5"/>
  <c r="Z401" i="5"/>
  <c r="Y401" i="5"/>
  <c r="AF400" i="5"/>
  <c r="AD400" i="5"/>
  <c r="AC400" i="5"/>
  <c r="X400" i="5" s="1"/>
  <c r="AB400" i="5"/>
  <c r="AA400" i="5"/>
  <c r="Z400" i="5"/>
  <c r="Y400" i="5"/>
  <c r="AF399" i="5"/>
  <c r="AD399" i="5"/>
  <c r="AC399" i="5"/>
  <c r="X399" i="5" s="1"/>
  <c r="AB399" i="5"/>
  <c r="AA399" i="5"/>
  <c r="Z399" i="5"/>
  <c r="Y399" i="5"/>
  <c r="AF398" i="5"/>
  <c r="AE398" i="5"/>
  <c r="AD398" i="5"/>
  <c r="AC398" i="5"/>
  <c r="X398" i="5" s="1"/>
  <c r="AB398" i="5"/>
  <c r="AA398" i="5"/>
  <c r="Z398" i="5"/>
  <c r="Y398" i="5"/>
  <c r="AF397" i="5"/>
  <c r="AD397" i="5"/>
  <c r="AC397" i="5"/>
  <c r="X397" i="5" s="1"/>
  <c r="AB397" i="5"/>
  <c r="AA397" i="5"/>
  <c r="Z397" i="5"/>
  <c r="Y397" i="5"/>
  <c r="AF396" i="5"/>
  <c r="AD396" i="5"/>
  <c r="AE396" i="5" s="1"/>
  <c r="AC396" i="5"/>
  <c r="X396" i="5" s="1"/>
  <c r="AB396" i="5"/>
  <c r="AA396" i="5"/>
  <c r="Z396" i="5"/>
  <c r="Y396" i="5"/>
  <c r="AF395" i="5"/>
  <c r="AD395" i="5"/>
  <c r="AC395" i="5"/>
  <c r="X395" i="5" s="1"/>
  <c r="AB395" i="5"/>
  <c r="AA395" i="5"/>
  <c r="Z395" i="5"/>
  <c r="Y395" i="5"/>
  <c r="AF394" i="5"/>
  <c r="AD394" i="5"/>
  <c r="AC394" i="5"/>
  <c r="AE394" i="5" s="1"/>
  <c r="AB394" i="5"/>
  <c r="AA394" i="5"/>
  <c r="Z394" i="5"/>
  <c r="Y394" i="5"/>
  <c r="AF393" i="5"/>
  <c r="AD393" i="5"/>
  <c r="AC393" i="5"/>
  <c r="X393" i="5" s="1"/>
  <c r="AB393" i="5"/>
  <c r="AA393" i="5"/>
  <c r="Z393" i="5"/>
  <c r="Y393" i="5"/>
  <c r="AF392" i="5"/>
  <c r="AD392" i="5"/>
  <c r="AE392" i="5" s="1"/>
  <c r="AC392" i="5"/>
  <c r="AB392" i="5"/>
  <c r="AA392" i="5"/>
  <c r="Z392" i="5"/>
  <c r="Y392" i="5"/>
  <c r="X392" i="5"/>
  <c r="AF391" i="5"/>
  <c r="AD391" i="5"/>
  <c r="AC391" i="5"/>
  <c r="AB391" i="5"/>
  <c r="AA391" i="5"/>
  <c r="Z391" i="5"/>
  <c r="Y391" i="5"/>
  <c r="AF390" i="5"/>
  <c r="AD390" i="5"/>
  <c r="AC390" i="5"/>
  <c r="X390" i="5" s="1"/>
  <c r="AB390" i="5"/>
  <c r="AA390" i="5"/>
  <c r="Z390" i="5"/>
  <c r="Y390" i="5"/>
  <c r="AF389" i="5"/>
  <c r="AD389" i="5"/>
  <c r="AC389" i="5"/>
  <c r="AB389" i="5"/>
  <c r="AA389" i="5"/>
  <c r="Z389" i="5"/>
  <c r="Y389" i="5"/>
  <c r="AF388" i="5"/>
  <c r="AD388" i="5"/>
  <c r="AC388" i="5"/>
  <c r="X388" i="5" s="1"/>
  <c r="AB388" i="5"/>
  <c r="AA388" i="5"/>
  <c r="Z388" i="5"/>
  <c r="Y388" i="5"/>
  <c r="AF387" i="5"/>
  <c r="AD387" i="5"/>
  <c r="AC387" i="5"/>
  <c r="X387" i="5" s="1"/>
  <c r="AB387" i="5"/>
  <c r="AA387" i="5"/>
  <c r="Z387" i="5"/>
  <c r="Y387" i="5"/>
  <c r="AF386" i="5"/>
  <c r="AD386" i="5"/>
  <c r="AC386" i="5"/>
  <c r="X386" i="5" s="1"/>
  <c r="AB386" i="5"/>
  <c r="AA386" i="5"/>
  <c r="Z386" i="5"/>
  <c r="Y386" i="5"/>
  <c r="AF385" i="5"/>
  <c r="AD385" i="5"/>
  <c r="AC385" i="5"/>
  <c r="AE385" i="5" s="1"/>
  <c r="AB385" i="5"/>
  <c r="AA385" i="5"/>
  <c r="Z385" i="5"/>
  <c r="Y385" i="5"/>
  <c r="AF384" i="5"/>
  <c r="AD384" i="5"/>
  <c r="AC384" i="5"/>
  <c r="AB384" i="5"/>
  <c r="AA384" i="5"/>
  <c r="Z384" i="5"/>
  <c r="Y384" i="5"/>
  <c r="X384" i="5"/>
  <c r="AF383" i="5"/>
  <c r="AD383" i="5"/>
  <c r="AC383" i="5"/>
  <c r="X383" i="5" s="1"/>
  <c r="AB383" i="5"/>
  <c r="AA383" i="5"/>
  <c r="Z383" i="5"/>
  <c r="Y383" i="5"/>
  <c r="AF382" i="5"/>
  <c r="AD382" i="5"/>
  <c r="AC382" i="5"/>
  <c r="X382" i="5" s="1"/>
  <c r="AB382" i="5"/>
  <c r="AA382" i="5"/>
  <c r="Z382" i="5"/>
  <c r="Y382" i="5"/>
  <c r="AF381" i="5"/>
  <c r="AD381" i="5"/>
  <c r="AC381" i="5"/>
  <c r="AB381" i="5"/>
  <c r="AA381" i="5"/>
  <c r="Z381" i="5"/>
  <c r="Y381" i="5"/>
  <c r="AF380" i="5"/>
  <c r="AD380" i="5"/>
  <c r="AC380" i="5"/>
  <c r="X380" i="5" s="1"/>
  <c r="AB380" i="5"/>
  <c r="AA380" i="5"/>
  <c r="Z380" i="5"/>
  <c r="Y380" i="5"/>
  <c r="AF379" i="5"/>
  <c r="AD379" i="5"/>
  <c r="AC379" i="5"/>
  <c r="X379" i="5" s="1"/>
  <c r="AB379" i="5"/>
  <c r="AA379" i="5"/>
  <c r="Z379" i="5"/>
  <c r="Y379" i="5"/>
  <c r="AF378" i="5"/>
  <c r="AD378" i="5"/>
  <c r="AC378" i="5"/>
  <c r="X378" i="5" s="1"/>
  <c r="AB378" i="5"/>
  <c r="AA378" i="5"/>
  <c r="Z378" i="5"/>
  <c r="Y378" i="5"/>
  <c r="AF377" i="5"/>
  <c r="AD377" i="5"/>
  <c r="AC377" i="5"/>
  <c r="AE377" i="5" s="1"/>
  <c r="AB377" i="5"/>
  <c r="AA377" i="5"/>
  <c r="Z377" i="5"/>
  <c r="Y377" i="5"/>
  <c r="AF376" i="5"/>
  <c r="AD376" i="5"/>
  <c r="AC376" i="5"/>
  <c r="AB376" i="5"/>
  <c r="AA376" i="5"/>
  <c r="Z376" i="5"/>
  <c r="Y376" i="5"/>
  <c r="X376" i="5"/>
  <c r="AF375" i="5"/>
  <c r="AD375" i="5"/>
  <c r="AE375" i="5" s="1"/>
  <c r="AC375" i="5"/>
  <c r="X375" i="5" s="1"/>
  <c r="AB375" i="5"/>
  <c r="AA375" i="5"/>
  <c r="Z375" i="5"/>
  <c r="Y375" i="5"/>
  <c r="AF374" i="5"/>
  <c r="AD374" i="5"/>
  <c r="AC374" i="5"/>
  <c r="AB374" i="5"/>
  <c r="AA374" i="5"/>
  <c r="Z374" i="5"/>
  <c r="Y374" i="5"/>
  <c r="X374" i="5"/>
  <c r="AF373" i="5"/>
  <c r="AD373" i="5"/>
  <c r="AC373" i="5"/>
  <c r="AB373" i="5"/>
  <c r="AA373" i="5"/>
  <c r="Z373" i="5"/>
  <c r="Y373" i="5"/>
  <c r="AF372" i="5"/>
  <c r="AD372" i="5"/>
  <c r="AC372" i="5"/>
  <c r="X372" i="5" s="1"/>
  <c r="AB372" i="5"/>
  <c r="AA372" i="5"/>
  <c r="Z372" i="5"/>
  <c r="Y372" i="5"/>
  <c r="AF371" i="5"/>
  <c r="AE371" i="5"/>
  <c r="AD371" i="5"/>
  <c r="AC371" i="5"/>
  <c r="X371" i="5" s="1"/>
  <c r="AB371" i="5"/>
  <c r="AA371" i="5"/>
  <c r="Z371" i="5"/>
  <c r="Y371" i="5"/>
  <c r="AF370" i="5"/>
  <c r="AD370" i="5"/>
  <c r="AE370" i="5" s="1"/>
  <c r="AC370" i="5"/>
  <c r="X370" i="5" s="1"/>
  <c r="AB370" i="5"/>
  <c r="AA370" i="5"/>
  <c r="Z370" i="5"/>
  <c r="Y370" i="5"/>
  <c r="AF369" i="5"/>
  <c r="AD369" i="5"/>
  <c r="AC369" i="5"/>
  <c r="AB369" i="5"/>
  <c r="AA369" i="5"/>
  <c r="Z369" i="5"/>
  <c r="Y369" i="5"/>
  <c r="AF368" i="5"/>
  <c r="AD368" i="5"/>
  <c r="AC368" i="5"/>
  <c r="X368" i="5" s="1"/>
  <c r="AB368" i="5"/>
  <c r="AA368" i="5"/>
  <c r="Z368" i="5"/>
  <c r="Y368" i="5"/>
  <c r="AF367" i="5"/>
  <c r="AD367" i="5"/>
  <c r="AC367" i="5"/>
  <c r="X367" i="5" s="1"/>
  <c r="AB367" i="5"/>
  <c r="AA367" i="5"/>
  <c r="Z367" i="5"/>
  <c r="Y367" i="5"/>
  <c r="AF366" i="5"/>
  <c r="AD366" i="5"/>
  <c r="AC366" i="5"/>
  <c r="X366" i="5" s="1"/>
  <c r="AB366" i="5"/>
  <c r="AA366" i="5"/>
  <c r="Z366" i="5"/>
  <c r="Y366" i="5"/>
  <c r="AF365" i="5"/>
  <c r="AD365" i="5"/>
  <c r="AC365" i="5"/>
  <c r="AE365" i="5" s="1"/>
  <c r="AB365" i="5"/>
  <c r="AA365" i="5"/>
  <c r="Z365" i="5"/>
  <c r="Y365" i="5"/>
  <c r="AF364" i="5"/>
  <c r="AD364" i="5"/>
  <c r="AC364" i="5"/>
  <c r="AB364" i="5"/>
  <c r="AA364" i="5"/>
  <c r="Z364" i="5"/>
  <c r="Y364" i="5"/>
  <c r="X364" i="5"/>
  <c r="AF363" i="5"/>
  <c r="AD363" i="5"/>
  <c r="AC363" i="5"/>
  <c r="X363" i="5" s="1"/>
  <c r="AB363" i="5"/>
  <c r="AA363" i="5"/>
  <c r="Z363" i="5"/>
  <c r="Y363" i="5"/>
  <c r="AF362" i="5"/>
  <c r="AD362" i="5"/>
  <c r="AC362" i="5"/>
  <c r="AB362" i="5"/>
  <c r="AA362" i="5"/>
  <c r="Z362" i="5"/>
  <c r="Y362" i="5"/>
  <c r="X362" i="5"/>
  <c r="AF361" i="5"/>
  <c r="AD361" i="5"/>
  <c r="AC361" i="5"/>
  <c r="AE361" i="5" s="1"/>
  <c r="AB361" i="5"/>
  <c r="AA361" i="5"/>
  <c r="Z361" i="5"/>
  <c r="Y361" i="5"/>
  <c r="AF360" i="5"/>
  <c r="AD360" i="5"/>
  <c r="AE360" i="5" s="1"/>
  <c r="AC360" i="5"/>
  <c r="AB360" i="5"/>
  <c r="AA360" i="5"/>
  <c r="Z360" i="5"/>
  <c r="Y360" i="5"/>
  <c r="X360" i="5"/>
  <c r="AF359" i="5"/>
  <c r="AE359" i="5"/>
  <c r="AD359" i="5"/>
  <c r="AC359" i="5"/>
  <c r="X359" i="5" s="1"/>
  <c r="AB359" i="5"/>
  <c r="AA359" i="5"/>
  <c r="Z359" i="5"/>
  <c r="Y359" i="5"/>
  <c r="AF358" i="5"/>
  <c r="AD358" i="5"/>
  <c r="AE358" i="5" s="1"/>
  <c r="AC358" i="5"/>
  <c r="AB358" i="5"/>
  <c r="AA358" i="5"/>
  <c r="Z358" i="5"/>
  <c r="Y358" i="5"/>
  <c r="X358" i="5"/>
  <c r="AF357" i="5"/>
  <c r="AD357" i="5"/>
  <c r="AC357" i="5"/>
  <c r="AB357" i="5"/>
  <c r="AA357" i="5"/>
  <c r="Z357" i="5"/>
  <c r="Y357" i="5"/>
  <c r="AF356" i="5"/>
  <c r="AD356" i="5"/>
  <c r="AC356" i="5"/>
  <c r="X356" i="5" s="1"/>
  <c r="AB356" i="5"/>
  <c r="AA356" i="5"/>
  <c r="Z356" i="5"/>
  <c r="Y356" i="5"/>
  <c r="AF355" i="5"/>
  <c r="AD355" i="5"/>
  <c r="AC355" i="5"/>
  <c r="X355" i="5" s="1"/>
  <c r="AB355" i="5"/>
  <c r="AA355" i="5"/>
  <c r="Z355" i="5"/>
  <c r="Y355" i="5"/>
  <c r="AF354" i="5"/>
  <c r="AD354" i="5"/>
  <c r="AC354" i="5"/>
  <c r="X354" i="5" s="1"/>
  <c r="AB354" i="5"/>
  <c r="AA354" i="5"/>
  <c r="Z354" i="5"/>
  <c r="Y354" i="5"/>
  <c r="AF353" i="5"/>
  <c r="AD353" i="5"/>
  <c r="AC353" i="5"/>
  <c r="AB353" i="5"/>
  <c r="AA353" i="5"/>
  <c r="Z353" i="5"/>
  <c r="Y353" i="5"/>
  <c r="AF352" i="5"/>
  <c r="AD352" i="5"/>
  <c r="AC352" i="5"/>
  <c r="X352" i="5" s="1"/>
  <c r="AB352" i="5"/>
  <c r="AA352" i="5"/>
  <c r="Z352" i="5"/>
  <c r="Y352" i="5"/>
  <c r="AF351" i="5"/>
  <c r="AD351" i="5"/>
  <c r="AC351" i="5"/>
  <c r="X351" i="5" s="1"/>
  <c r="AB351" i="5"/>
  <c r="AA351" i="5"/>
  <c r="Z351" i="5"/>
  <c r="Y351" i="5"/>
  <c r="AF350" i="5"/>
  <c r="AD350" i="5"/>
  <c r="AC350" i="5"/>
  <c r="X350" i="5" s="1"/>
  <c r="AB350" i="5"/>
  <c r="AA350" i="5"/>
  <c r="Z350" i="5"/>
  <c r="Y350" i="5"/>
  <c r="AF349" i="5"/>
  <c r="AD349" i="5"/>
  <c r="AC349" i="5"/>
  <c r="AB349" i="5"/>
  <c r="AA349" i="5"/>
  <c r="Z349" i="5"/>
  <c r="Y349" i="5"/>
  <c r="AF348" i="5"/>
  <c r="AD348" i="5"/>
  <c r="AC348" i="5"/>
  <c r="X348" i="5" s="1"/>
  <c r="AB348" i="5"/>
  <c r="AA348" i="5"/>
  <c r="Z348" i="5"/>
  <c r="Y348" i="5"/>
  <c r="AF347" i="5"/>
  <c r="AD347" i="5"/>
  <c r="AC347" i="5"/>
  <c r="X347" i="5" s="1"/>
  <c r="AB347" i="5"/>
  <c r="AA347" i="5"/>
  <c r="Z347" i="5"/>
  <c r="Y347" i="5"/>
  <c r="AF346" i="5"/>
  <c r="AD346" i="5"/>
  <c r="AC346" i="5"/>
  <c r="X346" i="5" s="1"/>
  <c r="AB346" i="5"/>
  <c r="AA346" i="5"/>
  <c r="Z346" i="5"/>
  <c r="Y346" i="5"/>
  <c r="AF345" i="5"/>
  <c r="AD345" i="5"/>
  <c r="AC345" i="5"/>
  <c r="AE345" i="5" s="1"/>
  <c r="AB345" i="5"/>
  <c r="AA345" i="5"/>
  <c r="Z345" i="5"/>
  <c r="Y345" i="5"/>
  <c r="AF344" i="5"/>
  <c r="AD344" i="5"/>
  <c r="AE344" i="5" s="1"/>
  <c r="AC344" i="5"/>
  <c r="AB344" i="5"/>
  <c r="AA344" i="5"/>
  <c r="Z344" i="5"/>
  <c r="Y344" i="5"/>
  <c r="X344" i="5"/>
  <c r="AF343" i="5"/>
  <c r="AD343" i="5"/>
  <c r="AC343" i="5"/>
  <c r="X343" i="5" s="1"/>
  <c r="AB343" i="5"/>
  <c r="AA343" i="5"/>
  <c r="Z343" i="5"/>
  <c r="Y343" i="5"/>
  <c r="AF342" i="5"/>
  <c r="AD342" i="5"/>
  <c r="AC342" i="5"/>
  <c r="X342" i="5" s="1"/>
  <c r="AB342" i="5"/>
  <c r="AA342" i="5"/>
  <c r="Z342" i="5"/>
  <c r="Y342" i="5"/>
  <c r="AF341" i="5"/>
  <c r="AD341" i="5"/>
  <c r="AC341" i="5"/>
  <c r="AB341" i="5"/>
  <c r="AA341" i="5"/>
  <c r="Z341" i="5"/>
  <c r="Y341" i="5"/>
  <c r="AF340" i="5"/>
  <c r="AD340" i="5"/>
  <c r="AC340" i="5"/>
  <c r="X340" i="5" s="1"/>
  <c r="AB340" i="5"/>
  <c r="AA340" i="5"/>
  <c r="Z340" i="5"/>
  <c r="Y340" i="5"/>
  <c r="AF339" i="5"/>
  <c r="AD339" i="5"/>
  <c r="AC339" i="5"/>
  <c r="X339" i="5" s="1"/>
  <c r="AB339" i="5"/>
  <c r="AA339" i="5"/>
  <c r="Z339" i="5"/>
  <c r="Y339" i="5"/>
  <c r="AF338" i="5"/>
  <c r="AD338" i="5"/>
  <c r="AC338" i="5"/>
  <c r="X338" i="5" s="1"/>
  <c r="AB338" i="5"/>
  <c r="AA338" i="5"/>
  <c r="Z338" i="5"/>
  <c r="Y338" i="5"/>
  <c r="AF337" i="5"/>
  <c r="AD337" i="5"/>
  <c r="AC337" i="5"/>
  <c r="AB337" i="5"/>
  <c r="AA337" i="5"/>
  <c r="Z337" i="5"/>
  <c r="Y337" i="5"/>
  <c r="AF336" i="5"/>
  <c r="AD336" i="5"/>
  <c r="AC336" i="5"/>
  <c r="X336" i="5" s="1"/>
  <c r="AB336" i="5"/>
  <c r="AA336" i="5"/>
  <c r="Z336" i="5"/>
  <c r="Y336" i="5"/>
  <c r="AF335" i="5"/>
  <c r="AD335" i="5"/>
  <c r="AC335" i="5"/>
  <c r="X335" i="5" s="1"/>
  <c r="AB335" i="5"/>
  <c r="AA335" i="5"/>
  <c r="Z335" i="5"/>
  <c r="Y335" i="5"/>
  <c r="AF334" i="5"/>
  <c r="AD334" i="5"/>
  <c r="AC334" i="5"/>
  <c r="AB334" i="5"/>
  <c r="AA334" i="5"/>
  <c r="Z334" i="5"/>
  <c r="Y334" i="5"/>
  <c r="X334" i="5"/>
  <c r="AF333" i="5"/>
  <c r="AD333" i="5"/>
  <c r="AC333" i="5"/>
  <c r="AB333" i="5"/>
  <c r="AA333" i="5"/>
  <c r="Z333" i="5"/>
  <c r="Y333" i="5"/>
  <c r="AF332" i="5"/>
  <c r="AD332" i="5"/>
  <c r="AC332" i="5"/>
  <c r="X332" i="5" s="1"/>
  <c r="AB332" i="5"/>
  <c r="AA332" i="5"/>
  <c r="Z332" i="5"/>
  <c r="Y332" i="5"/>
  <c r="AF331" i="5"/>
  <c r="AD331" i="5"/>
  <c r="AE331" i="5" s="1"/>
  <c r="AC331" i="5"/>
  <c r="X331" i="5" s="1"/>
  <c r="AB331" i="5"/>
  <c r="AA331" i="5"/>
  <c r="Z331" i="5"/>
  <c r="Y331" i="5"/>
  <c r="AF330" i="5"/>
  <c r="AD330" i="5"/>
  <c r="AC330" i="5"/>
  <c r="X330" i="5" s="1"/>
  <c r="AB330" i="5"/>
  <c r="AA330" i="5"/>
  <c r="Z330" i="5"/>
  <c r="Y330" i="5"/>
  <c r="AF329" i="5"/>
  <c r="AD329" i="5"/>
  <c r="AC329" i="5"/>
  <c r="AE329" i="5" s="1"/>
  <c r="AB329" i="5"/>
  <c r="AA329" i="5"/>
  <c r="Z329" i="5"/>
  <c r="Y329" i="5"/>
  <c r="AF328" i="5"/>
  <c r="AD328" i="5"/>
  <c r="AC328" i="5"/>
  <c r="AB328" i="5"/>
  <c r="AA328" i="5"/>
  <c r="Z328" i="5"/>
  <c r="Y328" i="5"/>
  <c r="X328" i="5"/>
  <c r="AF327" i="5"/>
  <c r="AD327" i="5"/>
  <c r="AC327" i="5"/>
  <c r="AB327" i="5"/>
  <c r="AA327" i="5"/>
  <c r="Z327" i="5"/>
  <c r="Y327" i="5"/>
  <c r="AF326" i="5"/>
  <c r="AD326" i="5"/>
  <c r="AE326" i="5" s="1"/>
  <c r="AC326" i="5"/>
  <c r="AB326" i="5"/>
  <c r="AA326" i="5"/>
  <c r="Z326" i="5"/>
  <c r="Y326" i="5"/>
  <c r="X326" i="5"/>
  <c r="AF325" i="5"/>
  <c r="AD325" i="5"/>
  <c r="AC325" i="5"/>
  <c r="AB325" i="5"/>
  <c r="AA325" i="5"/>
  <c r="Z325" i="5"/>
  <c r="Y325" i="5"/>
  <c r="AF324" i="5"/>
  <c r="AD324" i="5"/>
  <c r="AC324" i="5"/>
  <c r="X324" i="5" s="1"/>
  <c r="AB324" i="5"/>
  <c r="AA324" i="5"/>
  <c r="Z324" i="5"/>
  <c r="Y324" i="5"/>
  <c r="AF323" i="5"/>
  <c r="AD323" i="5"/>
  <c r="AC323" i="5"/>
  <c r="X323" i="5" s="1"/>
  <c r="AB323" i="5"/>
  <c r="AA323" i="5"/>
  <c r="Z323" i="5"/>
  <c r="Y323" i="5"/>
  <c r="AF322" i="5"/>
  <c r="AD322" i="5"/>
  <c r="AC322" i="5"/>
  <c r="X322" i="5" s="1"/>
  <c r="AB322" i="5"/>
  <c r="AA322" i="5"/>
  <c r="Z322" i="5"/>
  <c r="Y322" i="5"/>
  <c r="AF321" i="5"/>
  <c r="AD321" i="5"/>
  <c r="AC321" i="5"/>
  <c r="AB321" i="5"/>
  <c r="AA321" i="5"/>
  <c r="Z321" i="5"/>
  <c r="Y321" i="5"/>
  <c r="AF320" i="5"/>
  <c r="AD320" i="5"/>
  <c r="AC320" i="5"/>
  <c r="X320" i="5" s="1"/>
  <c r="AB320" i="5"/>
  <c r="AA320" i="5"/>
  <c r="Z320" i="5"/>
  <c r="Y320" i="5"/>
  <c r="AF319" i="5"/>
  <c r="AD319" i="5"/>
  <c r="AC319" i="5"/>
  <c r="X319" i="5" s="1"/>
  <c r="AB319" i="5"/>
  <c r="AA319" i="5"/>
  <c r="Z319" i="5"/>
  <c r="Y319" i="5"/>
  <c r="AF318" i="5"/>
  <c r="AD318" i="5"/>
  <c r="AC318" i="5"/>
  <c r="AB318" i="5"/>
  <c r="AA318" i="5"/>
  <c r="Z318" i="5"/>
  <c r="Y318" i="5"/>
  <c r="X318" i="5"/>
  <c r="AF317" i="5"/>
  <c r="AD317" i="5"/>
  <c r="AC317" i="5"/>
  <c r="AB317" i="5"/>
  <c r="AA317" i="5"/>
  <c r="Z317" i="5"/>
  <c r="Y317" i="5"/>
  <c r="AF316" i="5"/>
  <c r="AD316" i="5"/>
  <c r="AC316" i="5"/>
  <c r="X316" i="5" s="1"/>
  <c r="AB316" i="5"/>
  <c r="AA316" i="5"/>
  <c r="Z316" i="5"/>
  <c r="Y316" i="5"/>
  <c r="AF315" i="5"/>
  <c r="AD315" i="5"/>
  <c r="AC315" i="5"/>
  <c r="X315" i="5" s="1"/>
  <c r="AB315" i="5"/>
  <c r="AA315" i="5"/>
  <c r="Z315" i="5"/>
  <c r="Y315" i="5"/>
  <c r="AF314" i="5"/>
  <c r="AD314" i="5"/>
  <c r="AC314" i="5"/>
  <c r="X314" i="5" s="1"/>
  <c r="AB314" i="5"/>
  <c r="AA314" i="5"/>
  <c r="Z314" i="5"/>
  <c r="Y314" i="5"/>
  <c r="AF313" i="5"/>
  <c r="AD313" i="5"/>
  <c r="AC313" i="5"/>
  <c r="AE313" i="5" s="1"/>
  <c r="AB313" i="5"/>
  <c r="AA313" i="5"/>
  <c r="Z313" i="5"/>
  <c r="Y313" i="5"/>
  <c r="AF312" i="5"/>
  <c r="AD312" i="5"/>
  <c r="AE312" i="5" s="1"/>
  <c r="AC312" i="5"/>
  <c r="AB312" i="5"/>
  <c r="AA312" i="5"/>
  <c r="Z312" i="5"/>
  <c r="Y312" i="5"/>
  <c r="X312" i="5"/>
  <c r="AF311" i="5"/>
  <c r="AE311" i="5"/>
  <c r="AD311" i="5"/>
  <c r="AC311" i="5"/>
  <c r="X311" i="5" s="1"/>
  <c r="AB311" i="5"/>
  <c r="AA311" i="5"/>
  <c r="Z311" i="5"/>
  <c r="Y311" i="5"/>
  <c r="AF310" i="5"/>
  <c r="AD310" i="5"/>
  <c r="AE310" i="5" s="1"/>
  <c r="AC310" i="5"/>
  <c r="AB310" i="5"/>
  <c r="AA310" i="5"/>
  <c r="Z310" i="5"/>
  <c r="Y310" i="5"/>
  <c r="X310" i="5"/>
  <c r="AF309" i="5"/>
  <c r="AD309" i="5"/>
  <c r="AC309" i="5"/>
  <c r="AB309" i="5"/>
  <c r="AA309" i="5"/>
  <c r="Z309" i="5"/>
  <c r="Y309" i="5"/>
  <c r="AF308" i="5"/>
  <c r="AD308" i="5"/>
  <c r="AC308" i="5"/>
  <c r="X308" i="5" s="1"/>
  <c r="AB308" i="5"/>
  <c r="AA308" i="5"/>
  <c r="Z308" i="5"/>
  <c r="Y308" i="5"/>
  <c r="AF307" i="5"/>
  <c r="AD307" i="5"/>
  <c r="AC307" i="5"/>
  <c r="X307" i="5" s="1"/>
  <c r="AB307" i="5"/>
  <c r="AA307" i="5"/>
  <c r="Z307" i="5"/>
  <c r="Y307" i="5"/>
  <c r="AF306" i="5"/>
  <c r="AD306" i="5"/>
  <c r="AE306" i="5" s="1"/>
  <c r="AC306" i="5"/>
  <c r="X306" i="5" s="1"/>
  <c r="AB306" i="5"/>
  <c r="AA306" i="5"/>
  <c r="Z306" i="5"/>
  <c r="Y306" i="5"/>
  <c r="AF305" i="5"/>
  <c r="AD305" i="5"/>
  <c r="AC305" i="5"/>
  <c r="AE305" i="5" s="1"/>
  <c r="AB305" i="5"/>
  <c r="AA305" i="5"/>
  <c r="Z305" i="5"/>
  <c r="Y305" i="5"/>
  <c r="AF304" i="5"/>
  <c r="AD304" i="5"/>
  <c r="AE304" i="5" s="1"/>
  <c r="AC304" i="5"/>
  <c r="X304" i="5" s="1"/>
  <c r="AB304" i="5"/>
  <c r="AA304" i="5"/>
  <c r="Z304" i="5"/>
  <c r="Y304" i="5"/>
  <c r="AF303" i="5"/>
  <c r="AD303" i="5"/>
  <c r="AC303" i="5"/>
  <c r="X303" i="5" s="1"/>
  <c r="AB303" i="5"/>
  <c r="AA303" i="5"/>
  <c r="Z303" i="5"/>
  <c r="Y303" i="5"/>
  <c r="AF302" i="5"/>
  <c r="AD302" i="5"/>
  <c r="AC302" i="5"/>
  <c r="X302" i="5" s="1"/>
  <c r="AB302" i="5"/>
  <c r="AA302" i="5"/>
  <c r="Z302" i="5"/>
  <c r="Y302" i="5"/>
  <c r="AF301" i="5"/>
  <c r="AD301" i="5"/>
  <c r="AC301" i="5"/>
  <c r="X301" i="5" s="1"/>
  <c r="AB301" i="5"/>
  <c r="AA301" i="5"/>
  <c r="Z301" i="5"/>
  <c r="Y301" i="5"/>
  <c r="AF300" i="5"/>
  <c r="AD300" i="5"/>
  <c r="AE300" i="5" s="1"/>
  <c r="AC300" i="5"/>
  <c r="X300" i="5" s="1"/>
  <c r="AB300" i="5"/>
  <c r="AA300" i="5"/>
  <c r="Z300" i="5"/>
  <c r="Y300" i="5"/>
  <c r="AF299" i="5"/>
  <c r="AD299" i="5"/>
  <c r="AC299" i="5"/>
  <c r="X299" i="5" s="1"/>
  <c r="AB299" i="5"/>
  <c r="AA299" i="5"/>
  <c r="Z299" i="5"/>
  <c r="Y299" i="5"/>
  <c r="AF298" i="5"/>
  <c r="AD298" i="5"/>
  <c r="AC298" i="5"/>
  <c r="X298" i="5" s="1"/>
  <c r="AB298" i="5"/>
  <c r="AA298" i="5"/>
  <c r="Z298" i="5"/>
  <c r="Y298" i="5"/>
  <c r="AF297" i="5"/>
  <c r="AD297" i="5"/>
  <c r="AC297" i="5"/>
  <c r="X297" i="5" s="1"/>
  <c r="AB297" i="5"/>
  <c r="AA297" i="5"/>
  <c r="Z297" i="5"/>
  <c r="Y297" i="5"/>
  <c r="AF296" i="5"/>
  <c r="AD296" i="5"/>
  <c r="AE296" i="5" s="1"/>
  <c r="AC296" i="5"/>
  <c r="X296" i="5" s="1"/>
  <c r="AB296" i="5"/>
  <c r="AA296" i="5"/>
  <c r="Z296" i="5"/>
  <c r="Y296" i="5"/>
  <c r="AF295" i="5"/>
  <c r="AD295" i="5"/>
  <c r="AE295" i="5" s="1"/>
  <c r="AC295" i="5"/>
  <c r="X295" i="5" s="1"/>
  <c r="AB295" i="5"/>
  <c r="AA295" i="5"/>
  <c r="Z295" i="5"/>
  <c r="Y295" i="5"/>
  <c r="AF294" i="5"/>
  <c r="AD294" i="5"/>
  <c r="AC294" i="5"/>
  <c r="X294" i="5" s="1"/>
  <c r="AB294" i="5"/>
  <c r="AA294" i="5"/>
  <c r="Z294" i="5"/>
  <c r="Y294" i="5"/>
  <c r="AF293" i="5"/>
  <c r="AD293" i="5"/>
  <c r="AC293" i="5"/>
  <c r="X293" i="5" s="1"/>
  <c r="AB293" i="5"/>
  <c r="AA293" i="5"/>
  <c r="Z293" i="5"/>
  <c r="Y293" i="5"/>
  <c r="AF292" i="5"/>
  <c r="AD292" i="5"/>
  <c r="AC292" i="5"/>
  <c r="X292" i="5" s="1"/>
  <c r="AB292" i="5"/>
  <c r="AA292" i="5"/>
  <c r="Z292" i="5"/>
  <c r="Y292" i="5"/>
  <c r="AF291" i="5"/>
  <c r="AD291" i="5"/>
  <c r="AC291" i="5"/>
  <c r="X291" i="5" s="1"/>
  <c r="AB291" i="5"/>
  <c r="AA291" i="5"/>
  <c r="Z291" i="5"/>
  <c r="Y291" i="5"/>
  <c r="AF290" i="5"/>
  <c r="AD290" i="5"/>
  <c r="AC290" i="5"/>
  <c r="X290" i="5" s="1"/>
  <c r="AB290" i="5"/>
  <c r="AA290" i="5"/>
  <c r="Z290" i="5"/>
  <c r="Y290" i="5"/>
  <c r="AF289" i="5"/>
  <c r="AD289" i="5"/>
  <c r="AC289" i="5"/>
  <c r="X289" i="5" s="1"/>
  <c r="AB289" i="5"/>
  <c r="AA289" i="5"/>
  <c r="Z289" i="5"/>
  <c r="Y289" i="5"/>
  <c r="AF288" i="5"/>
  <c r="AD288" i="5"/>
  <c r="AC288" i="5"/>
  <c r="AB288" i="5"/>
  <c r="AA288" i="5"/>
  <c r="Z288" i="5"/>
  <c r="Y288" i="5"/>
  <c r="X288" i="5"/>
  <c r="AF287" i="5"/>
  <c r="AD287" i="5"/>
  <c r="AC287" i="5"/>
  <c r="AB287" i="5"/>
  <c r="AA287" i="5"/>
  <c r="Z287" i="5"/>
  <c r="Y287" i="5"/>
  <c r="X287" i="5"/>
  <c r="AF286" i="5"/>
  <c r="AD286" i="5"/>
  <c r="AC286" i="5"/>
  <c r="AB286" i="5"/>
  <c r="AA286" i="5"/>
  <c r="Z286" i="5"/>
  <c r="Y286" i="5"/>
  <c r="X286" i="5"/>
  <c r="AF285" i="5"/>
  <c r="AD285" i="5"/>
  <c r="AC285" i="5"/>
  <c r="X285" i="5" s="1"/>
  <c r="AB285" i="5"/>
  <c r="AA285" i="5"/>
  <c r="Z285" i="5"/>
  <c r="Y285" i="5"/>
  <c r="AF284" i="5"/>
  <c r="AD284" i="5"/>
  <c r="AC284" i="5"/>
  <c r="AB284" i="5"/>
  <c r="AA284" i="5"/>
  <c r="Z284" i="5"/>
  <c r="Y284" i="5"/>
  <c r="X284" i="5"/>
  <c r="AF283" i="5"/>
  <c r="AD283" i="5"/>
  <c r="AE283" i="5" s="1"/>
  <c r="AC283" i="5"/>
  <c r="AB283" i="5"/>
  <c r="AA283" i="5"/>
  <c r="Z283" i="5"/>
  <c r="Y283" i="5"/>
  <c r="X283" i="5"/>
  <c r="AF282" i="5"/>
  <c r="AD282" i="5"/>
  <c r="AE282" i="5" s="1"/>
  <c r="AC282" i="5"/>
  <c r="AB282" i="5"/>
  <c r="AA282" i="5"/>
  <c r="Z282" i="5"/>
  <c r="Y282" i="5"/>
  <c r="X282" i="5"/>
  <c r="AF281" i="5"/>
  <c r="AD281" i="5"/>
  <c r="AC281" i="5"/>
  <c r="X281" i="5" s="1"/>
  <c r="AB281" i="5"/>
  <c r="AA281" i="5"/>
  <c r="Z281" i="5"/>
  <c r="Y281" i="5"/>
  <c r="AF280" i="5"/>
  <c r="AD280" i="5"/>
  <c r="AC280" i="5"/>
  <c r="X280" i="5" s="1"/>
  <c r="AB280" i="5"/>
  <c r="AA280" i="5"/>
  <c r="Z280" i="5"/>
  <c r="Y280" i="5"/>
  <c r="AF279" i="5"/>
  <c r="AD279" i="5"/>
  <c r="AC279" i="5"/>
  <c r="X279" i="5" s="1"/>
  <c r="AB279" i="5"/>
  <c r="AA279" i="5"/>
  <c r="Z279" i="5"/>
  <c r="Y279" i="5"/>
  <c r="AF278" i="5"/>
  <c r="AD278" i="5"/>
  <c r="AC278" i="5"/>
  <c r="X278" i="5" s="1"/>
  <c r="AB278" i="5"/>
  <c r="AA278" i="5"/>
  <c r="Z278" i="5"/>
  <c r="Y278" i="5"/>
  <c r="AF277" i="5"/>
  <c r="AD277" i="5"/>
  <c r="AC277" i="5"/>
  <c r="X277" i="5" s="1"/>
  <c r="AB277" i="5"/>
  <c r="AA277" i="5"/>
  <c r="Z277" i="5"/>
  <c r="Y277" i="5"/>
  <c r="AF276" i="5"/>
  <c r="AD276" i="5"/>
  <c r="AC276" i="5"/>
  <c r="X276" i="5" s="1"/>
  <c r="AB276" i="5"/>
  <c r="AA276" i="5"/>
  <c r="Z276" i="5"/>
  <c r="Y276" i="5"/>
  <c r="AF275" i="5"/>
  <c r="AD275" i="5"/>
  <c r="AC275" i="5"/>
  <c r="X275" i="5" s="1"/>
  <c r="AB275" i="5"/>
  <c r="AA275" i="5"/>
  <c r="Z275" i="5"/>
  <c r="Y275" i="5"/>
  <c r="AF274" i="5"/>
  <c r="AD274" i="5"/>
  <c r="AC274" i="5"/>
  <c r="X274" i="5" s="1"/>
  <c r="AB274" i="5"/>
  <c r="AA274" i="5"/>
  <c r="Z274" i="5"/>
  <c r="Y274" i="5"/>
  <c r="AF273" i="5"/>
  <c r="AD273" i="5"/>
  <c r="AC273" i="5"/>
  <c r="X273" i="5" s="1"/>
  <c r="AB273" i="5"/>
  <c r="AA273" i="5"/>
  <c r="Z273" i="5"/>
  <c r="Y273" i="5"/>
  <c r="AF272" i="5"/>
  <c r="AD272" i="5"/>
  <c r="AC272" i="5"/>
  <c r="X272" i="5" s="1"/>
  <c r="AB272" i="5"/>
  <c r="AA272" i="5"/>
  <c r="Z272" i="5"/>
  <c r="Y272" i="5"/>
  <c r="AF271" i="5"/>
  <c r="AD271" i="5"/>
  <c r="AC271" i="5"/>
  <c r="X271" i="5" s="1"/>
  <c r="AB271" i="5"/>
  <c r="AA271" i="5"/>
  <c r="Z271" i="5"/>
  <c r="Y271" i="5"/>
  <c r="AF270" i="5"/>
  <c r="AD270" i="5"/>
  <c r="AC270" i="5"/>
  <c r="X270" i="5" s="1"/>
  <c r="AB270" i="5"/>
  <c r="AA270" i="5"/>
  <c r="Z270" i="5"/>
  <c r="Y270" i="5"/>
  <c r="AF269" i="5"/>
  <c r="AD269" i="5"/>
  <c r="AC269" i="5"/>
  <c r="X269" i="5" s="1"/>
  <c r="AB269" i="5"/>
  <c r="AA269" i="5"/>
  <c r="Z269" i="5"/>
  <c r="Y269" i="5"/>
  <c r="AF268" i="5"/>
  <c r="AD268" i="5"/>
  <c r="AC268" i="5"/>
  <c r="X268" i="5" s="1"/>
  <c r="AB268" i="5"/>
  <c r="AA268" i="5"/>
  <c r="Z268" i="5"/>
  <c r="Y268" i="5"/>
  <c r="AF267" i="5"/>
  <c r="AD267" i="5"/>
  <c r="AC267" i="5"/>
  <c r="X267" i="5" s="1"/>
  <c r="AB267" i="5"/>
  <c r="AA267" i="5"/>
  <c r="Z267" i="5"/>
  <c r="Y267" i="5"/>
  <c r="AF266" i="5"/>
  <c r="AD266" i="5"/>
  <c r="AC266" i="5"/>
  <c r="X266" i="5" s="1"/>
  <c r="AB266" i="5"/>
  <c r="AA266" i="5"/>
  <c r="Z266" i="5"/>
  <c r="Y266" i="5"/>
  <c r="AF265" i="5"/>
  <c r="AD265" i="5"/>
  <c r="AC265" i="5"/>
  <c r="X265" i="5" s="1"/>
  <c r="AB265" i="5"/>
  <c r="AA265" i="5"/>
  <c r="Z265" i="5"/>
  <c r="Y265" i="5"/>
  <c r="AF264" i="5"/>
  <c r="AD264" i="5"/>
  <c r="AC264" i="5"/>
  <c r="X264" i="5" s="1"/>
  <c r="AB264" i="5"/>
  <c r="AA264" i="5"/>
  <c r="Z264" i="5"/>
  <c r="Y264" i="5"/>
  <c r="AF263" i="5"/>
  <c r="AD263" i="5"/>
  <c r="AE263" i="5" s="1"/>
  <c r="AC263" i="5"/>
  <c r="X263" i="5" s="1"/>
  <c r="AB263" i="5"/>
  <c r="AA263" i="5"/>
  <c r="Z263" i="5"/>
  <c r="Y263" i="5"/>
  <c r="AF262" i="5"/>
  <c r="AD262" i="5"/>
  <c r="AE262" i="5" s="1"/>
  <c r="AC262" i="5"/>
  <c r="X262" i="5" s="1"/>
  <c r="AB262" i="5"/>
  <c r="AA262" i="5"/>
  <c r="Z262" i="5"/>
  <c r="Y262" i="5"/>
  <c r="AF261" i="5"/>
  <c r="AD261" i="5"/>
  <c r="AC261" i="5"/>
  <c r="X261" i="5" s="1"/>
  <c r="AB261" i="5"/>
  <c r="AA261" i="5"/>
  <c r="Z261" i="5"/>
  <c r="Y261" i="5"/>
  <c r="AF260" i="5"/>
  <c r="AD260" i="5"/>
  <c r="AC260" i="5"/>
  <c r="X260" i="5" s="1"/>
  <c r="AB260" i="5"/>
  <c r="AA260" i="5"/>
  <c r="Z260" i="5"/>
  <c r="Y260" i="5"/>
  <c r="AF259" i="5"/>
  <c r="AD259" i="5"/>
  <c r="AC259" i="5"/>
  <c r="X259" i="5" s="1"/>
  <c r="AB259" i="5"/>
  <c r="AA259" i="5"/>
  <c r="Z259" i="5"/>
  <c r="Y259" i="5"/>
  <c r="AF258" i="5"/>
  <c r="AD258" i="5"/>
  <c r="AC258" i="5"/>
  <c r="X258" i="5" s="1"/>
  <c r="AB258" i="5"/>
  <c r="AA258" i="5"/>
  <c r="Z258" i="5"/>
  <c r="Y258" i="5"/>
  <c r="AF257" i="5"/>
  <c r="AD257" i="5"/>
  <c r="AC257" i="5"/>
  <c r="X257" i="5" s="1"/>
  <c r="AB257" i="5"/>
  <c r="AA257" i="5"/>
  <c r="Z257" i="5"/>
  <c r="Y257" i="5"/>
  <c r="AF256" i="5"/>
  <c r="AD256" i="5"/>
  <c r="AC256" i="5"/>
  <c r="AB256" i="5"/>
  <c r="AA256" i="5"/>
  <c r="Z256" i="5"/>
  <c r="Y256" i="5"/>
  <c r="X256" i="5"/>
  <c r="AF255" i="5"/>
  <c r="AD255" i="5"/>
  <c r="AC255" i="5"/>
  <c r="AB255" i="5"/>
  <c r="AA255" i="5"/>
  <c r="Z255" i="5"/>
  <c r="Y255" i="5"/>
  <c r="X255" i="5"/>
  <c r="AF254" i="5"/>
  <c r="AD254" i="5"/>
  <c r="AC254" i="5"/>
  <c r="AB254" i="5"/>
  <c r="AA254" i="5"/>
  <c r="Z254" i="5"/>
  <c r="Y254" i="5"/>
  <c r="X254" i="5"/>
  <c r="AF253" i="5"/>
  <c r="AD253" i="5"/>
  <c r="AC253" i="5"/>
  <c r="X253" i="5" s="1"/>
  <c r="AB253" i="5"/>
  <c r="AA253" i="5"/>
  <c r="Z253" i="5"/>
  <c r="Y253" i="5"/>
  <c r="AF252" i="5"/>
  <c r="AD252" i="5"/>
  <c r="AC252" i="5"/>
  <c r="AB252" i="5"/>
  <c r="AA252" i="5"/>
  <c r="Z252" i="5"/>
  <c r="Y252" i="5"/>
  <c r="X252" i="5"/>
  <c r="AF251" i="5"/>
  <c r="AD251" i="5"/>
  <c r="AE251" i="5" s="1"/>
  <c r="AC251" i="5"/>
  <c r="AB251" i="5"/>
  <c r="AA251" i="5"/>
  <c r="Z251" i="5"/>
  <c r="Y251" i="5"/>
  <c r="X251" i="5"/>
  <c r="AF250" i="5"/>
  <c r="AD250" i="5"/>
  <c r="AE250" i="5" s="1"/>
  <c r="AC250" i="5"/>
  <c r="AB250" i="5"/>
  <c r="AA250" i="5"/>
  <c r="Z250" i="5"/>
  <c r="Y250" i="5"/>
  <c r="X250" i="5"/>
  <c r="AF249" i="5"/>
  <c r="AD249" i="5"/>
  <c r="AC249" i="5"/>
  <c r="X249" i="5" s="1"/>
  <c r="AB249" i="5"/>
  <c r="AA249" i="5"/>
  <c r="Z249" i="5"/>
  <c r="Y249" i="5"/>
  <c r="AF248" i="5"/>
  <c r="AD248" i="5"/>
  <c r="AC248" i="5"/>
  <c r="X248" i="5" s="1"/>
  <c r="AB248" i="5"/>
  <c r="AA248" i="5"/>
  <c r="Z248" i="5"/>
  <c r="Y248" i="5"/>
  <c r="AF247" i="5"/>
  <c r="AD247" i="5"/>
  <c r="AC247" i="5"/>
  <c r="X247" i="5" s="1"/>
  <c r="AB247" i="5"/>
  <c r="AA247" i="5"/>
  <c r="Z247" i="5"/>
  <c r="Y247" i="5"/>
  <c r="AF246" i="5"/>
  <c r="AD246" i="5"/>
  <c r="AC246" i="5"/>
  <c r="X246" i="5" s="1"/>
  <c r="AB246" i="5"/>
  <c r="AA246" i="5"/>
  <c r="Z246" i="5"/>
  <c r="Y246" i="5"/>
  <c r="AF245" i="5"/>
  <c r="AD245" i="5"/>
  <c r="AC245" i="5"/>
  <c r="X245" i="5" s="1"/>
  <c r="AB245" i="5"/>
  <c r="AA245" i="5"/>
  <c r="Z245" i="5"/>
  <c r="Y245" i="5"/>
  <c r="AF244" i="5"/>
  <c r="AD244" i="5"/>
  <c r="AC244" i="5"/>
  <c r="X244" i="5" s="1"/>
  <c r="AB244" i="5"/>
  <c r="AA244" i="5"/>
  <c r="Z244" i="5"/>
  <c r="Y244" i="5"/>
  <c r="AF243" i="5"/>
  <c r="AD243" i="5"/>
  <c r="AC243" i="5"/>
  <c r="X243" i="5" s="1"/>
  <c r="AB243" i="5"/>
  <c r="AA243" i="5"/>
  <c r="Z243" i="5"/>
  <c r="Y243" i="5"/>
  <c r="AF242" i="5"/>
  <c r="AD242" i="5"/>
  <c r="AC242" i="5"/>
  <c r="X242" i="5" s="1"/>
  <c r="AB242" i="5"/>
  <c r="AA242" i="5"/>
  <c r="Z242" i="5"/>
  <c r="Y242" i="5"/>
  <c r="AF241" i="5"/>
  <c r="AD241" i="5"/>
  <c r="AC241" i="5"/>
  <c r="X241" i="5" s="1"/>
  <c r="AB241" i="5"/>
  <c r="AA241" i="5"/>
  <c r="Z241" i="5"/>
  <c r="Y241" i="5"/>
  <c r="AF240" i="5"/>
  <c r="AD240" i="5"/>
  <c r="AC240" i="5"/>
  <c r="X240" i="5" s="1"/>
  <c r="AB240" i="5"/>
  <c r="AA240" i="5"/>
  <c r="Z240" i="5"/>
  <c r="Y240" i="5"/>
  <c r="AF239" i="5"/>
  <c r="AD239" i="5"/>
  <c r="AC239" i="5"/>
  <c r="X239" i="5" s="1"/>
  <c r="AB239" i="5"/>
  <c r="AA239" i="5"/>
  <c r="Z239" i="5"/>
  <c r="Y239" i="5"/>
  <c r="AF238" i="5"/>
  <c r="AD238" i="5"/>
  <c r="AC238" i="5"/>
  <c r="X238" i="5" s="1"/>
  <c r="AB238" i="5"/>
  <c r="AA238" i="5"/>
  <c r="Z238" i="5"/>
  <c r="Y238" i="5"/>
  <c r="AF237" i="5"/>
  <c r="AD237" i="5"/>
  <c r="AC237" i="5"/>
  <c r="X237" i="5" s="1"/>
  <c r="AB237" i="5"/>
  <c r="AA237" i="5"/>
  <c r="Z237" i="5"/>
  <c r="Y237" i="5"/>
  <c r="AF236" i="5"/>
  <c r="AD236" i="5"/>
  <c r="AC236" i="5"/>
  <c r="X236" i="5" s="1"/>
  <c r="AB236" i="5"/>
  <c r="AA236" i="5"/>
  <c r="Z236" i="5"/>
  <c r="Y236" i="5"/>
  <c r="AF235" i="5"/>
  <c r="AD235" i="5"/>
  <c r="AE235" i="5" s="1"/>
  <c r="AC235" i="5"/>
  <c r="X235" i="5" s="1"/>
  <c r="AB235" i="5"/>
  <c r="AA235" i="5"/>
  <c r="Z235" i="5"/>
  <c r="Y235" i="5"/>
  <c r="AF234" i="5"/>
  <c r="AD234" i="5"/>
  <c r="AE234" i="5" s="1"/>
  <c r="AC234" i="5"/>
  <c r="X234" i="5" s="1"/>
  <c r="AB234" i="5"/>
  <c r="AA234" i="5"/>
  <c r="Z234" i="5"/>
  <c r="Y234" i="5"/>
  <c r="AF233" i="5"/>
  <c r="AD233" i="5"/>
  <c r="AC233" i="5"/>
  <c r="X233" i="5" s="1"/>
  <c r="AB233" i="5"/>
  <c r="AA233" i="5"/>
  <c r="Z233" i="5"/>
  <c r="Y233" i="5"/>
  <c r="AF232" i="5"/>
  <c r="AD232" i="5"/>
  <c r="AC232" i="5"/>
  <c r="X232" i="5" s="1"/>
  <c r="AB232" i="5"/>
  <c r="AA232" i="5"/>
  <c r="Z232" i="5"/>
  <c r="Y232" i="5"/>
  <c r="AF231" i="5"/>
  <c r="AD231" i="5"/>
  <c r="AE231" i="5" s="1"/>
  <c r="AC231" i="5"/>
  <c r="X231" i="5" s="1"/>
  <c r="AB231" i="5"/>
  <c r="AA231" i="5"/>
  <c r="Z231" i="5"/>
  <c r="Y231" i="5"/>
  <c r="AF230" i="5"/>
  <c r="AD230" i="5"/>
  <c r="AE230" i="5" s="1"/>
  <c r="AC230" i="5"/>
  <c r="X230" i="5" s="1"/>
  <c r="AB230" i="5"/>
  <c r="AA230" i="5"/>
  <c r="Z230" i="5"/>
  <c r="Y230" i="5"/>
  <c r="AF229" i="5"/>
  <c r="AD229" i="5"/>
  <c r="AC229" i="5"/>
  <c r="X229" i="5" s="1"/>
  <c r="AB229" i="5"/>
  <c r="AA229" i="5"/>
  <c r="Z229" i="5"/>
  <c r="Y229" i="5"/>
  <c r="AF228" i="5"/>
  <c r="AD228" i="5"/>
  <c r="AC228" i="5"/>
  <c r="X228" i="5" s="1"/>
  <c r="AB228" i="5"/>
  <c r="AA228" i="5"/>
  <c r="Z228" i="5"/>
  <c r="Y228" i="5"/>
  <c r="AF227" i="5"/>
  <c r="AD227" i="5"/>
  <c r="AC227" i="5"/>
  <c r="X227" i="5" s="1"/>
  <c r="AB227" i="5"/>
  <c r="AA227" i="5"/>
  <c r="Z227" i="5"/>
  <c r="Y227" i="5"/>
  <c r="AF226" i="5"/>
  <c r="AD226" i="5"/>
  <c r="AC226" i="5"/>
  <c r="X226" i="5" s="1"/>
  <c r="AB226" i="5"/>
  <c r="AA226" i="5"/>
  <c r="Z226" i="5"/>
  <c r="Y226" i="5"/>
  <c r="AF225" i="5"/>
  <c r="AD225" i="5"/>
  <c r="AC225" i="5"/>
  <c r="X225" i="5" s="1"/>
  <c r="AB225" i="5"/>
  <c r="AA225" i="5"/>
  <c r="Z225" i="5"/>
  <c r="Y225" i="5"/>
  <c r="AF224" i="5"/>
  <c r="AD224" i="5"/>
  <c r="AC224" i="5"/>
  <c r="X224" i="5" s="1"/>
  <c r="AB224" i="5"/>
  <c r="AA224" i="5"/>
  <c r="Z224" i="5"/>
  <c r="Y224" i="5"/>
  <c r="AF223" i="5"/>
  <c r="AD223" i="5"/>
  <c r="AC223" i="5"/>
  <c r="X223" i="5" s="1"/>
  <c r="AB223" i="5"/>
  <c r="AA223" i="5"/>
  <c r="Z223" i="5"/>
  <c r="Y223" i="5"/>
  <c r="AF222" i="5"/>
  <c r="AD222" i="5"/>
  <c r="AC222" i="5"/>
  <c r="X222" i="5" s="1"/>
  <c r="AB222" i="5"/>
  <c r="AA222" i="5"/>
  <c r="Z222" i="5"/>
  <c r="Y222" i="5"/>
  <c r="AF221" i="5"/>
  <c r="AD221" i="5"/>
  <c r="AC221" i="5"/>
  <c r="X221" i="5" s="1"/>
  <c r="AB221" i="5"/>
  <c r="AA221" i="5"/>
  <c r="Z221" i="5"/>
  <c r="Y221" i="5"/>
  <c r="AF220" i="5"/>
  <c r="AD220" i="5"/>
  <c r="AC220" i="5"/>
  <c r="AB220" i="5"/>
  <c r="AA220" i="5"/>
  <c r="Z220" i="5"/>
  <c r="Y220" i="5"/>
  <c r="X220" i="5"/>
  <c r="AF219" i="5"/>
  <c r="AD219" i="5"/>
  <c r="AE219" i="5" s="1"/>
  <c r="AC219" i="5"/>
  <c r="AB219" i="5"/>
  <c r="AA219" i="5"/>
  <c r="Z219" i="5"/>
  <c r="Y219" i="5"/>
  <c r="X219" i="5"/>
  <c r="AF218" i="5"/>
  <c r="AD218" i="5"/>
  <c r="AE218" i="5" s="1"/>
  <c r="AC218" i="5"/>
  <c r="AB218" i="5"/>
  <c r="AA218" i="5"/>
  <c r="Z218" i="5"/>
  <c r="Y218" i="5"/>
  <c r="X218" i="5"/>
  <c r="AF217" i="5"/>
  <c r="AD217" i="5"/>
  <c r="AC217" i="5"/>
  <c r="X217" i="5" s="1"/>
  <c r="AB217" i="5"/>
  <c r="AA217" i="5"/>
  <c r="Z217" i="5"/>
  <c r="Y217" i="5"/>
  <c r="AF216" i="5"/>
  <c r="AD216" i="5"/>
  <c r="AE216" i="5" s="1"/>
  <c r="AC216" i="5"/>
  <c r="X216" i="5" s="1"/>
  <c r="AB216" i="5"/>
  <c r="AA216" i="5"/>
  <c r="Z216" i="5"/>
  <c r="Y216" i="5"/>
  <c r="AF215" i="5"/>
  <c r="AE215" i="5"/>
  <c r="AD215" i="5"/>
  <c r="AC215" i="5"/>
  <c r="X215" i="5" s="1"/>
  <c r="AB215" i="5"/>
  <c r="AA215" i="5"/>
  <c r="Z215" i="5"/>
  <c r="Y215" i="5"/>
  <c r="AF214" i="5"/>
  <c r="AD214" i="5"/>
  <c r="AE214" i="5" s="1"/>
  <c r="AC214" i="5"/>
  <c r="X214" i="5" s="1"/>
  <c r="AB214" i="5"/>
  <c r="AA214" i="5"/>
  <c r="Z214" i="5"/>
  <c r="Y214" i="5"/>
  <c r="AF213" i="5"/>
  <c r="AD213" i="5"/>
  <c r="AC213" i="5"/>
  <c r="X213" i="5" s="1"/>
  <c r="AB213" i="5"/>
  <c r="AA213" i="5"/>
  <c r="Z213" i="5"/>
  <c r="Y213" i="5"/>
  <c r="AF212" i="5"/>
  <c r="AD212" i="5"/>
  <c r="AC212" i="5"/>
  <c r="X212" i="5" s="1"/>
  <c r="AB212" i="5"/>
  <c r="AA212" i="5"/>
  <c r="Z212" i="5"/>
  <c r="Y212" i="5"/>
  <c r="AF211" i="5"/>
  <c r="AD211" i="5"/>
  <c r="AE211" i="5" s="1"/>
  <c r="AC211" i="5"/>
  <c r="AB211" i="5"/>
  <c r="AA211" i="5"/>
  <c r="Z211" i="5"/>
  <c r="Y211" i="5"/>
  <c r="X211" i="5"/>
  <c r="AF210" i="5"/>
  <c r="AD210" i="5"/>
  <c r="AE210" i="5" s="1"/>
  <c r="AC210" i="5"/>
  <c r="AB210" i="5"/>
  <c r="AA210" i="5"/>
  <c r="Z210" i="5"/>
  <c r="Y210" i="5"/>
  <c r="X210" i="5"/>
  <c r="AF209" i="5"/>
  <c r="AD209" i="5"/>
  <c r="AC209" i="5"/>
  <c r="X209" i="5" s="1"/>
  <c r="AB209" i="5"/>
  <c r="AA209" i="5"/>
  <c r="Z209" i="5"/>
  <c r="Y209" i="5"/>
  <c r="AF208" i="5"/>
  <c r="AD208" i="5"/>
  <c r="AC208" i="5"/>
  <c r="X208" i="5" s="1"/>
  <c r="AB208" i="5"/>
  <c r="AA208" i="5"/>
  <c r="Z208" i="5"/>
  <c r="Y208" i="5"/>
  <c r="AF207" i="5"/>
  <c r="AE207" i="5"/>
  <c r="AD207" i="5"/>
  <c r="AC207" i="5"/>
  <c r="X207" i="5" s="1"/>
  <c r="AB207" i="5"/>
  <c r="AA207" i="5"/>
  <c r="Z207" i="5"/>
  <c r="Y207" i="5"/>
  <c r="AF206" i="5"/>
  <c r="AD206" i="5"/>
  <c r="AC206" i="5"/>
  <c r="X206" i="5" s="1"/>
  <c r="AB206" i="5"/>
  <c r="AA206" i="5"/>
  <c r="Z206" i="5"/>
  <c r="Y206" i="5"/>
  <c r="AF205" i="5"/>
  <c r="AD205" i="5"/>
  <c r="AC205" i="5"/>
  <c r="X205" i="5" s="1"/>
  <c r="AB205" i="5"/>
  <c r="AA205" i="5"/>
  <c r="Z205" i="5"/>
  <c r="Y205" i="5"/>
  <c r="AF204" i="5"/>
  <c r="AD204" i="5"/>
  <c r="AE204" i="5" s="1"/>
  <c r="AC204" i="5"/>
  <c r="X204" i="5" s="1"/>
  <c r="AB204" i="5"/>
  <c r="AA204" i="5"/>
  <c r="Z204" i="5"/>
  <c r="Y204" i="5"/>
  <c r="AF203" i="5"/>
  <c r="AD203" i="5"/>
  <c r="AE203" i="5" s="1"/>
  <c r="AC203" i="5"/>
  <c r="AB203" i="5"/>
  <c r="AA203" i="5"/>
  <c r="Z203" i="5"/>
  <c r="Y203" i="5"/>
  <c r="X203" i="5"/>
  <c r="AF202" i="5"/>
  <c r="AD202" i="5"/>
  <c r="AE202" i="5" s="1"/>
  <c r="AC202" i="5"/>
  <c r="AB202" i="5"/>
  <c r="AA202" i="5"/>
  <c r="Z202" i="5"/>
  <c r="Y202" i="5"/>
  <c r="X202" i="5"/>
  <c r="AF201" i="5"/>
  <c r="AD201" i="5"/>
  <c r="AC201" i="5"/>
  <c r="X201" i="5" s="1"/>
  <c r="AB201" i="5"/>
  <c r="AA201" i="5"/>
  <c r="Z201" i="5"/>
  <c r="Y201" i="5"/>
  <c r="AF200" i="5"/>
  <c r="AD200" i="5"/>
  <c r="AC200" i="5"/>
  <c r="X200" i="5" s="1"/>
  <c r="AB200" i="5"/>
  <c r="AA200" i="5"/>
  <c r="Z200" i="5"/>
  <c r="Y200" i="5"/>
  <c r="AF199" i="5"/>
  <c r="AD199" i="5"/>
  <c r="AC199" i="5"/>
  <c r="X199" i="5" s="1"/>
  <c r="AB199" i="5"/>
  <c r="AA199" i="5"/>
  <c r="Z199" i="5"/>
  <c r="Y199" i="5"/>
  <c r="AF198" i="5"/>
  <c r="AD198" i="5"/>
  <c r="AE198" i="5" s="1"/>
  <c r="AC198" i="5"/>
  <c r="X198" i="5" s="1"/>
  <c r="AB198" i="5"/>
  <c r="AA198" i="5"/>
  <c r="Z198" i="5"/>
  <c r="Y198" i="5"/>
  <c r="AF197" i="5"/>
  <c r="AD197" i="5"/>
  <c r="AC197" i="5"/>
  <c r="X197" i="5" s="1"/>
  <c r="AB197" i="5"/>
  <c r="AA197" i="5"/>
  <c r="Z197" i="5"/>
  <c r="Y197" i="5"/>
  <c r="AF196" i="5"/>
  <c r="AD196" i="5"/>
  <c r="AC196" i="5"/>
  <c r="X196" i="5" s="1"/>
  <c r="AB196" i="5"/>
  <c r="AA196" i="5"/>
  <c r="Z196" i="5"/>
  <c r="Y196" i="5"/>
  <c r="AF195" i="5"/>
  <c r="AD195" i="5"/>
  <c r="AC195" i="5"/>
  <c r="AB195" i="5"/>
  <c r="AA195" i="5"/>
  <c r="Z195" i="5"/>
  <c r="Y195" i="5"/>
  <c r="X195" i="5"/>
  <c r="AF194" i="5"/>
  <c r="AD194" i="5"/>
  <c r="AC194" i="5"/>
  <c r="AB194" i="5"/>
  <c r="AA194" i="5"/>
  <c r="Z194" i="5"/>
  <c r="Y194" i="5"/>
  <c r="X194" i="5"/>
  <c r="AF193" i="5"/>
  <c r="AD193" i="5"/>
  <c r="AC193" i="5"/>
  <c r="X193" i="5" s="1"/>
  <c r="AB193" i="5"/>
  <c r="AA193" i="5"/>
  <c r="Z193" i="5"/>
  <c r="Y193" i="5"/>
  <c r="AF192" i="5"/>
  <c r="AD192" i="5"/>
  <c r="AC192" i="5"/>
  <c r="X192" i="5" s="1"/>
  <c r="AB192" i="5"/>
  <c r="AA192" i="5"/>
  <c r="Z192" i="5"/>
  <c r="Y192" i="5"/>
  <c r="AF191" i="5"/>
  <c r="AE191" i="5"/>
  <c r="AD191" i="5"/>
  <c r="AC191" i="5"/>
  <c r="AB191" i="5"/>
  <c r="AA191" i="5"/>
  <c r="Z191" i="5"/>
  <c r="Y191" i="5"/>
  <c r="X191" i="5"/>
  <c r="AF190" i="5"/>
  <c r="AD190" i="5"/>
  <c r="AC190" i="5"/>
  <c r="AB190" i="5"/>
  <c r="AA190" i="5"/>
  <c r="Z190" i="5"/>
  <c r="Y190" i="5"/>
  <c r="X190" i="5"/>
  <c r="AF189" i="5"/>
  <c r="AD189" i="5"/>
  <c r="AC189" i="5"/>
  <c r="X189" i="5" s="1"/>
  <c r="AB189" i="5"/>
  <c r="AA189" i="5"/>
  <c r="Z189" i="5"/>
  <c r="Y189" i="5"/>
  <c r="AF188" i="5"/>
  <c r="AD188" i="5"/>
  <c r="AE188" i="5" s="1"/>
  <c r="AC188" i="5"/>
  <c r="X188" i="5" s="1"/>
  <c r="AB188" i="5"/>
  <c r="AA188" i="5"/>
  <c r="Z188" i="5"/>
  <c r="Y188" i="5"/>
  <c r="AF187" i="5"/>
  <c r="AD187" i="5"/>
  <c r="AE187" i="5" s="1"/>
  <c r="AC187" i="5"/>
  <c r="AB187" i="5"/>
  <c r="AA187" i="5"/>
  <c r="Z187" i="5"/>
  <c r="Y187" i="5"/>
  <c r="X187" i="5"/>
  <c r="AF186" i="5"/>
  <c r="AD186" i="5"/>
  <c r="AE186" i="5" s="1"/>
  <c r="AC186" i="5"/>
  <c r="AB186" i="5"/>
  <c r="AA186" i="5"/>
  <c r="Z186" i="5"/>
  <c r="Y186" i="5"/>
  <c r="X186" i="5"/>
  <c r="AF185" i="5"/>
  <c r="AD185" i="5"/>
  <c r="AC185" i="5"/>
  <c r="X185" i="5" s="1"/>
  <c r="AB185" i="5"/>
  <c r="AA185" i="5"/>
  <c r="Z185" i="5"/>
  <c r="Y185" i="5"/>
  <c r="AF184" i="5"/>
  <c r="AD184" i="5"/>
  <c r="AC184" i="5"/>
  <c r="X184" i="5" s="1"/>
  <c r="AB184" i="5"/>
  <c r="AA184" i="5"/>
  <c r="Z184" i="5"/>
  <c r="Y184" i="5"/>
  <c r="AF183" i="5"/>
  <c r="AD183" i="5"/>
  <c r="AE183" i="5" s="1"/>
  <c r="AC183" i="5"/>
  <c r="X183" i="5" s="1"/>
  <c r="AB183" i="5"/>
  <c r="AA183" i="5"/>
  <c r="Z183" i="5"/>
  <c r="Y183" i="5"/>
  <c r="AF182" i="5"/>
  <c r="AD182" i="5"/>
  <c r="AC182" i="5"/>
  <c r="X182" i="5" s="1"/>
  <c r="AB182" i="5"/>
  <c r="AA182" i="5"/>
  <c r="Z182" i="5"/>
  <c r="Y182" i="5"/>
  <c r="AF181" i="5"/>
  <c r="AD181" i="5"/>
  <c r="AC181" i="5"/>
  <c r="X181" i="5" s="1"/>
  <c r="AB181" i="5"/>
  <c r="AA181" i="5"/>
  <c r="Z181" i="5"/>
  <c r="Y181" i="5"/>
  <c r="AF180" i="5"/>
  <c r="AD180" i="5"/>
  <c r="AE180" i="5" s="1"/>
  <c r="AC180" i="5"/>
  <c r="X180" i="5" s="1"/>
  <c r="AB180" i="5"/>
  <c r="AA180" i="5"/>
  <c r="Z180" i="5"/>
  <c r="Y180" i="5"/>
  <c r="AF179" i="5"/>
  <c r="AD179" i="5"/>
  <c r="AC179" i="5"/>
  <c r="X179" i="5" s="1"/>
  <c r="AB179" i="5"/>
  <c r="AA179" i="5"/>
  <c r="Z179" i="5"/>
  <c r="Y179" i="5"/>
  <c r="AF178" i="5"/>
  <c r="AD178" i="5"/>
  <c r="AC178" i="5"/>
  <c r="X178" i="5" s="1"/>
  <c r="AB178" i="5"/>
  <c r="AA178" i="5"/>
  <c r="Z178" i="5"/>
  <c r="Y178" i="5"/>
  <c r="AF177" i="5"/>
  <c r="AD177" i="5"/>
  <c r="AC177" i="5"/>
  <c r="X177" i="5" s="1"/>
  <c r="AB177" i="5"/>
  <c r="AA177" i="5"/>
  <c r="Z177" i="5"/>
  <c r="Y177" i="5"/>
  <c r="AF176" i="5"/>
  <c r="AD176" i="5"/>
  <c r="AC176" i="5"/>
  <c r="X176" i="5" s="1"/>
  <c r="AB176" i="5"/>
  <c r="AA176" i="5"/>
  <c r="Z176" i="5"/>
  <c r="Y176" i="5"/>
  <c r="AF175" i="5"/>
  <c r="AD175" i="5"/>
  <c r="AC175" i="5"/>
  <c r="AE175" i="5" s="1"/>
  <c r="AB175" i="5"/>
  <c r="AA175" i="5"/>
  <c r="Z175" i="5"/>
  <c r="Y175" i="5"/>
  <c r="X175" i="5"/>
  <c r="AF174" i="5"/>
  <c r="AD174" i="5"/>
  <c r="AC174" i="5"/>
  <c r="AB174" i="5"/>
  <c r="AA174" i="5"/>
  <c r="Z174" i="5"/>
  <c r="Y174" i="5"/>
  <c r="X174" i="5"/>
  <c r="AF173" i="5"/>
  <c r="AD173" i="5"/>
  <c r="AC173" i="5"/>
  <c r="X173" i="5" s="1"/>
  <c r="AB173" i="5"/>
  <c r="AA173" i="5"/>
  <c r="Z173" i="5"/>
  <c r="Y173" i="5"/>
  <c r="AF172" i="5"/>
  <c r="AD172" i="5"/>
  <c r="AE172" i="5" s="1"/>
  <c r="AC172" i="5"/>
  <c r="X172" i="5" s="1"/>
  <c r="AB172" i="5"/>
  <c r="AA172" i="5"/>
  <c r="Z172" i="5"/>
  <c r="Y172" i="5"/>
  <c r="AF171" i="5"/>
  <c r="AE171" i="5"/>
  <c r="AD171" i="5"/>
  <c r="AC171" i="5"/>
  <c r="AB171" i="5"/>
  <c r="AA171" i="5"/>
  <c r="Z171" i="5"/>
  <c r="Y171" i="5"/>
  <c r="X171" i="5"/>
  <c r="AF170" i="5"/>
  <c r="AD170" i="5"/>
  <c r="AE170" i="5" s="1"/>
  <c r="AC170" i="5"/>
  <c r="AB170" i="5"/>
  <c r="AA170" i="5"/>
  <c r="Z170" i="5"/>
  <c r="Y170" i="5"/>
  <c r="X170" i="5"/>
  <c r="AF169" i="5"/>
  <c r="AD169" i="5"/>
  <c r="AC169" i="5"/>
  <c r="X169" i="5" s="1"/>
  <c r="AB169" i="5"/>
  <c r="AA169" i="5"/>
  <c r="Z169" i="5"/>
  <c r="Y169" i="5"/>
  <c r="AF168" i="5"/>
  <c r="AD168" i="5"/>
  <c r="AE168" i="5" s="1"/>
  <c r="AC168" i="5"/>
  <c r="X168" i="5" s="1"/>
  <c r="AB168" i="5"/>
  <c r="AA168" i="5"/>
  <c r="Z168" i="5"/>
  <c r="Y168" i="5"/>
  <c r="AF167" i="5"/>
  <c r="AD167" i="5"/>
  <c r="AE167" i="5" s="1"/>
  <c r="AC167" i="5"/>
  <c r="X167" i="5" s="1"/>
  <c r="AB167" i="5"/>
  <c r="AA167" i="5"/>
  <c r="Z167" i="5"/>
  <c r="Y167" i="5"/>
  <c r="AF166" i="5"/>
  <c r="AD166" i="5"/>
  <c r="AC166" i="5"/>
  <c r="X166" i="5" s="1"/>
  <c r="AB166" i="5"/>
  <c r="AA166" i="5"/>
  <c r="Z166" i="5"/>
  <c r="Y166" i="5"/>
  <c r="AF165" i="5"/>
  <c r="AD165" i="5"/>
  <c r="AC165" i="5"/>
  <c r="X165" i="5" s="1"/>
  <c r="AB165" i="5"/>
  <c r="AA165" i="5"/>
  <c r="Z165" i="5"/>
  <c r="Y165" i="5"/>
  <c r="AF164" i="5"/>
  <c r="AD164" i="5"/>
  <c r="AE164" i="5" s="1"/>
  <c r="AC164" i="5"/>
  <c r="X164" i="5" s="1"/>
  <c r="AB164" i="5"/>
  <c r="AA164" i="5"/>
  <c r="Z164" i="5"/>
  <c r="Y164" i="5"/>
  <c r="AF163" i="5"/>
  <c r="AD163" i="5"/>
  <c r="AE163" i="5" s="1"/>
  <c r="AC163" i="5"/>
  <c r="X163" i="5" s="1"/>
  <c r="AB163" i="5"/>
  <c r="AA163" i="5"/>
  <c r="Z163" i="5"/>
  <c r="Y163" i="5"/>
  <c r="AF162" i="5"/>
  <c r="AD162" i="5"/>
  <c r="AE162" i="5" s="1"/>
  <c r="AC162" i="5"/>
  <c r="X162" i="5" s="1"/>
  <c r="AB162" i="5"/>
  <c r="AA162" i="5"/>
  <c r="Z162" i="5"/>
  <c r="Y162" i="5"/>
  <c r="AF161" i="5"/>
  <c r="AD161" i="5"/>
  <c r="AC161" i="5"/>
  <c r="X161" i="5" s="1"/>
  <c r="AB161" i="5"/>
  <c r="AA161" i="5"/>
  <c r="Z161" i="5"/>
  <c r="Y161" i="5"/>
  <c r="AF160" i="5"/>
  <c r="AD160" i="5"/>
  <c r="AC160" i="5"/>
  <c r="X160" i="5" s="1"/>
  <c r="AB160" i="5"/>
  <c r="AA160" i="5"/>
  <c r="Z160" i="5"/>
  <c r="Y160" i="5"/>
  <c r="AF159" i="5"/>
  <c r="AD159" i="5"/>
  <c r="AC159" i="5"/>
  <c r="AE159" i="5" s="1"/>
  <c r="AB159" i="5"/>
  <c r="AA159" i="5"/>
  <c r="Z159" i="5"/>
  <c r="Y159" i="5"/>
  <c r="AF158" i="5"/>
  <c r="AD158" i="5"/>
  <c r="AC158" i="5"/>
  <c r="X158" i="5" s="1"/>
  <c r="AB158" i="5"/>
  <c r="AA158" i="5"/>
  <c r="Z158" i="5"/>
  <c r="Y158" i="5"/>
  <c r="AF157" i="5"/>
  <c r="AD157" i="5"/>
  <c r="AC157" i="5"/>
  <c r="X157" i="5" s="1"/>
  <c r="AB157" i="5"/>
  <c r="AA157" i="5"/>
  <c r="Z157" i="5"/>
  <c r="Y157" i="5"/>
  <c r="AF156" i="5"/>
  <c r="AD156" i="5"/>
  <c r="AE156" i="5" s="1"/>
  <c r="AC156" i="5"/>
  <c r="X156" i="5" s="1"/>
  <c r="AB156" i="5"/>
  <c r="AA156" i="5"/>
  <c r="Z156" i="5"/>
  <c r="Y156" i="5"/>
  <c r="AF155" i="5"/>
  <c r="AE155" i="5"/>
  <c r="AD155" i="5"/>
  <c r="AC155" i="5"/>
  <c r="AB155" i="5"/>
  <c r="AA155" i="5"/>
  <c r="Z155" i="5"/>
  <c r="Y155" i="5"/>
  <c r="X155" i="5"/>
  <c r="AF154" i="5"/>
  <c r="AD154" i="5"/>
  <c r="AE154" i="5" s="1"/>
  <c r="AC154" i="5"/>
  <c r="AB154" i="5"/>
  <c r="AA154" i="5"/>
  <c r="Z154" i="5"/>
  <c r="Y154" i="5"/>
  <c r="X154" i="5"/>
  <c r="AF153" i="5"/>
  <c r="AD153" i="5"/>
  <c r="AC153" i="5"/>
  <c r="X153" i="5" s="1"/>
  <c r="AB153" i="5"/>
  <c r="AA153" i="5"/>
  <c r="Z153" i="5"/>
  <c r="Y153" i="5"/>
  <c r="AF152" i="5"/>
  <c r="AD152" i="5"/>
  <c r="AE152" i="5" s="1"/>
  <c r="AC152" i="5"/>
  <c r="X152" i="5" s="1"/>
  <c r="AB152" i="5"/>
  <c r="AA152" i="5"/>
  <c r="Z152" i="5"/>
  <c r="Y152" i="5"/>
  <c r="AF151" i="5"/>
  <c r="AE151" i="5"/>
  <c r="AD151" i="5"/>
  <c r="AC151" i="5"/>
  <c r="X151" i="5" s="1"/>
  <c r="AB151" i="5"/>
  <c r="AA151" i="5"/>
  <c r="Z151" i="5"/>
  <c r="Y151" i="5"/>
  <c r="AF150" i="5"/>
  <c r="AD150" i="5"/>
  <c r="AE150" i="5" s="1"/>
  <c r="AC150" i="5"/>
  <c r="X150" i="5" s="1"/>
  <c r="AB150" i="5"/>
  <c r="AA150" i="5"/>
  <c r="Z150" i="5"/>
  <c r="Y150" i="5"/>
  <c r="AF149" i="5"/>
  <c r="AD149" i="5"/>
  <c r="AC149" i="5"/>
  <c r="X149" i="5" s="1"/>
  <c r="AB149" i="5"/>
  <c r="AA149" i="5"/>
  <c r="Z149" i="5"/>
  <c r="Y149" i="5"/>
  <c r="AF148" i="5"/>
  <c r="AD148" i="5"/>
  <c r="AC148" i="5"/>
  <c r="X148" i="5" s="1"/>
  <c r="AB148" i="5"/>
  <c r="AA148" i="5"/>
  <c r="Z148" i="5"/>
  <c r="Y148" i="5"/>
  <c r="AF147" i="5"/>
  <c r="AD147" i="5"/>
  <c r="AE147" i="5" s="1"/>
  <c r="AC147" i="5"/>
  <c r="AB147" i="5"/>
  <c r="AA147" i="5"/>
  <c r="Z147" i="5"/>
  <c r="Y147" i="5"/>
  <c r="X147" i="5"/>
  <c r="AF146" i="5"/>
  <c r="AD146" i="5"/>
  <c r="AE146" i="5" s="1"/>
  <c r="AC146" i="5"/>
  <c r="AB146" i="5"/>
  <c r="AA146" i="5"/>
  <c r="Z146" i="5"/>
  <c r="Y146" i="5"/>
  <c r="X146" i="5"/>
  <c r="AF145" i="5"/>
  <c r="AD145" i="5"/>
  <c r="AC145" i="5"/>
  <c r="X145" i="5" s="1"/>
  <c r="AB145" i="5"/>
  <c r="AA145" i="5"/>
  <c r="Z145" i="5"/>
  <c r="Y145" i="5"/>
  <c r="AF144" i="5"/>
  <c r="AD144" i="5"/>
  <c r="AC144" i="5"/>
  <c r="X144" i="5" s="1"/>
  <c r="AB144" i="5"/>
  <c r="AA144" i="5"/>
  <c r="Z144" i="5"/>
  <c r="Y144" i="5"/>
  <c r="AF143" i="5"/>
  <c r="AE143" i="5"/>
  <c r="AD143" i="5"/>
  <c r="AC143" i="5"/>
  <c r="X143" i="5" s="1"/>
  <c r="AB143" i="5"/>
  <c r="AA143" i="5"/>
  <c r="Z143" i="5"/>
  <c r="Y143" i="5"/>
  <c r="AF142" i="5"/>
  <c r="AD142" i="5"/>
  <c r="AC142" i="5"/>
  <c r="X142" i="5" s="1"/>
  <c r="AB142" i="5"/>
  <c r="AA142" i="5"/>
  <c r="Z142" i="5"/>
  <c r="Y142" i="5"/>
  <c r="AF141" i="5"/>
  <c r="AD141" i="5"/>
  <c r="AC141" i="5"/>
  <c r="X141" i="5" s="1"/>
  <c r="AB141" i="5"/>
  <c r="AA141" i="5"/>
  <c r="Z141" i="5"/>
  <c r="Y141" i="5"/>
  <c r="AF140" i="5"/>
  <c r="AD140" i="5"/>
  <c r="AE140" i="5" s="1"/>
  <c r="AC140" i="5"/>
  <c r="X140" i="5" s="1"/>
  <c r="AB140" i="5"/>
  <c r="AA140" i="5"/>
  <c r="Z140" i="5"/>
  <c r="Y140" i="5"/>
  <c r="AF139" i="5"/>
  <c r="AD139" i="5"/>
  <c r="AE139" i="5" s="1"/>
  <c r="AC139" i="5"/>
  <c r="AB139" i="5"/>
  <c r="AA139" i="5"/>
  <c r="Z139" i="5"/>
  <c r="Y139" i="5"/>
  <c r="X139" i="5"/>
  <c r="AF138" i="5"/>
  <c r="AD138" i="5"/>
  <c r="AE138" i="5" s="1"/>
  <c r="AC138" i="5"/>
  <c r="AB138" i="5"/>
  <c r="AA138" i="5"/>
  <c r="Z138" i="5"/>
  <c r="Y138" i="5"/>
  <c r="X138" i="5"/>
  <c r="AF137" i="5"/>
  <c r="AD137" i="5"/>
  <c r="AC137" i="5"/>
  <c r="X137" i="5" s="1"/>
  <c r="AB137" i="5"/>
  <c r="AA137" i="5"/>
  <c r="Z137" i="5"/>
  <c r="Y137" i="5"/>
  <c r="AF136" i="5"/>
  <c r="AD136" i="5"/>
  <c r="AC136" i="5"/>
  <c r="X136" i="5" s="1"/>
  <c r="AB136" i="5"/>
  <c r="AA136" i="5"/>
  <c r="Z136" i="5"/>
  <c r="Y136" i="5"/>
  <c r="AF135" i="5"/>
  <c r="AD135" i="5"/>
  <c r="AC135" i="5"/>
  <c r="X135" i="5" s="1"/>
  <c r="AB135" i="5"/>
  <c r="AA135" i="5"/>
  <c r="Z135" i="5"/>
  <c r="Y135" i="5"/>
  <c r="AF134" i="5"/>
  <c r="AD134" i="5"/>
  <c r="AE134" i="5" s="1"/>
  <c r="AC134" i="5"/>
  <c r="X134" i="5" s="1"/>
  <c r="AB134" i="5"/>
  <c r="AA134" i="5"/>
  <c r="Z134" i="5"/>
  <c r="Y134" i="5"/>
  <c r="AF133" i="5"/>
  <c r="AD133" i="5"/>
  <c r="AC133" i="5"/>
  <c r="X133" i="5" s="1"/>
  <c r="AB133" i="5"/>
  <c r="AA133" i="5"/>
  <c r="Z133" i="5"/>
  <c r="Y133" i="5"/>
  <c r="AF132" i="5"/>
  <c r="AD132" i="5"/>
  <c r="AC132" i="5"/>
  <c r="X132" i="5" s="1"/>
  <c r="AB132" i="5"/>
  <c r="AA132" i="5"/>
  <c r="Z132" i="5"/>
  <c r="Y132" i="5"/>
  <c r="AF131" i="5"/>
  <c r="AD131" i="5"/>
  <c r="AC131" i="5"/>
  <c r="AB131" i="5"/>
  <c r="AA131" i="5"/>
  <c r="Z131" i="5"/>
  <c r="Y131" i="5"/>
  <c r="X131" i="5"/>
  <c r="AF130" i="5"/>
  <c r="AD130" i="5"/>
  <c r="AC130" i="5"/>
  <c r="AB130" i="5"/>
  <c r="AA130" i="5"/>
  <c r="Z130" i="5"/>
  <c r="Y130" i="5"/>
  <c r="X130" i="5"/>
  <c r="AF129" i="5"/>
  <c r="AD129" i="5"/>
  <c r="AC129" i="5"/>
  <c r="X129" i="5" s="1"/>
  <c r="AB129" i="5"/>
  <c r="AA129" i="5"/>
  <c r="Z129" i="5"/>
  <c r="Y129" i="5"/>
  <c r="AF128" i="5"/>
  <c r="AD128" i="5"/>
  <c r="AC128" i="5"/>
  <c r="X128" i="5" s="1"/>
  <c r="AB128" i="5"/>
  <c r="AA128" i="5"/>
  <c r="Z128" i="5"/>
  <c r="Y128" i="5"/>
  <c r="AF127" i="5"/>
  <c r="AE127" i="5"/>
  <c r="AD127" i="5"/>
  <c r="AC127" i="5"/>
  <c r="AB127" i="5"/>
  <c r="AA127" i="5"/>
  <c r="Z127" i="5"/>
  <c r="Y127" i="5"/>
  <c r="X127" i="5"/>
  <c r="AF126" i="5"/>
  <c r="AD126" i="5"/>
  <c r="AC126" i="5"/>
  <c r="AB126" i="5"/>
  <c r="AA126" i="5"/>
  <c r="Z126" i="5"/>
  <c r="Y126" i="5"/>
  <c r="X126" i="5"/>
  <c r="AF125" i="5"/>
  <c r="AD125" i="5"/>
  <c r="AC125" i="5"/>
  <c r="X125" i="5" s="1"/>
  <c r="AB125" i="5"/>
  <c r="AA125" i="5"/>
  <c r="Z125" i="5"/>
  <c r="Y125" i="5"/>
  <c r="AF124" i="5"/>
  <c r="AD124" i="5"/>
  <c r="AE124" i="5" s="1"/>
  <c r="AC124" i="5"/>
  <c r="X124" i="5" s="1"/>
  <c r="AB124" i="5"/>
  <c r="AA124" i="5"/>
  <c r="Z124" i="5"/>
  <c r="Y124" i="5"/>
  <c r="AF123" i="5"/>
  <c r="AD123" i="5"/>
  <c r="AE123" i="5" s="1"/>
  <c r="AC123" i="5"/>
  <c r="AB123" i="5"/>
  <c r="AA123" i="5"/>
  <c r="Z123" i="5"/>
  <c r="Y123" i="5"/>
  <c r="X123" i="5"/>
  <c r="AF122" i="5"/>
  <c r="AD122" i="5"/>
  <c r="AE122" i="5" s="1"/>
  <c r="AC122" i="5"/>
  <c r="AB122" i="5"/>
  <c r="AA122" i="5"/>
  <c r="Z122" i="5"/>
  <c r="Y122" i="5"/>
  <c r="X122" i="5"/>
  <c r="AF121" i="5"/>
  <c r="AD121" i="5"/>
  <c r="AC121" i="5"/>
  <c r="X121" i="5" s="1"/>
  <c r="AB121" i="5"/>
  <c r="AA121" i="5"/>
  <c r="Z121" i="5"/>
  <c r="Y121" i="5"/>
  <c r="AF120" i="5"/>
  <c r="AD120" i="5"/>
  <c r="AC120" i="5"/>
  <c r="X120" i="5" s="1"/>
  <c r="AB120" i="5"/>
  <c r="AA120" i="5"/>
  <c r="Z120" i="5"/>
  <c r="Y120" i="5"/>
  <c r="AF119" i="5"/>
  <c r="AD119" i="5"/>
  <c r="AE119" i="5" s="1"/>
  <c r="AC119" i="5"/>
  <c r="X119" i="5" s="1"/>
  <c r="AB119" i="5"/>
  <c r="AA119" i="5"/>
  <c r="Z119" i="5"/>
  <c r="Y119" i="5"/>
  <c r="AF118" i="5"/>
  <c r="AD118" i="5"/>
  <c r="AC118" i="5"/>
  <c r="X118" i="5" s="1"/>
  <c r="AB118" i="5"/>
  <c r="AA118" i="5"/>
  <c r="Z118" i="5"/>
  <c r="Y118" i="5"/>
  <c r="AF117" i="5"/>
  <c r="AD117" i="5"/>
  <c r="AC117" i="5"/>
  <c r="X117" i="5" s="1"/>
  <c r="AB117" i="5"/>
  <c r="AA117" i="5"/>
  <c r="Z117" i="5"/>
  <c r="Y117" i="5"/>
  <c r="AF116" i="5"/>
  <c r="AD116" i="5"/>
  <c r="AE116" i="5" s="1"/>
  <c r="AC116" i="5"/>
  <c r="X116" i="5" s="1"/>
  <c r="AB116" i="5"/>
  <c r="AA116" i="5"/>
  <c r="Z116" i="5"/>
  <c r="Y116" i="5"/>
  <c r="AF115" i="5"/>
  <c r="AD115" i="5"/>
  <c r="AE115" i="5" s="1"/>
  <c r="AC115" i="5"/>
  <c r="X115" i="5" s="1"/>
  <c r="AB115" i="5"/>
  <c r="AA115" i="5"/>
  <c r="Z115" i="5"/>
  <c r="Y115" i="5"/>
  <c r="AF114" i="5"/>
  <c r="AD114" i="5"/>
  <c r="AE114" i="5" s="1"/>
  <c r="AC114" i="5"/>
  <c r="X114" i="5" s="1"/>
  <c r="AB114" i="5"/>
  <c r="AA114" i="5"/>
  <c r="Z114" i="5"/>
  <c r="Y114" i="5"/>
  <c r="AF113" i="5"/>
  <c r="AD113" i="5"/>
  <c r="AC113" i="5"/>
  <c r="X113" i="5" s="1"/>
  <c r="AB113" i="5"/>
  <c r="AA113" i="5"/>
  <c r="Z113" i="5"/>
  <c r="Y113" i="5"/>
  <c r="AF112" i="5"/>
  <c r="AD112" i="5"/>
  <c r="AC112" i="5"/>
  <c r="X112" i="5" s="1"/>
  <c r="AB112" i="5"/>
  <c r="AA112" i="5"/>
  <c r="Z112" i="5"/>
  <c r="Y112" i="5"/>
  <c r="AF111" i="5"/>
  <c r="AD111" i="5"/>
  <c r="AE111" i="5" s="1"/>
  <c r="AC111" i="5"/>
  <c r="X111" i="5" s="1"/>
  <c r="AB111" i="5"/>
  <c r="AA111" i="5"/>
  <c r="Z111" i="5"/>
  <c r="Y111" i="5"/>
  <c r="AF110" i="5"/>
  <c r="AD110" i="5"/>
  <c r="AC110" i="5"/>
  <c r="X110" i="5" s="1"/>
  <c r="AB110" i="5"/>
  <c r="AA110" i="5"/>
  <c r="Z110" i="5"/>
  <c r="Y110" i="5"/>
  <c r="AF109" i="5"/>
  <c r="AD109" i="5"/>
  <c r="AC109" i="5"/>
  <c r="X109" i="5" s="1"/>
  <c r="AB109" i="5"/>
  <c r="AA109" i="5"/>
  <c r="Z109" i="5"/>
  <c r="Y109" i="5"/>
  <c r="AF108" i="5"/>
  <c r="AD108" i="5"/>
  <c r="AC108" i="5"/>
  <c r="X108" i="5" s="1"/>
  <c r="AB108" i="5"/>
  <c r="AA108" i="5"/>
  <c r="Z108" i="5"/>
  <c r="Y108" i="5"/>
  <c r="AF107" i="5"/>
  <c r="AD107" i="5"/>
  <c r="AC107" i="5"/>
  <c r="AE107" i="5" s="1"/>
  <c r="AB107" i="5"/>
  <c r="AA107" i="5"/>
  <c r="Z107" i="5"/>
  <c r="Y107" i="5"/>
  <c r="X107" i="5"/>
  <c r="AF106" i="5"/>
  <c r="AD106" i="5"/>
  <c r="AC106" i="5"/>
  <c r="AB106" i="5"/>
  <c r="AA106" i="5"/>
  <c r="Z106" i="5"/>
  <c r="Y106" i="5"/>
  <c r="X106" i="5"/>
  <c r="AF105" i="5"/>
  <c r="AD105" i="5"/>
  <c r="AC105" i="5"/>
  <c r="X105" i="5" s="1"/>
  <c r="AB105" i="5"/>
  <c r="AA105" i="5"/>
  <c r="Z105" i="5"/>
  <c r="Y105" i="5"/>
  <c r="AF104" i="5"/>
  <c r="AD104" i="5"/>
  <c r="AE104" i="5" s="1"/>
  <c r="AC104" i="5"/>
  <c r="X104" i="5" s="1"/>
  <c r="AB104" i="5"/>
  <c r="AA104" i="5"/>
  <c r="Z104" i="5"/>
  <c r="Y104" i="5"/>
  <c r="AF103" i="5"/>
  <c r="AE103" i="5"/>
  <c r="AD103" i="5"/>
  <c r="AC103" i="5"/>
  <c r="AB103" i="5"/>
  <c r="AA103" i="5"/>
  <c r="Z103" i="5"/>
  <c r="Y103" i="5"/>
  <c r="X103" i="5"/>
  <c r="AF102" i="5"/>
  <c r="AE102" i="5"/>
  <c r="AD102" i="5"/>
  <c r="AC102" i="5"/>
  <c r="AB102" i="5"/>
  <c r="AA102" i="5"/>
  <c r="Z102" i="5"/>
  <c r="Y102" i="5"/>
  <c r="X102" i="5"/>
  <c r="AF101" i="5"/>
  <c r="AD101" i="5"/>
  <c r="AC101" i="5"/>
  <c r="X101" i="5" s="1"/>
  <c r="AB101" i="5"/>
  <c r="AA101" i="5"/>
  <c r="Z101" i="5"/>
  <c r="Y101" i="5"/>
  <c r="AF100" i="5"/>
  <c r="AD100" i="5"/>
  <c r="AE100" i="5" s="1"/>
  <c r="AC100" i="5"/>
  <c r="AB100" i="5"/>
  <c r="AA100" i="5"/>
  <c r="Z100" i="5"/>
  <c r="Y100" i="5"/>
  <c r="X100" i="5"/>
  <c r="AF99" i="5"/>
  <c r="AD99" i="5"/>
  <c r="AC99" i="5"/>
  <c r="X99" i="5" s="1"/>
  <c r="AB99" i="5"/>
  <c r="AA99" i="5"/>
  <c r="Z99" i="5"/>
  <c r="Y99" i="5"/>
  <c r="AF98" i="5"/>
  <c r="AD98" i="5"/>
  <c r="AC98" i="5"/>
  <c r="X98" i="5" s="1"/>
  <c r="AB98" i="5"/>
  <c r="AA98" i="5"/>
  <c r="Z98" i="5"/>
  <c r="Y98" i="5"/>
  <c r="AF97" i="5"/>
  <c r="AD97" i="5"/>
  <c r="AE97" i="5" s="1"/>
  <c r="AC97" i="5"/>
  <c r="X97" i="5" s="1"/>
  <c r="AB97" i="5"/>
  <c r="AA97" i="5"/>
  <c r="Z97" i="5"/>
  <c r="Y97" i="5"/>
  <c r="AF96" i="5"/>
  <c r="AD96" i="5"/>
  <c r="AC96" i="5"/>
  <c r="X96" i="5" s="1"/>
  <c r="AB96" i="5"/>
  <c r="AA96" i="5"/>
  <c r="Z96" i="5"/>
  <c r="Y96" i="5"/>
  <c r="AF95" i="5"/>
  <c r="AD95" i="5"/>
  <c r="AC95" i="5"/>
  <c r="X95" i="5" s="1"/>
  <c r="AB95" i="5"/>
  <c r="AA95" i="5"/>
  <c r="Z95" i="5"/>
  <c r="Y95" i="5"/>
  <c r="AF94" i="5"/>
  <c r="AD94" i="5"/>
  <c r="AC94" i="5"/>
  <c r="X94" i="5" s="1"/>
  <c r="AB94" i="5"/>
  <c r="AA94" i="5"/>
  <c r="Z94" i="5"/>
  <c r="Y94" i="5"/>
  <c r="AF93" i="5"/>
  <c r="AD93" i="5"/>
  <c r="AC93" i="5"/>
  <c r="X93" i="5" s="1"/>
  <c r="AB93" i="5"/>
  <c r="AA93" i="5"/>
  <c r="Z93" i="5"/>
  <c r="Y93" i="5"/>
  <c r="AF92" i="5"/>
  <c r="AD92" i="5"/>
  <c r="AC92" i="5"/>
  <c r="X92" i="5" s="1"/>
  <c r="AB92" i="5"/>
  <c r="AA92" i="5"/>
  <c r="Z92" i="5"/>
  <c r="Y92" i="5"/>
  <c r="AF91" i="5"/>
  <c r="AD91" i="5"/>
  <c r="AC91" i="5"/>
  <c r="X91" i="5" s="1"/>
  <c r="AB91" i="5"/>
  <c r="AA91" i="5"/>
  <c r="Z91" i="5"/>
  <c r="Y91" i="5"/>
  <c r="AF90" i="5"/>
  <c r="AD90" i="5"/>
  <c r="AC90" i="5"/>
  <c r="X90" i="5" s="1"/>
  <c r="AB90" i="5"/>
  <c r="AA90" i="5"/>
  <c r="Z90" i="5"/>
  <c r="Y90" i="5"/>
  <c r="AF89" i="5"/>
  <c r="AD89" i="5"/>
  <c r="AE89" i="5" s="1"/>
  <c r="AC89" i="5"/>
  <c r="X89" i="5" s="1"/>
  <c r="AB89" i="5"/>
  <c r="AA89" i="5"/>
  <c r="Z89" i="5"/>
  <c r="Y89" i="5"/>
  <c r="AF88" i="5"/>
  <c r="AD88" i="5"/>
  <c r="AE88" i="5" s="1"/>
  <c r="AC88" i="5"/>
  <c r="X88" i="5" s="1"/>
  <c r="AB88" i="5"/>
  <c r="AA88" i="5"/>
  <c r="Z88" i="5"/>
  <c r="Y88" i="5"/>
  <c r="AF87" i="5"/>
  <c r="AD87" i="5"/>
  <c r="AC87" i="5"/>
  <c r="AE87" i="5" s="1"/>
  <c r="AB87" i="5"/>
  <c r="AA87" i="5"/>
  <c r="Z87" i="5"/>
  <c r="Y87" i="5"/>
  <c r="AF86" i="5"/>
  <c r="AD86" i="5"/>
  <c r="AC86" i="5"/>
  <c r="X86" i="5" s="1"/>
  <c r="AB86" i="5"/>
  <c r="AA86" i="5"/>
  <c r="Z86" i="5"/>
  <c r="Y86" i="5"/>
  <c r="AF85" i="5"/>
  <c r="AD85" i="5"/>
  <c r="AC85" i="5"/>
  <c r="X85" i="5" s="1"/>
  <c r="AB85" i="5"/>
  <c r="AA85" i="5"/>
  <c r="Z85" i="5"/>
  <c r="Y85" i="5"/>
  <c r="AF84" i="5"/>
  <c r="AD84" i="5"/>
  <c r="AE84" i="5" s="1"/>
  <c r="AC84" i="5"/>
  <c r="AB84" i="5"/>
  <c r="AA84" i="5"/>
  <c r="Z84" i="5"/>
  <c r="Y84" i="5"/>
  <c r="X84" i="5"/>
  <c r="AF83" i="5"/>
  <c r="AE83" i="5"/>
  <c r="AD83" i="5"/>
  <c r="AC83" i="5"/>
  <c r="X83" i="5" s="1"/>
  <c r="AB83" i="5"/>
  <c r="AA83" i="5"/>
  <c r="Z83" i="5"/>
  <c r="Y83" i="5"/>
  <c r="AF82" i="5"/>
  <c r="AD82" i="5"/>
  <c r="AC82" i="5"/>
  <c r="X82" i="5" s="1"/>
  <c r="AB82" i="5"/>
  <c r="AA82" i="5"/>
  <c r="Z82" i="5"/>
  <c r="Y82" i="5"/>
  <c r="AF81" i="5"/>
  <c r="AD81" i="5"/>
  <c r="AC81" i="5"/>
  <c r="X81" i="5" s="1"/>
  <c r="AB81" i="5"/>
  <c r="AA81" i="5"/>
  <c r="Z81" i="5"/>
  <c r="Y81" i="5"/>
  <c r="AF80" i="5"/>
  <c r="AD80" i="5"/>
  <c r="AE80" i="5" s="1"/>
  <c r="AC80" i="5"/>
  <c r="AB80" i="5"/>
  <c r="AA80" i="5"/>
  <c r="Z80" i="5"/>
  <c r="Y80" i="5"/>
  <c r="X80" i="5"/>
  <c r="AF79" i="5"/>
  <c r="AD79" i="5"/>
  <c r="AC79" i="5"/>
  <c r="AB79" i="5"/>
  <c r="AA79" i="5"/>
  <c r="Z79" i="5"/>
  <c r="Y79" i="5"/>
  <c r="X79" i="5"/>
  <c r="AF78" i="5"/>
  <c r="AD78" i="5"/>
  <c r="AC78" i="5"/>
  <c r="AB78" i="5"/>
  <c r="AA78" i="5"/>
  <c r="Z78" i="5"/>
  <c r="Y78" i="5"/>
  <c r="X78" i="5"/>
  <c r="AF77" i="5"/>
  <c r="AD77" i="5"/>
  <c r="AE77" i="5" s="1"/>
  <c r="AC77" i="5"/>
  <c r="X77" i="5" s="1"/>
  <c r="AB77" i="5"/>
  <c r="AA77" i="5"/>
  <c r="Z77" i="5"/>
  <c r="Y77" i="5"/>
  <c r="AF76" i="5"/>
  <c r="AD76" i="5"/>
  <c r="AC76" i="5"/>
  <c r="X76" i="5" s="1"/>
  <c r="AB76" i="5"/>
  <c r="AA76" i="5"/>
  <c r="Z76" i="5"/>
  <c r="Y76" i="5"/>
  <c r="AF75" i="5"/>
  <c r="AD75" i="5"/>
  <c r="AE75" i="5" s="1"/>
  <c r="AC75" i="5"/>
  <c r="AB75" i="5"/>
  <c r="AA75" i="5"/>
  <c r="Z75" i="5"/>
  <c r="Y75" i="5"/>
  <c r="X75" i="5"/>
  <c r="AF74" i="5"/>
  <c r="AD74" i="5"/>
  <c r="AE74" i="5" s="1"/>
  <c r="AC74" i="5"/>
  <c r="AB74" i="5"/>
  <c r="AA74" i="5"/>
  <c r="Z74" i="5"/>
  <c r="Y74" i="5"/>
  <c r="X74" i="5"/>
  <c r="AF73" i="5"/>
  <c r="AD73" i="5"/>
  <c r="AC73" i="5"/>
  <c r="X73" i="5" s="1"/>
  <c r="AB73" i="5"/>
  <c r="AA73" i="5"/>
  <c r="Z73" i="5"/>
  <c r="Y73" i="5"/>
  <c r="AF72" i="5"/>
  <c r="AD72" i="5"/>
  <c r="AC72" i="5"/>
  <c r="X72" i="5" s="1"/>
  <c r="AB72" i="5"/>
  <c r="AA72" i="5"/>
  <c r="Z72" i="5"/>
  <c r="Y72" i="5"/>
  <c r="AF71" i="5"/>
  <c r="AD71" i="5"/>
  <c r="AC71" i="5"/>
  <c r="AB71" i="5"/>
  <c r="AA71" i="5"/>
  <c r="Z71" i="5"/>
  <c r="Y71" i="5"/>
  <c r="AF70" i="5"/>
  <c r="AD70" i="5"/>
  <c r="AC70" i="5"/>
  <c r="X70" i="5" s="1"/>
  <c r="AB70" i="5"/>
  <c r="AA70" i="5"/>
  <c r="Z70" i="5"/>
  <c r="Y70" i="5"/>
  <c r="AF69" i="5"/>
  <c r="AD69" i="5"/>
  <c r="AC69" i="5"/>
  <c r="X69" i="5" s="1"/>
  <c r="AB69" i="5"/>
  <c r="AA69" i="5"/>
  <c r="Z69" i="5"/>
  <c r="Y69" i="5"/>
  <c r="AF68" i="5"/>
  <c r="AD68" i="5"/>
  <c r="AC68" i="5"/>
  <c r="X68" i="5" s="1"/>
  <c r="AB68" i="5"/>
  <c r="AA68" i="5"/>
  <c r="Z68" i="5"/>
  <c r="Y68" i="5"/>
  <c r="AF67" i="5"/>
  <c r="AD67" i="5"/>
  <c r="AC67" i="5"/>
  <c r="X67" i="5" s="1"/>
  <c r="AB67" i="5"/>
  <c r="AA67" i="5"/>
  <c r="Z67" i="5"/>
  <c r="Y67" i="5"/>
  <c r="AF66" i="5"/>
  <c r="AD66" i="5"/>
  <c r="AC66" i="5"/>
  <c r="X66" i="5" s="1"/>
  <c r="AB66" i="5"/>
  <c r="AA66" i="5"/>
  <c r="Z66" i="5"/>
  <c r="Y66" i="5"/>
  <c r="AF65" i="5"/>
  <c r="AD65" i="5"/>
  <c r="AC65" i="5"/>
  <c r="X65" i="5" s="1"/>
  <c r="AB65" i="5"/>
  <c r="AA65" i="5"/>
  <c r="Z65" i="5"/>
  <c r="Y65" i="5"/>
  <c r="AF64" i="5"/>
  <c r="AD64" i="5"/>
  <c r="AC64" i="5"/>
  <c r="X64" i="5" s="1"/>
  <c r="AB64" i="5"/>
  <c r="AA64" i="5"/>
  <c r="Z64" i="5"/>
  <c r="Y64" i="5"/>
  <c r="AF63" i="5"/>
  <c r="AD63" i="5"/>
  <c r="AC63" i="5"/>
  <c r="X63" i="5" s="1"/>
  <c r="AB63" i="5"/>
  <c r="AA63" i="5"/>
  <c r="Z63" i="5"/>
  <c r="Y63" i="5"/>
  <c r="AF62" i="5"/>
  <c r="AD62" i="5"/>
  <c r="AC62" i="5"/>
  <c r="X62" i="5" s="1"/>
  <c r="AB62" i="5"/>
  <c r="AA62" i="5"/>
  <c r="Z62" i="5"/>
  <c r="Y62" i="5"/>
  <c r="AF61" i="5"/>
  <c r="AD61" i="5"/>
  <c r="AC61" i="5"/>
  <c r="X61" i="5" s="1"/>
  <c r="AB61" i="5"/>
  <c r="AA61" i="5"/>
  <c r="Z61" i="5"/>
  <c r="Y61" i="5"/>
  <c r="AF60" i="5"/>
  <c r="AD60" i="5"/>
  <c r="AC60" i="5"/>
  <c r="X60" i="5" s="1"/>
  <c r="AB60" i="5"/>
  <c r="AA60" i="5"/>
  <c r="Z60" i="5"/>
  <c r="Y60" i="5"/>
  <c r="AF59" i="5"/>
  <c r="AD59" i="5"/>
  <c r="AC59" i="5"/>
  <c r="X59" i="5" s="1"/>
  <c r="AB59" i="5"/>
  <c r="AA59" i="5"/>
  <c r="Z59" i="5"/>
  <c r="Y59" i="5"/>
  <c r="AF58" i="5"/>
  <c r="AD58" i="5"/>
  <c r="AC58" i="5"/>
  <c r="X58" i="5" s="1"/>
  <c r="AB58" i="5"/>
  <c r="AA58" i="5"/>
  <c r="Z58" i="5"/>
  <c r="Y58" i="5"/>
  <c r="AF57" i="5"/>
  <c r="AD57" i="5"/>
  <c r="AC57" i="5"/>
  <c r="X57" i="5" s="1"/>
  <c r="AB57" i="5"/>
  <c r="AA57" i="5"/>
  <c r="Z57" i="5"/>
  <c r="Y57" i="5"/>
  <c r="AF56" i="5"/>
  <c r="AD56" i="5"/>
  <c r="AC56" i="5"/>
  <c r="X56" i="5" s="1"/>
  <c r="AB56" i="5"/>
  <c r="AA56" i="5"/>
  <c r="Z56" i="5"/>
  <c r="Y56" i="5"/>
  <c r="AF55" i="5"/>
  <c r="AD55" i="5"/>
  <c r="AC55" i="5"/>
  <c r="X55" i="5" s="1"/>
  <c r="AB55" i="5"/>
  <c r="AA55" i="5"/>
  <c r="Z55" i="5"/>
  <c r="Y55" i="5"/>
  <c r="AF54" i="5"/>
  <c r="AD54" i="5"/>
  <c r="AC54" i="5"/>
  <c r="X54" i="5" s="1"/>
  <c r="AB54" i="5"/>
  <c r="AA54" i="5"/>
  <c r="Z54" i="5"/>
  <c r="Y54" i="5"/>
  <c r="AF53" i="5"/>
  <c r="AD53" i="5"/>
  <c r="AC53" i="5"/>
  <c r="X53" i="5" s="1"/>
  <c r="AB53" i="5"/>
  <c r="AA53" i="5"/>
  <c r="Z53" i="5"/>
  <c r="Y53" i="5"/>
  <c r="AF52" i="5"/>
  <c r="AD52" i="5"/>
  <c r="AC52" i="5"/>
  <c r="X52" i="5" s="1"/>
  <c r="AB52" i="5"/>
  <c r="AA52" i="5"/>
  <c r="Z52" i="5"/>
  <c r="Y52" i="5"/>
  <c r="AF51" i="5"/>
  <c r="AD51" i="5"/>
  <c r="AC51" i="5"/>
  <c r="X51" i="5" s="1"/>
  <c r="AB51" i="5"/>
  <c r="AA51" i="5"/>
  <c r="Z51" i="5"/>
  <c r="Y51" i="5"/>
  <c r="AF50" i="5"/>
  <c r="AD50" i="5"/>
  <c r="AC50" i="5"/>
  <c r="X50" i="5" s="1"/>
  <c r="AB50" i="5"/>
  <c r="AA50" i="5"/>
  <c r="Z50" i="5"/>
  <c r="Y50" i="5"/>
  <c r="AF49" i="5"/>
  <c r="AD49" i="5"/>
  <c r="AC49" i="5"/>
  <c r="X49" i="5" s="1"/>
  <c r="AB49" i="5"/>
  <c r="AA49" i="5"/>
  <c r="Z49" i="5"/>
  <c r="Y49" i="5"/>
  <c r="AF48" i="5"/>
  <c r="AD48" i="5"/>
  <c r="AC48" i="5"/>
  <c r="X48" i="5" s="1"/>
  <c r="AB48" i="5"/>
  <c r="AA48" i="5"/>
  <c r="Z48" i="5"/>
  <c r="Y48" i="5"/>
  <c r="AF47" i="5"/>
  <c r="AD47" i="5"/>
  <c r="AC47" i="5"/>
  <c r="X47" i="5" s="1"/>
  <c r="AB47" i="5"/>
  <c r="AA47" i="5"/>
  <c r="Z47" i="5"/>
  <c r="Y47" i="5"/>
  <c r="AF46" i="5"/>
  <c r="AD46" i="5"/>
  <c r="AC46" i="5"/>
  <c r="X46" i="5" s="1"/>
  <c r="AB46" i="5"/>
  <c r="AA46" i="5"/>
  <c r="Z46" i="5"/>
  <c r="Y46" i="5"/>
  <c r="AF45" i="5"/>
  <c r="AD45" i="5"/>
  <c r="AC45" i="5"/>
  <c r="X45" i="5" s="1"/>
  <c r="AB45" i="5"/>
  <c r="AA45" i="5"/>
  <c r="Z45" i="5"/>
  <c r="Y45" i="5"/>
  <c r="AF44" i="5"/>
  <c r="AD44" i="5"/>
  <c r="AC44" i="5"/>
  <c r="X44" i="5" s="1"/>
  <c r="AB44" i="5"/>
  <c r="AA44" i="5"/>
  <c r="Z44" i="5"/>
  <c r="Y44" i="5"/>
  <c r="AF43" i="5"/>
  <c r="AD43" i="5"/>
  <c r="AC43" i="5"/>
  <c r="X43" i="5" s="1"/>
  <c r="AB43" i="5"/>
  <c r="AA43" i="5"/>
  <c r="Z43" i="5"/>
  <c r="Y43" i="5"/>
  <c r="AF42" i="5"/>
  <c r="AD42" i="5"/>
  <c r="AC42" i="5"/>
  <c r="X42" i="5" s="1"/>
  <c r="AB42" i="5"/>
  <c r="AA42" i="5"/>
  <c r="Z42" i="5"/>
  <c r="Y42" i="5"/>
  <c r="AF41" i="5"/>
  <c r="AD41" i="5"/>
  <c r="AC41" i="5"/>
  <c r="X41" i="5" s="1"/>
  <c r="AB41" i="5"/>
  <c r="AA41" i="5"/>
  <c r="Z41" i="5"/>
  <c r="Y41" i="5"/>
  <c r="AF40" i="5"/>
  <c r="AD40" i="5"/>
  <c r="AC40" i="5"/>
  <c r="X40" i="5" s="1"/>
  <c r="AB40" i="5"/>
  <c r="AA40" i="5"/>
  <c r="Z40" i="5"/>
  <c r="Y40" i="5"/>
  <c r="AF39" i="5"/>
  <c r="AD39" i="5"/>
  <c r="AC39" i="5"/>
  <c r="X39" i="5" s="1"/>
  <c r="AB39" i="5"/>
  <c r="AA39" i="5"/>
  <c r="Z39" i="5"/>
  <c r="Y39" i="5"/>
  <c r="AF38" i="5"/>
  <c r="AD38" i="5"/>
  <c r="AC38" i="5"/>
  <c r="X38" i="5" s="1"/>
  <c r="AB38" i="5"/>
  <c r="AA38" i="5"/>
  <c r="Z38" i="5"/>
  <c r="Y38" i="5"/>
  <c r="AF37" i="5"/>
  <c r="AD37" i="5"/>
  <c r="AC37" i="5"/>
  <c r="X37" i="5" s="1"/>
  <c r="AB37" i="5"/>
  <c r="AA37" i="5"/>
  <c r="Z37" i="5"/>
  <c r="Y37" i="5"/>
  <c r="AF36" i="5"/>
  <c r="AD36" i="5"/>
  <c r="AC36" i="5"/>
  <c r="X36" i="5" s="1"/>
  <c r="AB36" i="5"/>
  <c r="AA36" i="5"/>
  <c r="Z36" i="5"/>
  <c r="Y36" i="5"/>
  <c r="AF35" i="5"/>
  <c r="AD35" i="5"/>
  <c r="AC35" i="5"/>
  <c r="X35" i="5" s="1"/>
  <c r="AB35" i="5"/>
  <c r="AA35" i="5"/>
  <c r="Z35" i="5"/>
  <c r="Y35" i="5"/>
  <c r="AF34" i="5"/>
  <c r="AD34" i="5"/>
  <c r="AC34" i="5"/>
  <c r="X34" i="5" s="1"/>
  <c r="AB34" i="5"/>
  <c r="AA34" i="5"/>
  <c r="Z34" i="5"/>
  <c r="Y34" i="5"/>
  <c r="AF33" i="5"/>
  <c r="AD33" i="5"/>
  <c r="AC33" i="5"/>
  <c r="X33" i="5" s="1"/>
  <c r="AB33" i="5"/>
  <c r="AA33" i="5"/>
  <c r="Z33" i="5"/>
  <c r="Y33" i="5"/>
  <c r="AF32" i="5"/>
  <c r="AD32" i="5"/>
  <c r="AC32" i="5"/>
  <c r="X32" i="5" s="1"/>
  <c r="AB32" i="5"/>
  <c r="AA32" i="5"/>
  <c r="Z32" i="5"/>
  <c r="Y32" i="5"/>
  <c r="AF31" i="5"/>
  <c r="AD31" i="5"/>
  <c r="AC31" i="5"/>
  <c r="X31" i="5" s="1"/>
  <c r="AB31" i="5"/>
  <c r="AA31" i="5"/>
  <c r="Z31" i="5"/>
  <c r="Y31" i="5"/>
  <c r="AF30" i="5"/>
  <c r="AD30" i="5"/>
  <c r="AC30" i="5"/>
  <c r="X30" i="5" s="1"/>
  <c r="AB30" i="5"/>
  <c r="AA30" i="5"/>
  <c r="Z30" i="5"/>
  <c r="Y30" i="5"/>
  <c r="AF29" i="5"/>
  <c r="AD29" i="5"/>
  <c r="AC29" i="5"/>
  <c r="X29" i="5" s="1"/>
  <c r="AB29" i="5"/>
  <c r="AA29" i="5"/>
  <c r="Z29" i="5"/>
  <c r="Y29" i="5"/>
  <c r="AF28" i="5"/>
  <c r="AD28" i="5"/>
  <c r="AC28" i="5"/>
  <c r="X28" i="5" s="1"/>
  <c r="AB28" i="5"/>
  <c r="AA28" i="5"/>
  <c r="Z28" i="5"/>
  <c r="Y28" i="5"/>
  <c r="AF27" i="5"/>
  <c r="AD27" i="5"/>
  <c r="AC27" i="5"/>
  <c r="X27" i="5" s="1"/>
  <c r="AB27" i="5"/>
  <c r="AA27" i="5"/>
  <c r="Z27" i="5"/>
  <c r="Y27" i="5"/>
  <c r="AF26" i="5"/>
  <c r="AD26" i="5"/>
  <c r="AC26" i="5"/>
  <c r="X26" i="5" s="1"/>
  <c r="AB26" i="5"/>
  <c r="AA26" i="5"/>
  <c r="Z26" i="5"/>
  <c r="Y26" i="5"/>
  <c r="AF25" i="5"/>
  <c r="AD25" i="5"/>
  <c r="AC25" i="5"/>
  <c r="X25" i="5" s="1"/>
  <c r="AB25" i="5"/>
  <c r="AA25" i="5"/>
  <c r="Z25" i="5"/>
  <c r="Y25" i="5"/>
  <c r="AF24" i="5"/>
  <c r="AD24" i="5"/>
  <c r="AC24" i="5"/>
  <c r="X24" i="5" s="1"/>
  <c r="AB24" i="5"/>
  <c r="AA24" i="5"/>
  <c r="Z24" i="5"/>
  <c r="Y24" i="5"/>
  <c r="AF23" i="5"/>
  <c r="AD23" i="5"/>
  <c r="AC23" i="5"/>
  <c r="X23" i="5" s="1"/>
  <c r="AB23" i="5"/>
  <c r="AA23" i="5"/>
  <c r="Z23" i="5"/>
  <c r="Y23" i="5"/>
  <c r="AF22" i="5"/>
  <c r="AD22" i="5"/>
  <c r="AC22" i="5"/>
  <c r="X22" i="5" s="1"/>
  <c r="AB22" i="5"/>
  <c r="AA22" i="5"/>
  <c r="Z22" i="5"/>
  <c r="Y22" i="5"/>
  <c r="AF21" i="5"/>
  <c r="AD21" i="5"/>
  <c r="AC21" i="5"/>
  <c r="X21" i="5" s="1"/>
  <c r="AB21" i="5"/>
  <c r="AA21" i="5"/>
  <c r="Z21" i="5"/>
  <c r="Y21" i="5"/>
  <c r="AF20" i="5"/>
  <c r="AD20" i="5"/>
  <c r="AC20" i="5"/>
  <c r="X20" i="5" s="1"/>
  <c r="AB20" i="5"/>
  <c r="AA20" i="5"/>
  <c r="Z20" i="5"/>
  <c r="Y20" i="5"/>
  <c r="AF19" i="5"/>
  <c r="AD19" i="5"/>
  <c r="AC19" i="5"/>
  <c r="X19" i="5" s="1"/>
  <c r="AB19" i="5"/>
  <c r="AA19" i="5"/>
  <c r="Z19" i="5"/>
  <c r="Y19" i="5"/>
  <c r="AF18" i="5"/>
  <c r="AD18" i="5"/>
  <c r="AC18" i="5"/>
  <c r="X18" i="5" s="1"/>
  <c r="AB18" i="5"/>
  <c r="AA18" i="5"/>
  <c r="Z18" i="5"/>
  <c r="Y18" i="5"/>
  <c r="AF17" i="5"/>
  <c r="AD17" i="5"/>
  <c r="AC17" i="5"/>
  <c r="AB17" i="5"/>
  <c r="AA17" i="5"/>
  <c r="Z17" i="5"/>
  <c r="Y17" i="5"/>
  <c r="X17" i="5"/>
  <c r="AF16" i="5"/>
  <c r="AD16" i="5"/>
  <c r="AC16" i="5"/>
  <c r="AB16" i="5"/>
  <c r="AA16" i="5"/>
  <c r="Z16" i="5"/>
  <c r="Y16" i="5"/>
  <c r="X16" i="5"/>
  <c r="AF15" i="5"/>
  <c r="AD15" i="5"/>
  <c r="AC15" i="5"/>
  <c r="X15" i="5" s="1"/>
  <c r="AB15" i="5"/>
  <c r="AA15" i="5"/>
  <c r="Z15" i="5"/>
  <c r="Y15" i="5"/>
  <c r="AF14" i="5"/>
  <c r="AD14" i="5"/>
  <c r="AC14" i="5"/>
  <c r="X14" i="5" s="1"/>
  <c r="AB14" i="5"/>
  <c r="AA14" i="5"/>
  <c r="Z14" i="5"/>
  <c r="Y14" i="5"/>
  <c r="AF13" i="5"/>
  <c r="AD13" i="5"/>
  <c r="AC13" i="5"/>
  <c r="X13" i="5" s="1"/>
  <c r="AB13" i="5"/>
  <c r="AA13" i="5"/>
  <c r="Z13" i="5"/>
  <c r="Y13" i="5"/>
  <c r="AF12" i="5"/>
  <c r="AD12" i="5"/>
  <c r="AC12" i="5"/>
  <c r="X12" i="5" s="1"/>
  <c r="AB12" i="5"/>
  <c r="AA12" i="5"/>
  <c r="Z12" i="5"/>
  <c r="Y12" i="5"/>
  <c r="AF11" i="5"/>
  <c r="AD11" i="5"/>
  <c r="AC11" i="5"/>
  <c r="X11" i="5" s="1"/>
  <c r="AB11" i="5"/>
  <c r="AA11" i="5"/>
  <c r="Z11" i="5"/>
  <c r="Y11" i="5"/>
  <c r="AF10" i="5"/>
  <c r="AD10" i="5"/>
  <c r="AC10" i="5"/>
  <c r="X10" i="5" s="1"/>
  <c r="AB10" i="5"/>
  <c r="AA10" i="5"/>
  <c r="Z10" i="5"/>
  <c r="Y10" i="5"/>
  <c r="AF9" i="5"/>
  <c r="AD9" i="5"/>
  <c r="AC9" i="5"/>
  <c r="X9" i="5" s="1"/>
  <c r="AB9" i="5"/>
  <c r="AA9" i="5"/>
  <c r="Z9" i="5"/>
  <c r="Y9" i="5"/>
  <c r="AF8" i="5"/>
  <c r="AD8" i="5"/>
  <c r="AC8" i="5"/>
  <c r="X8" i="5" s="1"/>
  <c r="AB8" i="5"/>
  <c r="AA8" i="5"/>
  <c r="Z8" i="5"/>
  <c r="Y8" i="5"/>
  <c r="AF7" i="5"/>
  <c r="AD7" i="5"/>
  <c r="AC7" i="5"/>
  <c r="X7" i="5" s="1"/>
  <c r="AB7" i="5"/>
  <c r="AA7" i="5"/>
  <c r="Z7" i="5"/>
  <c r="Y7" i="5"/>
  <c r="AF6" i="5"/>
  <c r="AD6" i="5"/>
  <c r="AC6" i="5"/>
  <c r="X6" i="5" s="1"/>
  <c r="AB6" i="5"/>
  <c r="AA6" i="5"/>
  <c r="Z6" i="5"/>
  <c r="Y6" i="5"/>
  <c r="AF5" i="5"/>
  <c r="AD5" i="5"/>
  <c r="AC5" i="5"/>
  <c r="X5" i="5" s="1"/>
  <c r="AB5" i="5"/>
  <c r="AA5" i="5"/>
  <c r="Z5" i="5"/>
  <c r="Y5" i="5"/>
  <c r="AF4" i="5"/>
  <c r="AD4" i="5"/>
  <c r="AC4" i="5"/>
  <c r="X4" i="5" s="1"/>
  <c r="AB4" i="5"/>
  <c r="AA4" i="5"/>
  <c r="Z4" i="5"/>
  <c r="Y4" i="5"/>
  <c r="R2" i="5"/>
  <c r="N2" i="5"/>
  <c r="R1" i="5"/>
  <c r="AE4" i="5" l="1"/>
  <c r="AE5" i="5"/>
  <c r="AE11" i="5"/>
  <c r="AE12" i="5"/>
  <c r="AE13" i="5"/>
  <c r="AE19" i="5"/>
  <c r="AE20" i="5"/>
  <c r="AE21" i="5"/>
  <c r="AE27" i="5"/>
  <c r="AE28" i="5"/>
  <c r="AE29" i="5"/>
  <c r="AE35" i="5"/>
  <c r="AE36" i="5"/>
  <c r="AE37" i="5"/>
  <c r="AE43" i="5"/>
  <c r="AE44" i="5"/>
  <c r="AE45" i="5"/>
  <c r="AE51" i="5"/>
  <c r="AE52" i="5"/>
  <c r="AE53" i="5"/>
  <c r="AE59" i="5"/>
  <c r="AE60" i="5"/>
  <c r="AE61" i="5"/>
  <c r="AE68" i="5"/>
  <c r="AE71" i="5"/>
  <c r="AE81" i="5"/>
  <c r="AE90" i="5"/>
  <c r="AE91" i="5"/>
  <c r="AE135" i="5"/>
  <c r="X159" i="5"/>
  <c r="AE199" i="5"/>
  <c r="AE317" i="5"/>
  <c r="AE323" i="5"/>
  <c r="AE334" i="5"/>
  <c r="AE342" i="5"/>
  <c r="AE347" i="5"/>
  <c r="AE351" i="5"/>
  <c r="AE355" i="5"/>
  <c r="AE374" i="5"/>
  <c r="AE376" i="5"/>
  <c r="AE400" i="5"/>
  <c r="AE7" i="5"/>
  <c r="AE8" i="5"/>
  <c r="AE9" i="5"/>
  <c r="AE15" i="5"/>
  <c r="AE16" i="5"/>
  <c r="AE17" i="5"/>
  <c r="AE23" i="5"/>
  <c r="AE24" i="5"/>
  <c r="AE25" i="5"/>
  <c r="AE31" i="5"/>
  <c r="AE32" i="5"/>
  <c r="AE33" i="5"/>
  <c r="AE39" i="5"/>
  <c r="AE40" i="5"/>
  <c r="AE41" i="5"/>
  <c r="AE47" i="5"/>
  <c r="AE48" i="5"/>
  <c r="AE49" i="5"/>
  <c r="AE55" i="5"/>
  <c r="AE56" i="5"/>
  <c r="AE57" i="5"/>
  <c r="AE63" i="5"/>
  <c r="AE64" i="5"/>
  <c r="AE65" i="5"/>
  <c r="AE93" i="5"/>
  <c r="AE96" i="5"/>
  <c r="AE110" i="5"/>
  <c r="AE112" i="5"/>
  <c r="AE120" i="5"/>
  <c r="AE132" i="5"/>
  <c r="AE166" i="5"/>
  <c r="AE178" i="5"/>
  <c r="AE179" i="5"/>
  <c r="AE184" i="5"/>
  <c r="AE196" i="5"/>
  <c r="AE247" i="5"/>
  <c r="AE266" i="5"/>
  <c r="AE267" i="5"/>
  <c r="AE294" i="5"/>
  <c r="AE303" i="5"/>
  <c r="AE336" i="5"/>
  <c r="AE419" i="5"/>
  <c r="AE427" i="5"/>
  <c r="AE459" i="5"/>
  <c r="AE472" i="5"/>
  <c r="AE488" i="5"/>
  <c r="AE106" i="5"/>
  <c r="AE108" i="5"/>
  <c r="AE118" i="5"/>
  <c r="AE130" i="5"/>
  <c r="AE131" i="5"/>
  <c r="AE136" i="5"/>
  <c r="AE148" i="5"/>
  <c r="AE182" i="5"/>
  <c r="AE194" i="5"/>
  <c r="AE195" i="5"/>
  <c r="AE200" i="5"/>
  <c r="AE212" i="5"/>
  <c r="AE279" i="5"/>
  <c r="AE298" i="5"/>
  <c r="AE307" i="5"/>
  <c r="AE324" i="5"/>
  <c r="AE339" i="5"/>
  <c r="AE390" i="5"/>
  <c r="AE395" i="5"/>
  <c r="AE406" i="5"/>
  <c r="AE437" i="5"/>
  <c r="AE654" i="5"/>
  <c r="X654" i="5"/>
  <c r="AE498" i="5"/>
  <c r="AE539" i="5"/>
  <c r="AE555" i="5"/>
  <c r="AE571" i="5"/>
  <c r="AE637" i="5"/>
  <c r="AE646" i="5"/>
  <c r="X646" i="5"/>
  <c r="AE615" i="5"/>
  <c r="AE627" i="5"/>
  <c r="AE630" i="5"/>
  <c r="X630" i="5"/>
  <c r="AE650" i="5"/>
  <c r="AE696" i="5"/>
  <c r="AE126" i="5"/>
  <c r="AE128" i="5"/>
  <c r="AE142" i="5"/>
  <c r="AE144" i="5"/>
  <c r="AE158" i="5"/>
  <c r="AE160" i="5"/>
  <c r="AE174" i="5"/>
  <c r="AE176" i="5"/>
  <c r="AE190" i="5"/>
  <c r="AE192" i="5"/>
  <c r="AE206" i="5"/>
  <c r="AE208" i="5"/>
  <c r="AE246" i="5"/>
  <c r="AE278" i="5"/>
  <c r="AE297" i="5"/>
  <c r="AE302" i="5"/>
  <c r="AE315" i="5"/>
  <c r="AE321" i="5"/>
  <c r="AE328" i="5"/>
  <c r="AE337" i="5"/>
  <c r="AE338" i="5"/>
  <c r="AE349" i="5"/>
  <c r="AE367" i="5"/>
  <c r="AE379" i="5"/>
  <c r="AE383" i="5"/>
  <c r="AE388" i="5"/>
  <c r="AE411" i="5"/>
  <c r="X411" i="5"/>
  <c r="AE425" i="5"/>
  <c r="AE499" i="5"/>
  <c r="X499" i="5"/>
  <c r="AE518" i="5"/>
  <c r="AE524" i="5"/>
  <c r="AE529" i="5"/>
  <c r="AE534" i="5"/>
  <c r="AE535" i="5"/>
  <c r="AE540" i="5"/>
  <c r="AE545" i="5"/>
  <c r="AE556" i="5"/>
  <c r="AE561" i="5"/>
  <c r="AE572" i="5"/>
  <c r="AE587" i="5"/>
  <c r="AE601" i="5"/>
  <c r="AE626" i="5"/>
  <c r="AE629" i="5"/>
  <c r="AE635" i="5"/>
  <c r="AE638" i="5"/>
  <c r="X638" i="5"/>
  <c r="AE628" i="5"/>
  <c r="AE636" i="5"/>
  <c r="AE644" i="5"/>
  <c r="AE652" i="5"/>
  <c r="AE695" i="5"/>
  <c r="AE775" i="5"/>
  <c r="AE810" i="5"/>
  <c r="AE381" i="5"/>
  <c r="AE387" i="5"/>
  <c r="AE408" i="5"/>
  <c r="AE417" i="5"/>
  <c r="AE422" i="5"/>
  <c r="AE429" i="5"/>
  <c r="AE445" i="5"/>
  <c r="AE453" i="5"/>
  <c r="AE467" i="5"/>
  <c r="AE471" i="5"/>
  <c r="AE479" i="5"/>
  <c r="AE490" i="5"/>
  <c r="AE496" i="5"/>
  <c r="AE511" i="5"/>
  <c r="AE516" i="5"/>
  <c r="AE543" i="5"/>
  <c r="AE559" i="5"/>
  <c r="AE575" i="5"/>
  <c r="AE580" i="5"/>
  <c r="AE600" i="5"/>
  <c r="AE613" i="5"/>
  <c r="AE657" i="5"/>
  <c r="AE689" i="5"/>
  <c r="AE690" i="5"/>
  <c r="AE694" i="5"/>
  <c r="AE705" i="5"/>
  <c r="AE710" i="5"/>
  <c r="AE724" i="5"/>
  <c r="AE728" i="5"/>
  <c r="AE737" i="5"/>
  <c r="AE742" i="5"/>
  <c r="AE756" i="5"/>
  <c r="AE760" i="5"/>
  <c r="AE769" i="5"/>
  <c r="AE774" i="5"/>
  <c r="AE783" i="5"/>
  <c r="AE800" i="5"/>
  <c r="AE804" i="5"/>
  <c r="AE813" i="5"/>
  <c r="AE817" i="5"/>
  <c r="AE821" i="5"/>
  <c r="AE825" i="5"/>
  <c r="AE830" i="5"/>
  <c r="AE834" i="5"/>
  <c r="AE838" i="5"/>
  <c r="AE843" i="5"/>
  <c r="AE847" i="5"/>
  <c r="AE708" i="5"/>
  <c r="AE712" i="5"/>
  <c r="AE721" i="5"/>
  <c r="AE726" i="5"/>
  <c r="AE740" i="5"/>
  <c r="AE744" i="5"/>
  <c r="AE753" i="5"/>
  <c r="AE758" i="5"/>
  <c r="AE772" i="5"/>
  <c r="AE781" i="5"/>
  <c r="AE789" i="5"/>
  <c r="AE793" i="5"/>
  <c r="AE798" i="5"/>
  <c r="AE802" i="5"/>
  <c r="AE806" i="5"/>
  <c r="AE811" i="5"/>
  <c r="AE815" i="5"/>
  <c r="AE836" i="5"/>
  <c r="AE845" i="5"/>
  <c r="AE849" i="5"/>
  <c r="X456" i="5"/>
  <c r="AE456" i="5"/>
  <c r="X484" i="5"/>
  <c r="AE484" i="5"/>
  <c r="X596" i="5"/>
  <c r="AE596" i="5"/>
  <c r="X703" i="5"/>
  <c r="AE703" i="5"/>
  <c r="AE10" i="5"/>
  <c r="AE14" i="5"/>
  <c r="AE18" i="5"/>
  <c r="AE22" i="5"/>
  <c r="AE26" i="5"/>
  <c r="AE30" i="5"/>
  <c r="AE34" i="5"/>
  <c r="AE38" i="5"/>
  <c r="AE42" i="5"/>
  <c r="AE46" i="5"/>
  <c r="AE50" i="5"/>
  <c r="AE54" i="5"/>
  <c r="AE58" i="5"/>
  <c r="AE62" i="5"/>
  <c r="AE66" i="5"/>
  <c r="AE69" i="5"/>
  <c r="AE79" i="5"/>
  <c r="X87" i="5"/>
  <c r="AE92" i="5"/>
  <c r="AE98" i="5"/>
  <c r="AE226" i="5"/>
  <c r="AE227" i="5"/>
  <c r="AE242" i="5"/>
  <c r="AE243" i="5"/>
  <c r="AE258" i="5"/>
  <c r="AE259" i="5"/>
  <c r="AE274" i="5"/>
  <c r="AE275" i="5"/>
  <c r="AE290" i="5"/>
  <c r="AE291" i="5"/>
  <c r="AE322" i="5"/>
  <c r="X327" i="5"/>
  <c r="AE327" i="5"/>
  <c r="AE352" i="5"/>
  <c r="AE356" i="5"/>
  <c r="AE366" i="5"/>
  <c r="AE368" i="5"/>
  <c r="AE405" i="5"/>
  <c r="AE407" i="5"/>
  <c r="AE414" i="5"/>
  <c r="X423" i="5"/>
  <c r="AE423" i="5"/>
  <c r="AE441" i="5"/>
  <c r="AE452" i="5"/>
  <c r="X455" i="5"/>
  <c r="AE455" i="5"/>
  <c r="X464" i="5"/>
  <c r="AE464" i="5"/>
  <c r="X478" i="5"/>
  <c r="AE478" i="5"/>
  <c r="X483" i="5"/>
  <c r="AE483" i="5"/>
  <c r="AE222" i="5"/>
  <c r="AE223" i="5"/>
  <c r="AE238" i="5"/>
  <c r="AE239" i="5"/>
  <c r="AE254" i="5"/>
  <c r="AE255" i="5"/>
  <c r="AE270" i="5"/>
  <c r="AE271" i="5"/>
  <c r="AE286" i="5"/>
  <c r="AE287" i="5"/>
  <c r="AE299" i="5"/>
  <c r="AE335" i="5"/>
  <c r="AE343" i="5"/>
  <c r="AE350" i="5"/>
  <c r="AE386" i="5"/>
  <c r="X391" i="5"/>
  <c r="AE391" i="5"/>
  <c r="X463" i="5"/>
  <c r="AE463" i="5"/>
  <c r="X500" i="5"/>
  <c r="AE500" i="5"/>
  <c r="AE673" i="5"/>
  <c r="X673" i="5"/>
  <c r="AE681" i="5"/>
  <c r="X681" i="5"/>
  <c r="AE6" i="5"/>
  <c r="AE67" i="5"/>
  <c r="AE72" i="5"/>
  <c r="AE73" i="5"/>
  <c r="AE99" i="5"/>
  <c r="S1" i="5"/>
  <c r="X71" i="5"/>
  <c r="AE76" i="5"/>
  <c r="AE82" i="5"/>
  <c r="AE85" i="5"/>
  <c r="AE95" i="5"/>
  <c r="AE319" i="5"/>
  <c r="AE340" i="5"/>
  <c r="AE369" i="5"/>
  <c r="AE412" i="5"/>
  <c r="AE220" i="5"/>
  <c r="AE224" i="5"/>
  <c r="AE228" i="5"/>
  <c r="AE232" i="5"/>
  <c r="AE236" i="5"/>
  <c r="AE240" i="5"/>
  <c r="AE244" i="5"/>
  <c r="AE248" i="5"/>
  <c r="AE252" i="5"/>
  <c r="AE256" i="5"/>
  <c r="AE260" i="5"/>
  <c r="AE264" i="5"/>
  <c r="AE268" i="5"/>
  <c r="AE272" i="5"/>
  <c r="AE276" i="5"/>
  <c r="AE280" i="5"/>
  <c r="AE284" i="5"/>
  <c r="AE288" i="5"/>
  <c r="AE292" i="5"/>
  <c r="AE301" i="5"/>
  <c r="AE308" i="5"/>
  <c r="AE318" i="5"/>
  <c r="AE320" i="5"/>
  <c r="AE333" i="5"/>
  <c r="AE353" i="5"/>
  <c r="AE354" i="5"/>
  <c r="AE363" i="5"/>
  <c r="AE372" i="5"/>
  <c r="AE382" i="5"/>
  <c r="AE384" i="5"/>
  <c r="AE399" i="5"/>
  <c r="AE402" i="5"/>
  <c r="AE404" i="5"/>
  <c r="AE424" i="5"/>
  <c r="AE436" i="5"/>
  <c r="AE440" i="5"/>
  <c r="AE469" i="5"/>
  <c r="AE495" i="5"/>
  <c r="AE521" i="5"/>
  <c r="AE528" i="5"/>
  <c r="AE592" i="5"/>
  <c r="X595" i="5"/>
  <c r="AE595" i="5"/>
  <c r="X604" i="5"/>
  <c r="AE604" i="5"/>
  <c r="AE620" i="5"/>
  <c r="AE707" i="5"/>
  <c r="AE416" i="5"/>
  <c r="AE435" i="5"/>
  <c r="AE439" i="5"/>
  <c r="AE493" i="5"/>
  <c r="AE513" i="5"/>
  <c r="AE520" i="5"/>
  <c r="AE527" i="5"/>
  <c r="AE567" i="5"/>
  <c r="AE577" i="5"/>
  <c r="AE584" i="5"/>
  <c r="X603" i="5"/>
  <c r="AE603" i="5"/>
  <c r="AE641" i="5"/>
  <c r="X641" i="5"/>
  <c r="AE649" i="5"/>
  <c r="X649" i="5"/>
  <c r="AE487" i="5"/>
  <c r="AE492" i="5"/>
  <c r="AE502" i="5"/>
  <c r="AE553" i="5"/>
  <c r="AE558" i="5"/>
  <c r="AE560" i="5"/>
  <c r="AE711" i="5"/>
  <c r="AE591" i="5"/>
  <c r="AE609" i="5"/>
  <c r="AE619" i="5"/>
  <c r="AE633" i="5"/>
  <c r="X633" i="5"/>
  <c r="AE665" i="5"/>
  <c r="X665" i="5"/>
  <c r="X687" i="5"/>
  <c r="AE687" i="5"/>
  <c r="AE692" i="5"/>
  <c r="AE706" i="5"/>
  <c r="AE309" i="5"/>
  <c r="AE314" i="5"/>
  <c r="AE316" i="5"/>
  <c r="AE325" i="5"/>
  <c r="AE330" i="5"/>
  <c r="AE332" i="5"/>
  <c r="AE341" i="5"/>
  <c r="AE346" i="5"/>
  <c r="AE348" i="5"/>
  <c r="AE357" i="5"/>
  <c r="AE362" i="5"/>
  <c r="AE364" i="5"/>
  <c r="AE373" i="5"/>
  <c r="AE378" i="5"/>
  <c r="AE380" i="5"/>
  <c r="AE389" i="5"/>
  <c r="AE413" i="5"/>
  <c r="AE421" i="5"/>
  <c r="AE451" i="5"/>
  <c r="AE457" i="5"/>
  <c r="AE468" i="5"/>
  <c r="AE482" i="5"/>
  <c r="AE485" i="5"/>
  <c r="AE491" i="5"/>
  <c r="AE505" i="5"/>
  <c r="AE510" i="5"/>
  <c r="AE512" i="5"/>
  <c r="AE519" i="5"/>
  <c r="AE537" i="5"/>
  <c r="AE542" i="5"/>
  <c r="AE544" i="5"/>
  <c r="AE551" i="5"/>
  <c r="AE569" i="5"/>
  <c r="AE574" i="5"/>
  <c r="AE576" i="5"/>
  <c r="AE583" i="5"/>
  <c r="AE420" i="5"/>
  <c r="AE426" i="5"/>
  <c r="AE433" i="5"/>
  <c r="AE449" i="5"/>
  <c r="AE465" i="5"/>
  <c r="AE474" i="5"/>
  <c r="AE480" i="5"/>
  <c r="AE501" i="5"/>
  <c r="AE503" i="5"/>
  <c r="AE506" i="5"/>
  <c r="AE509" i="5"/>
  <c r="AE514" i="5"/>
  <c r="AE517" i="5"/>
  <c r="AE522" i="5"/>
  <c r="AE525" i="5"/>
  <c r="AE530" i="5"/>
  <c r="AE533" i="5"/>
  <c r="AE538" i="5"/>
  <c r="AE541" i="5"/>
  <c r="AE546" i="5"/>
  <c r="AE549" i="5"/>
  <c r="AE554" i="5"/>
  <c r="AE557" i="5"/>
  <c r="AE562" i="5"/>
  <c r="AE565" i="5"/>
  <c r="AE570" i="5"/>
  <c r="AE573" i="5"/>
  <c r="AE578" i="5"/>
  <c r="AE581" i="5"/>
  <c r="AE586" i="5"/>
  <c r="AE594" i="5"/>
  <c r="AE597" i="5"/>
  <c r="AE608" i="5"/>
  <c r="AE691" i="5"/>
  <c r="AE779" i="5"/>
  <c r="AE784" i="5"/>
  <c r="AE832" i="5"/>
  <c r="AE848" i="5"/>
  <c r="AE723" i="5"/>
  <c r="AE739" i="5"/>
  <c r="AE755" i="5"/>
  <c r="AE771" i="5"/>
  <c r="AE776" i="5"/>
  <c r="AE787" i="5"/>
  <c r="AE792" i="5"/>
  <c r="AE803" i="5"/>
  <c r="AE808" i="5"/>
  <c r="AE819" i="5"/>
  <c r="AE824" i="5"/>
  <c r="AE835" i="5"/>
  <c r="AE840" i="5"/>
  <c r="AE851" i="5"/>
  <c r="AE791" i="5"/>
  <c r="AE796" i="5"/>
  <c r="AE807" i="5"/>
  <c r="AE812" i="5"/>
  <c r="AE823" i="5"/>
  <c r="AE828" i="5"/>
  <c r="AE839" i="5"/>
  <c r="AE844" i="5"/>
  <c r="AE605" i="5"/>
  <c r="AE624" i="5"/>
  <c r="AE632" i="5"/>
  <c r="AE640" i="5"/>
  <c r="AE648" i="5"/>
  <c r="AE656" i="5"/>
  <c r="AE664" i="5"/>
  <c r="AE672" i="5"/>
  <c r="AE680" i="5"/>
  <c r="AE688" i="5"/>
  <c r="AE697" i="5"/>
  <c r="AE704" i="5"/>
  <c r="AE617" i="5"/>
  <c r="AE693" i="5"/>
  <c r="AE709" i="5"/>
  <c r="AE785" i="5"/>
  <c r="AE105" i="5"/>
  <c r="AE109" i="5"/>
  <c r="AE113" i="5"/>
  <c r="AE117" i="5"/>
  <c r="AE121" i="5"/>
  <c r="AE125" i="5"/>
  <c r="AE129" i="5"/>
  <c r="AE133" i="5"/>
  <c r="AE137" i="5"/>
  <c r="AE141" i="5"/>
  <c r="AE145" i="5"/>
  <c r="AE149" i="5"/>
  <c r="AE153" i="5"/>
  <c r="AE157" i="5"/>
  <c r="AE161" i="5"/>
  <c r="AE165" i="5"/>
  <c r="AE169" i="5"/>
  <c r="AE173" i="5"/>
  <c r="AE177" i="5"/>
  <c r="AE181" i="5"/>
  <c r="AE185" i="5"/>
  <c r="AE189" i="5"/>
  <c r="AE193" i="5"/>
  <c r="AE197" i="5"/>
  <c r="AE201" i="5"/>
  <c r="AE205" i="5"/>
  <c r="AE209" i="5"/>
  <c r="AE213" i="5"/>
  <c r="AE217" i="5"/>
  <c r="AE221" i="5"/>
  <c r="AE225" i="5"/>
  <c r="AE229" i="5"/>
  <c r="AE233" i="5"/>
  <c r="AE237" i="5"/>
  <c r="AE241" i="5"/>
  <c r="AE245" i="5"/>
  <c r="AE249" i="5"/>
  <c r="AE253" i="5"/>
  <c r="AE257" i="5"/>
  <c r="AE261" i="5"/>
  <c r="AE265" i="5"/>
  <c r="AE269" i="5"/>
  <c r="AE273" i="5"/>
  <c r="AE277" i="5"/>
  <c r="AE281" i="5"/>
  <c r="AE285" i="5"/>
  <c r="AE289" i="5"/>
  <c r="AE293" i="5"/>
  <c r="AE70" i="5"/>
  <c r="AE78" i="5"/>
  <c r="AE86" i="5"/>
  <c r="AE94" i="5"/>
  <c r="AE101" i="5"/>
  <c r="X305" i="5"/>
  <c r="X309" i="5"/>
  <c r="X313" i="5"/>
  <c r="X317" i="5"/>
  <c r="X321" i="5"/>
  <c r="X325" i="5"/>
  <c r="X329" i="5"/>
  <c r="X333" i="5"/>
  <c r="X337" i="5"/>
  <c r="X341" i="5"/>
  <c r="X345" i="5"/>
  <c r="X349" i="5"/>
  <c r="X353" i="5"/>
  <c r="X357" i="5"/>
  <c r="X361" i="5"/>
  <c r="X365" i="5"/>
  <c r="X369" i="5"/>
  <c r="X373" i="5"/>
  <c r="X377" i="5"/>
  <c r="X381" i="5"/>
  <c r="X385" i="5"/>
  <c r="X389" i="5"/>
  <c r="X394" i="5"/>
  <c r="AE397" i="5"/>
  <c r="X402" i="5"/>
  <c r="X410" i="5"/>
  <c r="AE442" i="5"/>
  <c r="X442" i="5"/>
  <c r="AE458" i="5"/>
  <c r="X458" i="5"/>
  <c r="AE438" i="5"/>
  <c r="X438" i="5"/>
  <c r="AE454" i="5"/>
  <c r="X454" i="5"/>
  <c r="AE470" i="5"/>
  <c r="X470" i="5"/>
  <c r="AE393" i="5"/>
  <c r="AE401" i="5"/>
  <c r="AE409" i="5"/>
  <c r="AE434" i="5"/>
  <c r="X434" i="5"/>
  <c r="AE450" i="5"/>
  <c r="X450" i="5"/>
  <c r="AE466" i="5"/>
  <c r="X466" i="5"/>
  <c r="X418" i="5"/>
  <c r="X422" i="5"/>
  <c r="AE430" i="5"/>
  <c r="X430" i="5"/>
  <c r="AE446" i="5"/>
  <c r="X446" i="5"/>
  <c r="AE462" i="5"/>
  <c r="X462" i="5"/>
  <c r="X474" i="5"/>
  <c r="X482" i="5"/>
  <c r="X490" i="5"/>
  <c r="X498" i="5"/>
  <c r="X610" i="5"/>
  <c r="AE610" i="5"/>
  <c r="AE585" i="5"/>
  <c r="AE589" i="5"/>
  <c r="AE593" i="5"/>
  <c r="X606" i="5"/>
  <c r="AE606" i="5"/>
  <c r="AE481" i="5"/>
  <c r="AE489" i="5"/>
  <c r="AE497" i="5"/>
  <c r="X602" i="5"/>
  <c r="AE602" i="5"/>
  <c r="X618" i="5"/>
  <c r="AE618" i="5"/>
  <c r="X623" i="5"/>
  <c r="AE623" i="5"/>
  <c r="X631" i="5"/>
  <c r="AE631" i="5"/>
  <c r="X639" i="5"/>
  <c r="AE639" i="5"/>
  <c r="X647" i="5"/>
  <c r="AE647" i="5"/>
  <c r="X655" i="5"/>
  <c r="AE655" i="5"/>
  <c r="X663" i="5"/>
  <c r="AE663" i="5"/>
  <c r="X671" i="5"/>
  <c r="AE671" i="5"/>
  <c r="X679" i="5"/>
  <c r="AE679" i="5"/>
  <c r="X506" i="5"/>
  <c r="X510" i="5"/>
  <c r="X514" i="5"/>
  <c r="X518" i="5"/>
  <c r="X522" i="5"/>
  <c r="X526" i="5"/>
  <c r="X530" i="5"/>
  <c r="X534" i="5"/>
  <c r="X538" i="5"/>
  <c r="X542" i="5"/>
  <c r="X546" i="5"/>
  <c r="X550" i="5"/>
  <c r="X554" i="5"/>
  <c r="X558" i="5"/>
  <c r="X562" i="5"/>
  <c r="X566" i="5"/>
  <c r="X570" i="5"/>
  <c r="X574" i="5"/>
  <c r="X578" i="5"/>
  <c r="X582" i="5"/>
  <c r="X586" i="5"/>
  <c r="X590" i="5"/>
  <c r="X594" i="5"/>
  <c r="X598" i="5"/>
  <c r="AE598" i="5"/>
  <c r="X614" i="5"/>
  <c r="AE614" i="5"/>
  <c r="X621" i="5"/>
  <c r="X629" i="5"/>
  <c r="X637" i="5"/>
  <c r="X645" i="5"/>
  <c r="X653" i="5"/>
  <c r="X661" i="5"/>
  <c r="X669" i="5"/>
  <c r="X677" i="5"/>
  <c r="X685" i="5"/>
  <c r="X689" i="5"/>
  <c r="X693" i="5"/>
  <c r="X697" i="5"/>
  <c r="X701" i="5"/>
  <c r="X705" i="5"/>
  <c r="X709" i="5"/>
  <c r="AE716" i="5"/>
  <c r="AE717" i="5"/>
  <c r="AE732" i="5"/>
  <c r="AE733" i="5"/>
  <c r="AE748" i="5"/>
  <c r="AE749" i="5"/>
  <c r="AE764" i="5"/>
  <c r="AE765" i="5"/>
  <c r="X785" i="5"/>
  <c r="T19" i="1" l="1"/>
  <c r="T20" i="1"/>
  <c r="T32" i="1"/>
  <c r="E48" i="1" l="1"/>
  <c r="J36" i="1"/>
  <c r="J37" i="1"/>
  <c r="J38" i="1"/>
  <c r="J39" i="1"/>
  <c r="J35" i="1"/>
  <c r="J26" i="1"/>
  <c r="J29" i="1"/>
  <c r="J30" i="1"/>
  <c r="J27" i="1"/>
  <c r="J48" i="1" l="1"/>
  <c r="O49" i="1"/>
  <c r="O50" i="1"/>
  <c r="E47" i="1"/>
  <c r="J40" i="1"/>
  <c r="J41" i="1"/>
  <c r="D3" i="4"/>
  <c r="C2" i="4"/>
  <c r="D2" i="4" s="1"/>
  <c r="O47" i="1" l="1"/>
  <c r="J28" i="1"/>
  <c r="J25" i="1"/>
  <c r="J24" i="1"/>
  <c r="J23" i="1"/>
  <c r="N51" i="1" l="1"/>
  <c r="K47" i="1"/>
  <c r="U47" i="1"/>
  <c r="F47" i="1"/>
  <c r="G47" i="1" s="1"/>
  <c r="N48" i="1"/>
  <c r="O48" i="1" s="1"/>
  <c r="K48" i="1"/>
  <c r="I31" i="1"/>
  <c r="U49" i="1"/>
  <c r="E31" i="1"/>
  <c r="N31" i="1"/>
  <c r="D31" i="1"/>
  <c r="M31" i="1"/>
  <c r="I42" i="1"/>
  <c r="H42" i="1"/>
  <c r="P50" i="1"/>
  <c r="U50" i="1"/>
  <c r="M51" i="1"/>
  <c r="U51" i="1"/>
  <c r="H31" i="1"/>
  <c r="U52" i="1"/>
  <c r="J13" i="1"/>
  <c r="L13" i="1" s="1"/>
  <c r="T13" i="1" s="1"/>
  <c r="J16" i="1"/>
  <c r="L16" i="1" s="1"/>
  <c r="O16" i="1"/>
  <c r="P16" i="1" s="1"/>
  <c r="F16" i="1"/>
  <c r="G16" i="1" s="1"/>
  <c r="L23" i="1"/>
  <c r="O23" i="1"/>
  <c r="P23" i="1" s="1"/>
  <c r="F23" i="1"/>
  <c r="G23" i="1"/>
  <c r="D42" i="1"/>
  <c r="M42" i="1"/>
  <c r="O42" i="1" s="1"/>
  <c r="F15" i="1"/>
  <c r="K15" i="1"/>
  <c r="L15" i="1"/>
  <c r="T15" i="1" s="1"/>
  <c r="O15" i="1"/>
  <c r="O13" i="1"/>
  <c r="P13" i="1" s="1"/>
  <c r="F13" i="1"/>
  <c r="G13" i="1" s="1"/>
  <c r="E42" i="1"/>
  <c r="N42" i="1"/>
  <c r="I18" i="1"/>
  <c r="U10" i="1"/>
  <c r="V10" i="1" s="1"/>
  <c r="W10" i="1" s="1"/>
  <c r="W14" i="1"/>
  <c r="X14" i="1" s="1"/>
  <c r="V12" i="1"/>
  <c r="W12" i="1" s="1"/>
  <c r="X12" i="1" s="1"/>
  <c r="V8" i="1"/>
  <c r="W8" i="1" s="1"/>
  <c r="X8" i="1" s="1"/>
  <c r="V6" i="1"/>
  <c r="W6" i="1" s="1"/>
  <c r="X6" i="1" s="1"/>
  <c r="V7" i="1"/>
  <c r="W7" i="1" s="1"/>
  <c r="X7" i="1" s="1"/>
  <c r="V9" i="1"/>
  <c r="W9" i="1" s="1"/>
  <c r="X9" i="1" s="1"/>
  <c r="V11" i="1"/>
  <c r="W11" i="1" s="1"/>
  <c r="X11" i="1" s="1"/>
  <c r="V13" i="1"/>
  <c r="W13" i="1" s="1"/>
  <c r="X13" i="1" s="1"/>
  <c r="K29" i="1"/>
  <c r="O29" i="1"/>
  <c r="P29" i="1" s="1"/>
  <c r="D4" i="4"/>
  <c r="C4" i="4"/>
  <c r="C3" i="4"/>
  <c r="F29" i="1"/>
  <c r="G29" i="1" s="1"/>
  <c r="F30" i="1"/>
  <c r="G30" i="1" s="1"/>
  <c r="O28" i="1"/>
  <c r="P28" i="1" s="1"/>
  <c r="K28" i="1"/>
  <c r="F28" i="1"/>
  <c r="G28" i="1" s="1"/>
  <c r="F41" i="1"/>
  <c r="G41" i="1" s="1"/>
  <c r="F40" i="1"/>
  <c r="G40" i="1" s="1"/>
  <c r="F17" i="1"/>
  <c r="G17" i="1" s="1"/>
  <c r="F14" i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B48" i="1"/>
  <c r="B50" i="1"/>
  <c r="U48" i="1"/>
  <c r="F31" i="1"/>
  <c r="K26" i="1"/>
  <c r="L27" i="1"/>
  <c r="K30" i="1"/>
  <c r="O9" i="1"/>
  <c r="P9" i="1" s="1"/>
  <c r="J9" i="1"/>
  <c r="L9" i="1" s="1"/>
  <c r="K36" i="1"/>
  <c r="L37" i="1"/>
  <c r="K38" i="1"/>
  <c r="K39" i="1"/>
  <c r="K35" i="1"/>
  <c r="O24" i="1"/>
  <c r="F24" i="1"/>
  <c r="L25" i="1"/>
  <c r="O36" i="1"/>
  <c r="P36" i="1" s="1"/>
  <c r="O37" i="1"/>
  <c r="P37" i="1" s="1"/>
  <c r="O38" i="1"/>
  <c r="P38" i="1" s="1"/>
  <c r="O39" i="1"/>
  <c r="P39" i="1" s="1"/>
  <c r="O35" i="1"/>
  <c r="P35" i="1" s="1"/>
  <c r="O25" i="1"/>
  <c r="P25" i="1" s="1"/>
  <c r="O26" i="1"/>
  <c r="P26" i="1" s="1"/>
  <c r="O27" i="1"/>
  <c r="P27" i="1" s="1"/>
  <c r="O30" i="1"/>
  <c r="P30" i="1" s="1"/>
  <c r="O41" i="1"/>
  <c r="P41" i="1" s="1"/>
  <c r="O40" i="1"/>
  <c r="P40" i="1" s="1"/>
  <c r="O7" i="1"/>
  <c r="P7" i="1" s="1"/>
  <c r="O8" i="1"/>
  <c r="P8" i="1" s="1"/>
  <c r="O10" i="1"/>
  <c r="P10" i="1" s="1"/>
  <c r="O11" i="1"/>
  <c r="P11" i="1" s="1"/>
  <c r="O12" i="1"/>
  <c r="P12" i="1" s="1"/>
  <c r="O14" i="1"/>
  <c r="L14" i="1"/>
  <c r="T14" i="1" s="1"/>
  <c r="O17" i="1"/>
  <c r="P17" i="1" s="1"/>
  <c r="O6" i="1"/>
  <c r="P6" i="1" s="1"/>
  <c r="F25" i="1"/>
  <c r="G25" i="1" s="1"/>
  <c r="F26" i="1"/>
  <c r="G26" i="1" s="1"/>
  <c r="F27" i="1"/>
  <c r="G27" i="1" s="1"/>
  <c r="F35" i="1"/>
  <c r="G35" i="1" s="1"/>
  <c r="F36" i="1"/>
  <c r="G36" i="1" s="1"/>
  <c r="F37" i="1"/>
  <c r="G37" i="1" s="1"/>
  <c r="F38" i="1"/>
  <c r="G38" i="1" s="1"/>
  <c r="F39" i="1"/>
  <c r="G39" i="1" s="1"/>
  <c r="F6" i="1"/>
  <c r="G6" i="1" s="1"/>
  <c r="K6" i="1"/>
  <c r="J7" i="1"/>
  <c r="L7" i="1" s="1"/>
  <c r="J8" i="1"/>
  <c r="L8" i="1" s="1"/>
  <c r="J10" i="1"/>
  <c r="L10" i="1" s="1"/>
  <c r="J11" i="1"/>
  <c r="L11" i="1" s="1"/>
  <c r="J12" i="1"/>
  <c r="K12" i="1" s="1"/>
  <c r="R53" i="1"/>
  <c r="J17" i="1"/>
  <c r="L17" i="1" s="1"/>
  <c r="L41" i="1"/>
  <c r="L40" i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 s="1"/>
  <c r="I211" i="3"/>
  <c r="I210" i="3"/>
  <c r="I209" i="3"/>
  <c r="I208" i="3"/>
  <c r="I212" i="3" s="1"/>
  <c r="I206" i="3"/>
  <c r="I205" i="3"/>
  <c r="I203" i="3"/>
  <c r="I207" i="3" s="1"/>
  <c r="I201" i="3"/>
  <c r="I198" i="3"/>
  <c r="I200" i="3"/>
  <c r="I196" i="3"/>
  <c r="I195" i="3"/>
  <c r="I197" i="3" s="1"/>
  <c r="I194" i="3"/>
  <c r="I193" i="3"/>
  <c r="I191" i="3"/>
  <c r="I188" i="3"/>
  <c r="I181" i="3"/>
  <c r="I180" i="3"/>
  <c r="I179" i="3"/>
  <c r="I178" i="3"/>
  <c r="I176" i="3"/>
  <c r="I175" i="3"/>
  <c r="I174" i="3"/>
  <c r="I173" i="3"/>
  <c r="I177" i="3" s="1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 s="1"/>
  <c r="I156" i="3"/>
  <c r="I155" i="3"/>
  <c r="I153" i="3"/>
  <c r="I154" i="3"/>
  <c r="I151" i="3"/>
  <c r="I150" i="3"/>
  <c r="I149" i="3"/>
  <c r="I148" i="3"/>
  <c r="I146" i="3"/>
  <c r="I145" i="3"/>
  <c r="I143" i="3"/>
  <c r="I144" i="3"/>
  <c r="I141" i="3"/>
  <c r="I140" i="3"/>
  <c r="I139" i="3"/>
  <c r="I138" i="3"/>
  <c r="I142" i="3" s="1"/>
  <c r="I136" i="3"/>
  <c r="I135" i="3"/>
  <c r="I134" i="3"/>
  <c r="I133" i="3"/>
  <c r="I137" i="3" s="1"/>
  <c r="I131" i="3"/>
  <c r="I130" i="3"/>
  <c r="I128" i="3"/>
  <c r="I129" i="3"/>
  <c r="I132" i="3" s="1"/>
  <c r="I127" i="3"/>
  <c r="I120" i="3"/>
  <c r="I119" i="3"/>
  <c r="I118" i="3"/>
  <c r="I114" i="3"/>
  <c r="I117" i="3" s="1"/>
  <c r="I111" i="3"/>
  <c r="I109" i="3"/>
  <c r="I106" i="3"/>
  <c r="I107" i="3" s="1"/>
  <c r="I105" i="3"/>
  <c r="I103" i="3"/>
  <c r="I104" i="3"/>
  <c r="I101" i="3"/>
  <c r="I100" i="3"/>
  <c r="I98" i="3"/>
  <c r="I99" i="3"/>
  <c r="I102" i="3" s="1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8" i="3"/>
  <c r="I49" i="3"/>
  <c r="I46" i="3"/>
  <c r="I45" i="3"/>
  <c r="I44" i="3"/>
  <c r="I43" i="3"/>
  <c r="I47" i="3" s="1"/>
  <c r="I41" i="3"/>
  <c r="I40" i="3"/>
  <c r="I39" i="3"/>
  <c r="I38" i="3"/>
  <c r="I36" i="3"/>
  <c r="I35" i="3"/>
  <c r="I34" i="3"/>
  <c r="I33" i="3"/>
  <c r="I31" i="3"/>
  <c r="I30" i="3"/>
  <c r="I29" i="3"/>
  <c r="I28" i="3"/>
  <c r="I26" i="3"/>
  <c r="I25" i="3"/>
  <c r="I24" i="3"/>
  <c r="I23" i="3"/>
  <c r="I21" i="3"/>
  <c r="I20" i="3"/>
  <c r="I22" i="3" s="1"/>
  <c r="I19" i="3"/>
  <c r="I18" i="3"/>
  <c r="I16" i="3"/>
  <c r="I15" i="3"/>
  <c r="I13" i="3"/>
  <c r="I14" i="3"/>
  <c r="I11" i="3"/>
  <c r="I10" i="3"/>
  <c r="I8" i="3"/>
  <c r="I9" i="3"/>
  <c r="I6" i="3"/>
  <c r="I5" i="3"/>
  <c r="I4" i="3"/>
  <c r="I3" i="3"/>
  <c r="N18" i="1"/>
  <c r="M18" i="1"/>
  <c r="E18" i="1"/>
  <c r="D18" i="1"/>
  <c r="I172" i="3"/>
  <c r="S53" i="1"/>
  <c r="T53" i="1" s="1"/>
  <c r="F48" i="1"/>
  <c r="G48" i="1" s="1"/>
  <c r="L28" i="1"/>
  <c r="K41" i="1"/>
  <c r="O31" i="1"/>
  <c r="L39" i="1"/>
  <c r="F42" i="1" l="1"/>
  <c r="J18" i="1"/>
  <c r="I17" i="3"/>
  <c r="I147" i="3"/>
  <c r="I182" i="3"/>
  <c r="E49" i="1"/>
  <c r="I7" i="3"/>
  <c r="I32" i="3"/>
  <c r="I37" i="3"/>
  <c r="I42" i="3"/>
  <c r="I112" i="3"/>
  <c r="I152" i="3"/>
  <c r="K17" i="1"/>
  <c r="J50" i="1"/>
  <c r="I51" i="1"/>
  <c r="J51" i="1" s="1"/>
  <c r="K51" i="1" s="1"/>
  <c r="J49" i="1"/>
  <c r="F18" i="1"/>
  <c r="I12" i="3"/>
  <c r="I27" i="3"/>
  <c r="I52" i="3"/>
  <c r="I122" i="3"/>
  <c r="I157" i="3"/>
  <c r="I167" i="3"/>
  <c r="I202" i="3"/>
  <c r="E50" i="1"/>
  <c r="E53" i="1" s="1"/>
  <c r="D53" i="1"/>
  <c r="H53" i="1"/>
  <c r="F49" i="1"/>
  <c r="O51" i="1"/>
  <c r="P51" i="1" s="1"/>
  <c r="G42" i="1"/>
  <c r="P31" i="1"/>
  <c r="G31" i="1"/>
  <c r="P42" i="1"/>
  <c r="Q39" i="1"/>
  <c r="T39" i="1" s="1"/>
  <c r="O18" i="1"/>
  <c r="K40" i="1"/>
  <c r="Q40" i="1" s="1"/>
  <c r="T40" i="1" s="1"/>
  <c r="J42" i="1"/>
  <c r="G18" i="1"/>
  <c r="P18" i="1"/>
  <c r="X10" i="1"/>
  <c r="L47" i="1"/>
  <c r="K7" i="1"/>
  <c r="T7" i="1" s="1"/>
  <c r="K10" i="1"/>
  <c r="T10" i="1" s="1"/>
  <c r="L30" i="1"/>
  <c r="T30" i="1" s="1"/>
  <c r="L26" i="1"/>
  <c r="T26" i="1" s="1"/>
  <c r="L29" i="1"/>
  <c r="T29" i="1" s="1"/>
  <c r="K27" i="1"/>
  <c r="Q27" i="1" s="1"/>
  <c r="T27" i="1" s="1"/>
  <c r="K25" i="1"/>
  <c r="Q25" i="1" s="1"/>
  <c r="T25" i="1" s="1"/>
  <c r="T24" i="1"/>
  <c r="Q28" i="1"/>
  <c r="T28" i="1" s="1"/>
  <c r="Q41" i="1"/>
  <c r="T41" i="1" s="1"/>
  <c r="P47" i="1"/>
  <c r="K11" i="1"/>
  <c r="T11" i="1" s="1"/>
  <c r="T17" i="1"/>
  <c r="K16" i="1"/>
  <c r="T16" i="1" s="1"/>
  <c r="K13" i="1"/>
  <c r="K8" i="1"/>
  <c r="T8" i="1" s="1"/>
  <c r="L6" i="1"/>
  <c r="T6" i="1" s="1"/>
  <c r="P48" i="1"/>
  <c r="Q50" i="1"/>
  <c r="L35" i="1"/>
  <c r="Q35" i="1" s="1"/>
  <c r="L38" i="1"/>
  <c r="Q38" i="1" s="1"/>
  <c r="T38" i="1" s="1"/>
  <c r="K37" i="1"/>
  <c r="Q37" i="1" s="1"/>
  <c r="T37" i="1" s="1"/>
  <c r="L36" i="1"/>
  <c r="Q36" i="1" s="1"/>
  <c r="K23" i="1"/>
  <c r="Q23" i="1" s="1"/>
  <c r="J31" i="1"/>
  <c r="Q47" i="1"/>
  <c r="L12" i="1"/>
  <c r="T12" i="1" s="1"/>
  <c r="L48" i="1"/>
  <c r="K9" i="1"/>
  <c r="K14" i="1"/>
  <c r="F53" i="1" l="1"/>
  <c r="W47" i="1"/>
  <c r="Q26" i="1"/>
  <c r="N53" i="1"/>
  <c r="O52" i="1"/>
  <c r="P52" i="1" s="1"/>
  <c r="P53" i="1" s="1"/>
  <c r="Q29" i="1"/>
  <c r="Q30" i="1"/>
  <c r="G44" i="1"/>
  <c r="I53" i="1"/>
  <c r="J53" i="1" s="1"/>
  <c r="F50" i="1"/>
  <c r="G50" i="1" s="1"/>
  <c r="G53" i="1" s="1"/>
  <c r="T36" i="1"/>
  <c r="Q42" i="1"/>
  <c r="P44" i="1"/>
  <c r="J52" i="1"/>
  <c r="K52" i="1" s="1"/>
  <c r="K53" i="1" s="1"/>
  <c r="K42" i="1"/>
  <c r="L51" i="1"/>
  <c r="W51" i="1" s="1"/>
  <c r="X51" i="1" s="1"/>
  <c r="Z51" i="1" s="1"/>
  <c r="Q48" i="1"/>
  <c r="AA48" i="1" s="1"/>
  <c r="L31" i="1"/>
  <c r="K31" i="1"/>
  <c r="M53" i="1"/>
  <c r="K18" i="1"/>
  <c r="L18" i="1"/>
  <c r="K50" i="1"/>
  <c r="L50" i="1"/>
  <c r="L42" i="1"/>
  <c r="Q53" i="1" l="1"/>
  <c r="W48" i="1"/>
  <c r="Z48" i="1" s="1"/>
  <c r="L52" i="1"/>
  <c r="O53" i="1"/>
  <c r="L44" i="1"/>
  <c r="K44" i="1"/>
  <c r="W49" i="1"/>
  <c r="Z49" i="1" s="1"/>
  <c r="Q31" i="1"/>
  <c r="T23" i="1"/>
  <c r="W50" i="1"/>
  <c r="Z50" i="1" s="1"/>
  <c r="T35" i="1"/>
  <c r="T9" i="1"/>
  <c r="Q18" i="1"/>
  <c r="W52" i="1" l="1"/>
  <c r="W53" i="1" s="1"/>
  <c r="L53" i="1"/>
  <c r="R18" i="1"/>
  <c r="R42" i="1"/>
  <c r="R31" i="1"/>
  <c r="X53" i="1"/>
  <c r="Q44" i="1"/>
  <c r="R44" i="1" l="1"/>
</calcChain>
</file>

<file path=xl/comments1.xml><?xml version="1.0" encoding="utf-8"?>
<comments xmlns="http://schemas.openxmlformats.org/spreadsheetml/2006/main">
  <authors>
    <author>AnhNguyen</author>
    <author>Bich Ngoc</author>
    <author>Windows User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lay trong DSR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6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7" authorId="1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  <comment ref="X47" authorId="2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 TÍNH 1500000, BÍCH BỎ CÒN 0</t>
        </r>
      </text>
    </comment>
  </commentList>
</comments>
</file>

<file path=xl/comments2.xml><?xml version="1.0" encoding="utf-8"?>
<comments xmlns="http://schemas.openxmlformats.org/spreadsheetml/2006/main">
  <authors>
    <author>AnhNguyen</author>
    <author>AutoBVT</author>
    <author>Bich Ngoc</author>
  </authors>
  <commentList>
    <comment ref="I5" authorId="0" shapeId="0">
      <text>
        <r>
          <rPr>
            <b/>
            <sz val="14"/>
            <color indexed="81"/>
            <rFont val="Tahoma"/>
            <family val="2"/>
          </rPr>
          <t>lay trong DSR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B26" authorId="1" shapeId="0">
      <text>
        <r>
          <rPr>
            <b/>
            <sz val="9"/>
            <color indexed="81"/>
            <rFont val="Tahoma"/>
          </rPr>
          <t>AutoBVT:</t>
        </r>
        <r>
          <rPr>
            <sz val="9"/>
            <color indexed="81"/>
            <rFont val="Tahoma"/>
          </rPr>
          <t xml:space="preserve">
Code : NBTS01789 sai code New: NBTS02468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4" authorId="0" shapeId="0">
      <text>
        <r>
          <rPr>
            <b/>
            <sz val="16"/>
            <color indexed="81"/>
            <rFont val="Tahoma"/>
            <family val="2"/>
          </rPr>
          <t>lay trong sell in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5" authorId="2" shapeId="0">
      <text>
        <r>
          <rPr>
            <b/>
            <sz val="9"/>
            <color indexed="81"/>
            <rFont val="Tahoma"/>
            <family val="2"/>
          </rPr>
          <t>Bich Ngoc: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=(+SUM(I16:I17))--58427.6991364 ???</t>
        </r>
      </text>
    </comment>
  </commentList>
</comments>
</file>

<file path=xl/sharedStrings.xml><?xml version="1.0" encoding="utf-8"?>
<sst xmlns="http://schemas.openxmlformats.org/spreadsheetml/2006/main" count="14931" uniqueCount="1018">
  <si>
    <t>Region: Modern Trade</t>
  </si>
  <si>
    <t>No.</t>
  </si>
  <si>
    <t>Total Incentive</t>
  </si>
  <si>
    <t>Target</t>
  </si>
  <si>
    <t>Actual</t>
  </si>
  <si>
    <t>%</t>
  </si>
  <si>
    <t>Incentive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</si>
  <si>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</si>
  <si>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</si>
  <si>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</si>
  <si>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</si>
  <si>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</si>
  <si>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</si>
  <si>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</si>
  <si>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</si>
  <si>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</si>
  <si>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</si>
  <si>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</si>
  <si>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</si>
  <si>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</si>
  <si>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</si>
  <si>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</si>
  <si>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</si>
  <si>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</si>
  <si>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</si>
  <si>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</si>
  <si>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</si>
  <si>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</si>
  <si>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</si>
  <si>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</si>
  <si>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</si>
  <si>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</si>
  <si>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</si>
  <si>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</si>
  <si>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</si>
  <si>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</si>
  <si>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</si>
  <si>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</si>
  <si>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</si>
  <si>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</si>
  <si>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</si>
  <si>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</si>
  <si>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</si>
  <si>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</si>
  <si>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</si>
  <si>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</si>
  <si>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</si>
  <si>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</si>
  <si>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</si>
  <si>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</si>
  <si>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</si>
  <si>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</si>
  <si>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</si>
  <si>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</si>
  <si>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</si>
  <si>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</si>
  <si>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</si>
  <si>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</si>
  <si>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</si>
  <si>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</si>
  <si>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</si>
  <si>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</si>
  <si>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</si>
  <si>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</si>
  <si>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</si>
  <si>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</si>
  <si>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</si>
  <si>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</si>
  <si>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</si>
  <si>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</si>
  <si>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</si>
  <si>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</si>
  <si>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</si>
  <si>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</si>
  <si>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</si>
  <si>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</si>
  <si>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</si>
  <si>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</si>
  <si>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</si>
  <si>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</si>
  <si>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</si>
  <si>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</si>
  <si>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</si>
  <si>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</si>
  <si>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</si>
  <si>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</si>
  <si>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</si>
  <si>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</si>
  <si>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</si>
  <si>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</si>
  <si>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</si>
  <si>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</si>
  <si>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</si>
  <si>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</si>
  <si>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</si>
  <si>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</si>
  <si>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</si>
  <si>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</si>
  <si>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</si>
  <si>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</si>
  <si>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</si>
  <si>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</si>
  <si>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</si>
  <si>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</si>
  <si>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</si>
  <si>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</si>
  <si>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</si>
  <si>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</si>
  <si>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</si>
  <si>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</si>
  <si>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</si>
  <si>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</si>
  <si>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</si>
  <si>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</si>
  <si>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</si>
  <si>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</si>
  <si>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</si>
  <si>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</si>
  <si>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</si>
  <si>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</si>
  <si>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</si>
  <si>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</si>
  <si>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</si>
  <si>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</si>
  <si>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</si>
  <si>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</si>
  <si>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</si>
  <si>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</si>
  <si>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</si>
  <si>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</si>
  <si>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</si>
  <si>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</si>
  <si>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</si>
  <si>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</si>
  <si>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</si>
  <si>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</si>
  <si>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</si>
  <si>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</si>
  <si>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</si>
  <si>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</si>
  <si>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</si>
  <si>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</si>
  <si>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</si>
  <si>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</si>
  <si>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</si>
  <si>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</si>
  <si>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</si>
  <si>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</si>
  <si>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</si>
  <si>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</si>
  <si>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</si>
  <si>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</si>
  <si>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</si>
  <si>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</si>
  <si>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</si>
  <si>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</si>
  <si>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</si>
  <si>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</si>
  <si>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</si>
  <si>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</si>
  <si>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</si>
  <si>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</si>
  <si>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</si>
  <si>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</si>
  <si>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</si>
  <si>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</si>
  <si>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</si>
  <si>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</si>
  <si>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</si>
  <si>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</si>
  <si>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</si>
  <si>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</si>
  <si>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</si>
  <si>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</si>
  <si>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</si>
  <si>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</si>
  <si>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</si>
  <si>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</si>
  <si>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</si>
  <si>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</si>
  <si>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</si>
  <si>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</si>
  <si>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</si>
  <si>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</si>
  <si>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</si>
  <si>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</si>
  <si>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</si>
  <si>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</si>
  <si>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</si>
  <si>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</si>
  <si>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</si>
  <si>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</si>
  <si>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</si>
  <si>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</si>
  <si>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</si>
  <si>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</si>
  <si>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</si>
  <si>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</si>
  <si>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</si>
  <si>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</si>
  <si>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</si>
  <si>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</si>
  <si>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</si>
  <si>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</si>
  <si>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</si>
  <si>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</si>
  <si>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</si>
  <si>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</si>
  <si>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</si>
  <si>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</si>
  <si>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</si>
  <si>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</si>
  <si>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</si>
  <si>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</si>
  <si>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</si>
  <si>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</si>
  <si>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</si>
  <si>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</si>
  <si>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</si>
  <si>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</si>
  <si>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</si>
  <si>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</si>
  <si>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</si>
  <si>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</si>
  <si>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</si>
  <si>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</si>
  <si>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</si>
  <si>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</si>
  <si>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</si>
  <si>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</si>
  <si>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</si>
  <si>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</si>
  <si>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</si>
  <si>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</si>
  <si>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</si>
  <si>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</si>
  <si>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</si>
  <si>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</si>
  <si>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</si>
  <si>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</si>
  <si>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</si>
  <si>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</si>
  <si>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</si>
  <si>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</si>
  <si>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</si>
  <si>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</si>
  <si>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</si>
  <si>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</si>
  <si>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</si>
  <si>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Additional Incentive</t>
  </si>
  <si>
    <t>1. Available Stock (Outlet)</t>
  </si>
  <si>
    <t>3. ASO</t>
  </si>
  <si>
    <t>Nguyễn Thị Hồng Lam</t>
  </si>
  <si>
    <t>Phan Thị Ngọc Thiêu</t>
  </si>
  <si>
    <t>Nguyễn Đức Thịnh</t>
  </si>
  <si>
    <t>Lê Đoàn Hương Giang</t>
  </si>
  <si>
    <t>Nguyễn Thị Thúy Vân</t>
  </si>
  <si>
    <t>Direct NORTH</t>
  </si>
  <si>
    <t>Total MTN</t>
  </si>
  <si>
    <t>Phạm Minh Thuộc</t>
  </si>
  <si>
    <t>Hoàng Lệ Hương</t>
  </si>
  <si>
    <t>1. Available Stock + Visibility (Outlet)</t>
  </si>
  <si>
    <t>4. Listing NPD</t>
  </si>
  <si>
    <t>Mã NV</t>
  </si>
  <si>
    <t>ACHIEVE  SALE TEAM</t>
  </si>
  <si>
    <t>Dư Ngọc Anh</t>
  </si>
  <si>
    <t>Lê Thị Vân Anh</t>
  </si>
  <si>
    <t>Đinh Trang Thư</t>
  </si>
  <si>
    <t>Võ Thị Bé Sáu</t>
  </si>
  <si>
    <t>Irwan Utama</t>
  </si>
  <si>
    <t>Đoàn Thị Hoài Thu</t>
  </si>
  <si>
    <t xml:space="preserve">Trần Thanh Phi Hùng </t>
  </si>
  <si>
    <t>Lê Tấn Vũ</t>
  </si>
  <si>
    <t>NBTS01789</t>
  </si>
  <si>
    <t>SI Indirect MTN (Nguyen Dung) + Direct North</t>
  </si>
  <si>
    <t>SI Indirect MTS (Thanh Lien)</t>
  </si>
  <si>
    <t>Nguyen Thi Kim Ngan</t>
  </si>
  <si>
    <t>NBTS00593</t>
  </si>
  <si>
    <t>NBTS00594</t>
  </si>
  <si>
    <t>NBTS01643</t>
  </si>
  <si>
    <t>NBTS00603</t>
  </si>
  <si>
    <t>NBTS01684</t>
  </si>
  <si>
    <t>NBTS01425</t>
  </si>
  <si>
    <t>NBTS00607</t>
  </si>
  <si>
    <t>NBTS00609</t>
  </si>
  <si>
    <t>NBTS01603</t>
  </si>
  <si>
    <t>NBTS00612</t>
  </si>
  <si>
    <t>NBTS01111</t>
  </si>
  <si>
    <t>NBTS00617</t>
  </si>
  <si>
    <t>NBTS01286</t>
  </si>
  <si>
    <t>NBTS00616</t>
  </si>
  <si>
    <t>NBTS00614</t>
  </si>
  <si>
    <t>NBTS00618</t>
  </si>
  <si>
    <t>SM</t>
  </si>
  <si>
    <t>PLAN</t>
  </si>
  <si>
    <t>ACT</t>
  </si>
  <si>
    <t>MT</t>
  </si>
  <si>
    <t>Vacancy</t>
  </si>
  <si>
    <t>NBTS02065</t>
  </si>
  <si>
    <t>Nguyen Thanh Son</t>
  </si>
  <si>
    <t>NBTS02327</t>
  </si>
  <si>
    <t>Trần Thị Thanh Trúc</t>
  </si>
  <si>
    <t>NBTS02345</t>
  </si>
  <si>
    <t>Phạm Phương Sinh</t>
  </si>
  <si>
    <t>Chử Thị Thúy Hằng</t>
  </si>
  <si>
    <t>04/2019</t>
  </si>
  <si>
    <t>Indirect
SOUTH</t>
  </si>
  <si>
    <t xml:space="preserve">Nguyễn Công Đạt </t>
  </si>
  <si>
    <t xml:space="preserve">Nguyễn Ngọc Phượng </t>
  </si>
  <si>
    <t>SALES REPORT BY DOCUMENT</t>
  </si>
  <si>
    <t/>
  </si>
  <si>
    <t>ARCreditMemo</t>
  </si>
  <si>
    <t>để check NPP mới</t>
  </si>
  <si>
    <t>Doc Entry</t>
  </si>
  <si>
    <t>Doc Date</t>
  </si>
  <si>
    <t>Doc Type</t>
  </si>
  <si>
    <t>Inv No</t>
  </si>
  <si>
    <t xml:space="preserve"> INV Form</t>
  </si>
  <si>
    <t>Cardcode</t>
  </si>
  <si>
    <t>Card Name</t>
  </si>
  <si>
    <t>U Region</t>
  </si>
  <si>
    <t>U Area</t>
  </si>
  <si>
    <t>Group Name</t>
  </si>
  <si>
    <t>Whs Code</t>
  </si>
  <si>
    <t>Item Code</t>
  </si>
  <si>
    <t>Dscription</t>
  </si>
  <si>
    <t>Quantity</t>
  </si>
  <si>
    <t>Price</t>
  </si>
  <si>
    <t>Amount Not VAT</t>
  </si>
  <si>
    <t>VATAmount</t>
  </si>
  <si>
    <t>Amount</t>
  </si>
  <si>
    <t>SQDocEntry</t>
  </si>
  <si>
    <t xml:space="preserve">Remarks </t>
  </si>
  <si>
    <t>Sales Order</t>
  </si>
  <si>
    <t>Remark SO</t>
  </si>
  <si>
    <t>Account</t>
  </si>
  <si>
    <t>Mã phụ 1</t>
  </si>
  <si>
    <t>Mã phụ 2</t>
  </si>
  <si>
    <t>Mã phụ 3</t>
  </si>
  <si>
    <t>Mã phụ 4</t>
  </si>
  <si>
    <t>Mã phụ 5</t>
  </si>
  <si>
    <t>Mã phụ 6 (skus)</t>
  </si>
  <si>
    <t>Mã phụ 7 (EDD)</t>
  </si>
  <si>
    <t>Mã phụ 8 (EDD)&amp; SP</t>
  </si>
  <si>
    <t>Mã phụ 9 code SP</t>
  </si>
  <si>
    <t>0011394</t>
  </si>
  <si>
    <t>NV/18E</t>
  </si>
  <si>
    <t>NPP00000361</t>
  </si>
  <si>
    <t>BIG C - AU CO</t>
  </si>
  <si>
    <t>MT-DIR-S</t>
  </si>
  <si>
    <t>Mordern Trade</t>
  </si>
  <si>
    <t>2001</t>
  </si>
  <si>
    <t>320463</t>
  </si>
  <si>
    <t>Na 8,5g</t>
  </si>
  <si>
    <t>619</t>
  </si>
  <si>
    <t>Discount Na 8.5g BIg C Mar 18</t>
  </si>
  <si>
    <t>511100</t>
  </si>
  <si>
    <t>323555</t>
  </si>
  <si>
    <t>Na 17g - MT</t>
  </si>
  <si>
    <t>320445</t>
  </si>
  <si>
    <t>Na 58g</t>
  </si>
  <si>
    <t>331017</t>
  </si>
  <si>
    <t>Richoco Wfr 58g</t>
  </si>
  <si>
    <t>323708</t>
  </si>
  <si>
    <t>Nextar Brownies 42g</t>
  </si>
  <si>
    <t>323709</t>
  </si>
  <si>
    <t>Nextar Brownies 112g</t>
  </si>
  <si>
    <t>4001</t>
  </si>
  <si>
    <t>2002</t>
  </si>
  <si>
    <t>521200</t>
  </si>
  <si>
    <t>321268</t>
  </si>
  <si>
    <t>Richoco Wfr 17g - Tet</t>
  </si>
  <si>
    <t>321285</t>
  </si>
  <si>
    <t>White 52g</t>
  </si>
  <si>
    <t>342159</t>
  </si>
  <si>
    <t>Na 58g - Tet</t>
  </si>
  <si>
    <t>331014</t>
  </si>
  <si>
    <t>White 58g</t>
  </si>
  <si>
    <t>321238</t>
  </si>
  <si>
    <t>Richoco Wfr 17g</t>
  </si>
  <si>
    <t>4002</t>
  </si>
  <si>
    <t>320429</t>
  </si>
  <si>
    <t>Tin Can 350g</t>
  </si>
  <si>
    <t>320524</t>
  </si>
  <si>
    <t>Rolls 140g</t>
  </si>
  <si>
    <t>323545</t>
  </si>
  <si>
    <t>Na 17g - Tet</t>
  </si>
  <si>
    <t>323620</t>
  </si>
  <si>
    <t>Ahh 16g</t>
  </si>
  <si>
    <t>NPP00000468</t>
  </si>
  <si>
    <t>HUONG THUY</t>
  </si>
  <si>
    <t>MT-IND-S</t>
  </si>
  <si>
    <t>0009839</t>
  </si>
  <si>
    <t>NPP00000217</t>
  </si>
  <si>
    <t>BIG C- HO GUOM</t>
  </si>
  <si>
    <t>MT-DIR-N</t>
  </si>
  <si>
    <t>0010992</t>
  </si>
  <si>
    <t>NPP00000188</t>
  </si>
  <si>
    <t>BIG C - NINH BINH</t>
  </si>
  <si>
    <t>0011307</t>
  </si>
  <si>
    <t>320384</t>
  </si>
  <si>
    <t>Ahh 5,5g</t>
  </si>
  <si>
    <t>321258</t>
  </si>
  <si>
    <t>Richoco Tin Can 350g</t>
  </si>
  <si>
    <t>320458</t>
  </si>
  <si>
    <t>Na 150g</t>
  </si>
  <si>
    <t>320585</t>
  </si>
  <si>
    <t>Big Rolls 330g</t>
  </si>
  <si>
    <t>324136</t>
  </si>
  <si>
    <t>Na 145g</t>
  </si>
  <si>
    <t>320566</t>
  </si>
  <si>
    <t>Rolls 8g</t>
  </si>
  <si>
    <t>322206</t>
  </si>
  <si>
    <t>Richoco Rolls 8g</t>
  </si>
  <si>
    <t>NPP00000119</t>
  </si>
  <si>
    <t>NGUYEN DUNG</t>
  </si>
  <si>
    <t>MT-IND-N</t>
  </si>
  <si>
    <t>NPP00000230</t>
  </si>
  <si>
    <t>LOTTE DONG NAI</t>
  </si>
  <si>
    <t>323713</t>
  </si>
  <si>
    <t>Nextar Brownies 336g - Tet</t>
  </si>
  <si>
    <t>NPP00000228</t>
  </si>
  <si>
    <t>LOTTE PHU THO</t>
  </si>
  <si>
    <t>NPP00000084</t>
  </si>
  <si>
    <t>THANH LIEM</t>
  </si>
  <si>
    <t>323510</t>
  </si>
  <si>
    <t>Na 52g *60g</t>
  </si>
  <si>
    <t>331050</t>
  </si>
  <si>
    <t>Richoco Wfr 58g - Tet</t>
  </si>
  <si>
    <t>322207</t>
  </si>
  <si>
    <t>Richoco Rolls 50g</t>
  </si>
  <si>
    <t>2005</t>
  </si>
  <si>
    <t>NPP00000280</t>
  </si>
  <si>
    <t>MM Mega - Mien Bac - 72</t>
  </si>
  <si>
    <t>4005</t>
  </si>
  <si>
    <t>NPP00000279</t>
  </si>
  <si>
    <t>MM Mega - Mien Nam - 71</t>
  </si>
  <si>
    <t>0006529</t>
  </si>
  <si>
    <t>NPP00000257</t>
  </si>
  <si>
    <t>BIG C - NGUYEN THI THAP</t>
  </si>
  <si>
    <t>0011414</t>
  </si>
  <si>
    <t>NPP00000218</t>
  </si>
  <si>
    <t>BIG C- QUY NHON</t>
  </si>
  <si>
    <t>MT-DIR-C</t>
  </si>
  <si>
    <t>0011417</t>
  </si>
  <si>
    <t>0011620</t>
  </si>
  <si>
    <t>0011621</t>
  </si>
  <si>
    <t>0.0000000000000000000</t>
  </si>
  <si>
    <t>521100</t>
  </si>
  <si>
    <t>0011554</t>
  </si>
  <si>
    <t>NPP00000229</t>
  </si>
  <si>
    <t>LOTTE BINH DUONG</t>
  </si>
  <si>
    <t>Chiết khấu thương mại quý 4.2018</t>
  </si>
  <si>
    <t>0011555</t>
  </si>
  <si>
    <t>NPP00000232</t>
  </si>
  <si>
    <t>LOTTE DONG DA</t>
  </si>
  <si>
    <t>Chiết khấu thương mại Quý 4.2018</t>
  </si>
  <si>
    <t>ARInv</t>
  </si>
  <si>
    <t>0011395</t>
  </si>
  <si>
    <t>NPP00000227</t>
  </si>
  <si>
    <t>LOTTE NAM SAIGON</t>
  </si>
  <si>
    <t>0011396</t>
  </si>
  <si>
    <t>0011397</t>
  </si>
  <si>
    <t>NPP00000178</t>
  </si>
  <si>
    <t>BIG C - GO VAP</t>
  </si>
  <si>
    <t>0011398</t>
  </si>
  <si>
    <t>NPP00000207</t>
  </si>
  <si>
    <t>BIG C - DI AN</t>
  </si>
  <si>
    <t>0011399</t>
  </si>
  <si>
    <t>NPP00000191</t>
  </si>
  <si>
    <t>BIG C - AN PHU</t>
  </si>
  <si>
    <t>0011400</t>
  </si>
  <si>
    <t>NPP00000186</t>
  </si>
  <si>
    <t>BIG C - BINH DUONG</t>
  </si>
  <si>
    <t>0011402</t>
  </si>
  <si>
    <t>0011403</t>
  </si>
  <si>
    <t>0011406</t>
  </si>
  <si>
    <t>NPP00000231</t>
  </si>
  <si>
    <t>LOTTE TAN BINH</t>
  </si>
  <si>
    <t>0011407</t>
  </si>
  <si>
    <t>0011408</t>
  </si>
  <si>
    <t>NPP00000234</t>
  </si>
  <si>
    <t>LOTTE DA NANG</t>
  </si>
  <si>
    <t>0011409</t>
  </si>
  <si>
    <t>NPP00000287</t>
  </si>
  <si>
    <t>LOTTE GO VAP</t>
  </si>
  <si>
    <t>0011410</t>
  </si>
  <si>
    <t>NPP00000077</t>
  </si>
  <si>
    <t>SAIGON COOP</t>
  </si>
  <si>
    <t>0011411</t>
  </si>
  <si>
    <t>754</t>
  </si>
  <si>
    <t>Discount Richeese Wafer 17g- 15% – Coop</t>
  </si>
  <si>
    <t>0011412</t>
  </si>
  <si>
    <t>NPP00000093</t>
  </si>
  <si>
    <t>SAIGON COOP (Mien Tay)</t>
  </si>
  <si>
    <t>0011413</t>
  </si>
  <si>
    <t>NPP00000187</t>
  </si>
  <si>
    <t>BIG C - VIET TRI</t>
  </si>
  <si>
    <t>0011415</t>
  </si>
  <si>
    <t>NPP00000185</t>
  </si>
  <si>
    <t>BIG C - CAN THO</t>
  </si>
  <si>
    <t>0011416</t>
  </si>
  <si>
    <t>0011418</t>
  </si>
  <si>
    <t>NPP00000200</t>
  </si>
  <si>
    <t>BIG C - THANG LONG</t>
  </si>
  <si>
    <t>0011419</t>
  </si>
  <si>
    <t>NPP00000176</t>
  </si>
  <si>
    <t>BIG C - HAI PHONG</t>
  </si>
  <si>
    <t>0011420</t>
  </si>
  <si>
    <t>NPP00000177</t>
  </si>
  <si>
    <t>BIG C - DA NANG</t>
  </si>
  <si>
    <t>0011421</t>
  </si>
  <si>
    <t>0011422</t>
  </si>
  <si>
    <t>NPP00000193</t>
  </si>
  <si>
    <t>BIG C - GARDEN MALL</t>
  </si>
  <si>
    <t>0011423</t>
  </si>
  <si>
    <t>NPP00000181</t>
  </si>
  <si>
    <t>BIG C - NAM DINH</t>
  </si>
  <si>
    <t>0011424</t>
  </si>
  <si>
    <t>NPP00000233</t>
  </si>
  <si>
    <t>LOTTE BA DINH</t>
  </si>
  <si>
    <t>0011430</t>
  </si>
  <si>
    <t>NPP00000142</t>
  </si>
  <si>
    <t>BIG C - DONG NAI</t>
  </si>
  <si>
    <t>0011431</t>
  </si>
  <si>
    <t>NPP00000197</t>
  </si>
  <si>
    <t>BIG C - MIEN DONG</t>
  </si>
  <si>
    <t>0011432</t>
  </si>
  <si>
    <t>NPP00000149</t>
  </si>
  <si>
    <t>BIG C - PHU THANH</t>
  </si>
  <si>
    <t>0011433</t>
  </si>
  <si>
    <t>NPP00000158</t>
  </si>
  <si>
    <t>BIG C - TRUONG CHINH</t>
  </si>
  <si>
    <t>0011434</t>
  </si>
  <si>
    <t>NPP00000190</t>
  </si>
  <si>
    <t>BIG C - HA LONG</t>
  </si>
  <si>
    <t>0011435</t>
  </si>
  <si>
    <t>NPP00000359</t>
  </si>
  <si>
    <t>BIG C - LE TRONG TAN</t>
  </si>
  <si>
    <t>0011436</t>
  </si>
  <si>
    <t>0011520</t>
  </si>
  <si>
    <t>NPP00000332</t>
  </si>
  <si>
    <t>BIG C - THAO DIEN</t>
  </si>
  <si>
    <t>0011521</t>
  </si>
  <si>
    <t>624</t>
  </si>
  <si>
    <t>Discount Na 8.5g for Lotte Mar 18</t>
  </si>
  <si>
    <t>0011522</t>
  </si>
  <si>
    <t>Đơn hàng xuất lại hóa đơn: 0011307, ngày 29/03/2019</t>
  </si>
  <si>
    <t>0011527</t>
  </si>
  <si>
    <t>0011528</t>
  </si>
  <si>
    <t>NPP00000237</t>
  </si>
  <si>
    <t>LOTTE CAN THO</t>
  </si>
  <si>
    <t>0011529</t>
  </si>
  <si>
    <t>NPP00000239</t>
  </si>
  <si>
    <t>LOTTE NHA TRANG</t>
  </si>
  <si>
    <t>0011531</t>
  </si>
  <si>
    <t>NPP00000236</t>
  </si>
  <si>
    <t>LOTTE PHAN THIET</t>
  </si>
  <si>
    <t>0011532</t>
  </si>
  <si>
    <t>NPP00000235</t>
  </si>
  <si>
    <t>LOTTE VUNG TAU</t>
  </si>
  <si>
    <t>0011539</t>
  </si>
  <si>
    <t>0011540</t>
  </si>
  <si>
    <t>0011541</t>
  </si>
  <si>
    <t>0011544</t>
  </si>
  <si>
    <t>0011561</t>
  </si>
  <si>
    <t>0011562</t>
  </si>
  <si>
    <t>0011563</t>
  </si>
  <si>
    <t>0011564</t>
  </si>
  <si>
    <t>0011565</t>
  </si>
  <si>
    <t>0011566</t>
  </si>
  <si>
    <t>0011567</t>
  </si>
  <si>
    <t>0011573</t>
  </si>
  <si>
    <t>0011574</t>
  </si>
  <si>
    <t>0011575</t>
  </si>
  <si>
    <t>0011576</t>
  </si>
  <si>
    <t>NPP00000179</t>
  </si>
  <si>
    <t>BIG C - HUE</t>
  </si>
  <si>
    <t>0011577</t>
  </si>
  <si>
    <t>0011578</t>
  </si>
  <si>
    <t>NPP00000195</t>
  </si>
  <si>
    <t>BIG C - LONG BIEN</t>
  </si>
  <si>
    <t>0011579</t>
  </si>
  <si>
    <t>NPP00000196</t>
  </si>
  <si>
    <t>BIG C - ME LINH</t>
  </si>
  <si>
    <t>0011580</t>
  </si>
  <si>
    <t>0011581</t>
  </si>
  <si>
    <t>0011583</t>
  </si>
  <si>
    <t>0011586</t>
  </si>
  <si>
    <t>0011589</t>
  </si>
  <si>
    <t>0011591</t>
  </si>
  <si>
    <t>0011592</t>
  </si>
  <si>
    <t>0011593</t>
  </si>
  <si>
    <t>0011609</t>
  </si>
  <si>
    <t>0011600</t>
  </si>
  <si>
    <t>0011603</t>
  </si>
  <si>
    <t>NPP00000175</t>
  </si>
  <si>
    <t>BIG C - AN LAC</t>
  </si>
  <si>
    <t>0011607</t>
  </si>
  <si>
    <t>0011615</t>
  </si>
  <si>
    <t>NPP00000277</t>
  </si>
  <si>
    <t>BIG C - TAN HIEP</t>
  </si>
  <si>
    <t>0011610</t>
  </si>
  <si>
    <t>0011614</t>
  </si>
  <si>
    <t>NPP00000479</t>
  </si>
  <si>
    <t>LOTTE CAU GIAY</t>
  </si>
  <si>
    <t>0011618</t>
  </si>
  <si>
    <t>0011619</t>
  </si>
  <si>
    <t>0011629</t>
  </si>
  <si>
    <t>0011631</t>
  </si>
  <si>
    <t>0011633</t>
  </si>
  <si>
    <t>0011635</t>
  </si>
  <si>
    <t>0011636</t>
  </si>
  <si>
    <t>0011657</t>
  </si>
  <si>
    <t>0011659</t>
  </si>
  <si>
    <t>0011661</t>
  </si>
  <si>
    <t>0011664</t>
  </si>
  <si>
    <t>0011665</t>
  </si>
  <si>
    <t>0011707</t>
  </si>
  <si>
    <t>0011725</t>
  </si>
  <si>
    <t>0011726</t>
  </si>
  <si>
    <t>HỦY HĐ 009839 DO TRẢ LẠI 1 THÙNG NA 17G BỊ MÓP</t>
  </si>
  <si>
    <t>0011727</t>
  </si>
  <si>
    <t>0011728</t>
  </si>
  <si>
    <t>0011729</t>
  </si>
  <si>
    <t>0011730</t>
  </si>
  <si>
    <t>0011740</t>
  </si>
  <si>
    <t>0011741</t>
  </si>
  <si>
    <t>0011742</t>
  </si>
  <si>
    <t>0011743</t>
  </si>
  <si>
    <t>0011744</t>
  </si>
  <si>
    <t>NPP00000180</t>
  </si>
  <si>
    <t>BIG C - VINH</t>
  </si>
  <si>
    <t>0011745</t>
  </si>
  <si>
    <t>NPP00000182</t>
  </si>
  <si>
    <t>BIG C - VINH PHUC</t>
  </si>
  <si>
    <t>0011746</t>
  </si>
  <si>
    <t>0011747</t>
  </si>
  <si>
    <t>0011748</t>
  </si>
  <si>
    <t>0011749</t>
  </si>
  <si>
    <t>0011750</t>
  </si>
  <si>
    <t>0011751</t>
  </si>
  <si>
    <t>0011752</t>
  </si>
  <si>
    <t>756</t>
  </si>
  <si>
    <t>Discount Richeese Wafer 17g- 15% – Huong thuy</t>
  </si>
  <si>
    <t>0011753</t>
  </si>
  <si>
    <t>0011799</t>
  </si>
  <si>
    <t>0011800</t>
  </si>
  <si>
    <t>0011801</t>
  </si>
  <si>
    <t>0011802</t>
  </si>
  <si>
    <t>0011830</t>
  </si>
  <si>
    <t>0011940</t>
  </si>
  <si>
    <t>0011941</t>
  </si>
  <si>
    <t>757</t>
  </si>
  <si>
    <t>Discount Richeese Wafer 58g- 15% – Huong thuy</t>
  </si>
  <si>
    <t>0011969</t>
  </si>
  <si>
    <t>0011970</t>
  </si>
  <si>
    <t>0011971</t>
  </si>
  <si>
    <t>0011972</t>
  </si>
  <si>
    <t>0012020</t>
  </si>
  <si>
    <t>0012021</t>
  </si>
  <si>
    <t>0012022</t>
  </si>
  <si>
    <t>0012031</t>
  </si>
  <si>
    <t>0012041</t>
  </si>
  <si>
    <t>0012042</t>
  </si>
  <si>
    <t>0012047</t>
  </si>
  <si>
    <t>0012095</t>
  </si>
  <si>
    <t>0012096</t>
  </si>
  <si>
    <t>0012099</t>
  </si>
  <si>
    <t>0012100</t>
  </si>
  <si>
    <t>0012101</t>
  </si>
  <si>
    <t>0012102</t>
  </si>
  <si>
    <t>0012257</t>
  </si>
  <si>
    <t>0012260</t>
  </si>
  <si>
    <t>0012274</t>
  </si>
  <si>
    <t>0012277</t>
  </si>
  <si>
    <t>0012279</t>
  </si>
  <si>
    <t>0012280</t>
  </si>
  <si>
    <t>0012281</t>
  </si>
  <si>
    <t>0012283</t>
  </si>
  <si>
    <t>0012284</t>
  </si>
  <si>
    <t>0012286</t>
  </si>
  <si>
    <t>NPP00000213</t>
  </si>
  <si>
    <t>BIG C- BAC GIANG</t>
  </si>
  <si>
    <t>0012289</t>
  </si>
  <si>
    <t>0012298</t>
  </si>
  <si>
    <t>0012302</t>
  </si>
  <si>
    <t>0012303</t>
  </si>
  <si>
    <t>0012306</t>
  </si>
  <si>
    <t>0012331</t>
  </si>
  <si>
    <t>Đơn hàng xuất lại HĐ: 000629, ngày 30/11/2019Giao thiếu 1 thùng Ahh 16g</t>
  </si>
  <si>
    <t>0012358</t>
  </si>
  <si>
    <t>0012359</t>
  </si>
  <si>
    <t>0012360</t>
  </si>
  <si>
    <t>0012361</t>
  </si>
  <si>
    <t>0012362</t>
  </si>
  <si>
    <t>0012363</t>
  </si>
  <si>
    <t>0012364</t>
  </si>
  <si>
    <t>0012365</t>
  </si>
  <si>
    <t>HỦY HĐ 11417 (DO TRẢ HÀNG MÓP)</t>
  </si>
  <si>
    <t>0012366</t>
  </si>
  <si>
    <t>HỦY HĐ 11414 (DO TRẢ HÀNG MÓP)</t>
  </si>
  <si>
    <t>0012440</t>
  </si>
  <si>
    <t>0012441</t>
  </si>
  <si>
    <t>0012442</t>
  </si>
  <si>
    <t>0012444</t>
  </si>
  <si>
    <t>0012445</t>
  </si>
  <si>
    <t>0012446</t>
  </si>
  <si>
    <t>0012450</t>
  </si>
  <si>
    <t>733</t>
  </si>
  <si>
    <t>Discount Richeese 8.5g Huong Thuy</t>
  </si>
  <si>
    <t>0012451</t>
  </si>
  <si>
    <t>0012477</t>
  </si>
  <si>
    <t>0012478</t>
  </si>
  <si>
    <t>0012479</t>
  </si>
  <si>
    <t>0012480</t>
  </si>
  <si>
    <t>0012481</t>
  </si>
  <si>
    <t>0012482</t>
  </si>
  <si>
    <t>0012483</t>
  </si>
  <si>
    <t>0012484</t>
  </si>
  <si>
    <t>0012485</t>
  </si>
  <si>
    <t>0012486</t>
  </si>
  <si>
    <t>0012501</t>
  </si>
  <si>
    <t>765</t>
  </si>
  <si>
    <t>Discount Richeese 8.5g Nguyen Dung</t>
  </si>
  <si>
    <t>0012502</t>
  </si>
  <si>
    <t>0012503</t>
  </si>
  <si>
    <t>0012506</t>
  </si>
  <si>
    <t>0012507</t>
  </si>
  <si>
    <t>0012509</t>
  </si>
  <si>
    <t>0012510</t>
  </si>
  <si>
    <t>0012511</t>
  </si>
  <si>
    <t>0012512</t>
  </si>
  <si>
    <t>0012513</t>
  </si>
  <si>
    <t>Truc</t>
  </si>
  <si>
    <t>Thu</t>
  </si>
  <si>
    <t>Phuong</t>
  </si>
  <si>
    <t>Sell in</t>
  </si>
  <si>
    <t>Phan Thị Ngọc Út</t>
  </si>
  <si>
    <t>Đỗ Cao Trí</t>
  </si>
  <si>
    <t>Trần Thị Ngọc Gấm</t>
  </si>
  <si>
    <t>Trần Thị Kim Hà</t>
  </si>
  <si>
    <t>Lê Văn Thanh Khánh</t>
  </si>
  <si>
    <t>Ngô Duy Phương</t>
  </si>
  <si>
    <t>Nguyễn Thanh Vân</t>
  </si>
  <si>
    <t>B.xop NA.RICH p.mai hg 20x17g</t>
  </si>
  <si>
    <t>B.xop NA.RICHEESE p.mai 58g</t>
  </si>
  <si>
    <t>B.xopNABATIRICHEESEhg20x8.5g</t>
  </si>
  <si>
    <t>B.xop NA.RICHOCO soco hg20x17g</t>
  </si>
  <si>
    <t>B.xop NA.RICHOCO soco 58g</t>
  </si>
  <si>
    <t>B.RICH.AHH TRIP p.mai hg 160g</t>
  </si>
  <si>
    <t>B.quyNABAsocoN.brownies8x14g (112g)</t>
  </si>
  <si>
    <t>thanh tien</t>
  </si>
  <si>
    <t>CM112</t>
  </si>
  <si>
    <t>Quy Nhơn</t>
  </si>
  <si>
    <t>Miền Trung</t>
  </si>
  <si>
    <t>CM114</t>
  </si>
  <si>
    <t xml:space="preserve">Mỹ Tho </t>
  </si>
  <si>
    <t>Tây Nam Bộ-801</t>
  </si>
  <si>
    <t>CM118</t>
  </si>
  <si>
    <t>Phan Thiết</t>
  </si>
  <si>
    <t>Đông Nam Bộ</t>
  </si>
  <si>
    <t>Vacancy 1</t>
  </si>
  <si>
    <t>CM119</t>
  </si>
  <si>
    <t xml:space="preserve">Long Xuyên </t>
  </si>
  <si>
    <t>Tây Nam Bộ-802</t>
  </si>
  <si>
    <t>Vacancy 2</t>
  </si>
  <si>
    <t>CM120</t>
  </si>
  <si>
    <t xml:space="preserve">Vĩnh Long </t>
  </si>
  <si>
    <t>CM121</t>
  </si>
  <si>
    <t xml:space="preserve">Vị Thanh </t>
  </si>
  <si>
    <t>CM122</t>
  </si>
  <si>
    <t>Tuy Hòa</t>
  </si>
  <si>
    <t>CM123</t>
  </si>
  <si>
    <t>Pleiku</t>
  </si>
  <si>
    <t>Tây Nguyên</t>
  </si>
  <si>
    <t>CM124</t>
  </si>
  <si>
    <t>Biên Hòa</t>
  </si>
  <si>
    <t>CM127</t>
  </si>
  <si>
    <t>Đồng Xoài</t>
  </si>
  <si>
    <t>CM128</t>
  </si>
  <si>
    <t>Đà Nẵng</t>
  </si>
  <si>
    <t>CM130</t>
  </si>
  <si>
    <t>Rạch Miễu</t>
  </si>
  <si>
    <t>HCM</t>
  </si>
  <si>
    <t>CM131</t>
  </si>
  <si>
    <t>Vũng Tàu</t>
  </si>
  <si>
    <t>CM132</t>
  </si>
  <si>
    <t>Tam Kỳ</t>
  </si>
  <si>
    <t>CM133</t>
  </si>
  <si>
    <t>Nhiêu Lộc</t>
  </si>
  <si>
    <t>CM134</t>
  </si>
  <si>
    <t>Tuy Lý Vương</t>
  </si>
  <si>
    <t xml:space="preserve">Võ Thị Bé Sáu </t>
  </si>
  <si>
    <t>CM135</t>
  </si>
  <si>
    <t>Hùng Vương</t>
  </si>
  <si>
    <t>CM136</t>
  </si>
  <si>
    <t>Bình Tân</t>
  </si>
  <si>
    <t>CM137</t>
  </si>
  <si>
    <t>Huế</t>
  </si>
  <si>
    <t>CM138</t>
  </si>
  <si>
    <t>Buôn Ma Thuột</t>
  </si>
  <si>
    <t>CM140</t>
  </si>
  <si>
    <t>Nha Trang</t>
  </si>
  <si>
    <t>CM141</t>
  </si>
  <si>
    <t>Nguyễn Ảnh Thủ</t>
  </si>
  <si>
    <t>CM142</t>
  </si>
  <si>
    <t xml:space="preserve">Bạc Liêu 2 </t>
  </si>
  <si>
    <t>CM144</t>
  </si>
  <si>
    <t xml:space="preserve">Kiên Giang </t>
  </si>
  <si>
    <t>CM145</t>
  </si>
  <si>
    <t>Quảng Ngãi</t>
  </si>
  <si>
    <t>CM147</t>
  </si>
  <si>
    <t xml:space="preserve">Sóc Trăng </t>
  </si>
  <si>
    <t>CM148</t>
  </si>
  <si>
    <t>Thanh Hà</t>
  </si>
  <si>
    <t>CM150</t>
  </si>
  <si>
    <t>Hà Tĩnh</t>
  </si>
  <si>
    <t>Miền Bắc</t>
  </si>
  <si>
    <t>CM151</t>
  </si>
  <si>
    <t>Cống Quỳnh</t>
  </si>
  <si>
    <t>CM152</t>
  </si>
  <si>
    <t>Hóc Môn</t>
  </si>
  <si>
    <t>CM153</t>
  </si>
  <si>
    <t>Hậu Giang</t>
  </si>
  <si>
    <t>CM154</t>
  </si>
  <si>
    <t>Phú Thọ</t>
  </si>
  <si>
    <t>CM155</t>
  </si>
  <si>
    <t>Nguyễn Đình Chiểu</t>
  </si>
  <si>
    <t>CM157</t>
  </si>
  <si>
    <t>Phú Lâm</t>
  </si>
  <si>
    <t>CM158</t>
  </si>
  <si>
    <t>Thắng Lợi</t>
  </si>
  <si>
    <t>CM159</t>
  </si>
  <si>
    <t>Huỳnh Tấn Phát</t>
  </si>
  <si>
    <t>CM160</t>
  </si>
  <si>
    <t>Nguyễn Kiệm</t>
  </si>
  <si>
    <t>CM161</t>
  </si>
  <si>
    <t>Xa Lộ Hà Nội</t>
  </si>
  <si>
    <t>Trần Thanh Phi Hùng</t>
  </si>
  <si>
    <t>CM162</t>
  </si>
  <si>
    <t>Phan Văn Trị</t>
  </si>
  <si>
    <t>CM164</t>
  </si>
  <si>
    <t>Hà Nội</t>
  </si>
  <si>
    <t>CM167</t>
  </si>
  <si>
    <t>Quảng Trị</t>
  </si>
  <si>
    <t>CM170</t>
  </si>
  <si>
    <t xml:space="preserve">Trà Vinh </t>
  </si>
  <si>
    <t>CM171</t>
  </si>
  <si>
    <t>Ngã Bảy Hậu Giang</t>
  </si>
  <si>
    <t>CM173</t>
  </si>
  <si>
    <t>Bảo Lộc</t>
  </si>
  <si>
    <t>CM174</t>
  </si>
  <si>
    <t>Cam Ranh</t>
  </si>
  <si>
    <t>CM175</t>
  </si>
  <si>
    <t>Củ Chi</t>
  </si>
  <si>
    <t>CM176</t>
  </si>
  <si>
    <t>Tây Ninh</t>
  </si>
  <si>
    <t>CM178</t>
  </si>
  <si>
    <t>Hòa Bình</t>
  </si>
  <si>
    <t>CM179</t>
  </si>
  <si>
    <t>Vĩnh Phúc</t>
  </si>
  <si>
    <t>CM180</t>
  </si>
  <si>
    <t>Cần Giờ</t>
  </si>
  <si>
    <t>CM181</t>
  </si>
  <si>
    <t>Hòa Hảo</t>
  </si>
  <si>
    <t>CM183</t>
  </si>
  <si>
    <t>Hải Phòng</t>
  </si>
  <si>
    <t>CM184</t>
  </si>
  <si>
    <t>Rạch Giá</t>
  </si>
  <si>
    <t>CM185</t>
  </si>
  <si>
    <t>Thanh Hóa</t>
  </si>
  <si>
    <t>CM186</t>
  </si>
  <si>
    <t>Bình Triệu</t>
  </si>
  <si>
    <t>CM187</t>
  </si>
  <si>
    <t xml:space="preserve">Cần Thơ </t>
  </si>
  <si>
    <t>CM189</t>
  </si>
  <si>
    <t>Trảng Bàng</t>
  </si>
  <si>
    <t>CM196</t>
  </si>
  <si>
    <t>Foodcosa</t>
  </si>
  <si>
    <t>CM197</t>
  </si>
  <si>
    <t>Cao Lanh</t>
  </si>
  <si>
    <t>CM199</t>
  </si>
  <si>
    <t>Bến Tre</t>
  </si>
  <si>
    <t>CX301</t>
  </si>
  <si>
    <t>CoopXtra Linh Trung</t>
  </si>
  <si>
    <t>CX304</t>
  </si>
  <si>
    <t>CoopXtra Tân Phong</t>
  </si>
  <si>
    <t>CX305</t>
  </si>
  <si>
    <t>Coopxtra Sư Vạn Hạnh</t>
  </si>
  <si>
    <t>CX306</t>
  </si>
  <si>
    <t>CoopXtra Phạm Văn Đồng - KT 30/12/2018</t>
  </si>
  <si>
    <t>CM501</t>
  </si>
  <si>
    <t>An Nhơn</t>
  </si>
  <si>
    <t>CM502</t>
  </si>
  <si>
    <t>Bắc Giang</t>
  </si>
  <si>
    <t>CM503</t>
  </si>
  <si>
    <t>Bình Dương 2</t>
  </si>
  <si>
    <t>CM504</t>
  </si>
  <si>
    <t>Đắk Nông</t>
  </si>
  <si>
    <t>CM505</t>
  </si>
  <si>
    <t>Lý Thường Kiệt</t>
  </si>
  <si>
    <t>CM506</t>
  </si>
  <si>
    <t>Văn Thánh</t>
  </si>
  <si>
    <t>CM507</t>
  </si>
  <si>
    <t xml:space="preserve">Lagi </t>
  </si>
  <si>
    <t>CM508</t>
  </si>
  <si>
    <t>Nguyễn Bình</t>
  </si>
  <si>
    <t>CM509</t>
  </si>
  <si>
    <t xml:space="preserve">Vĩnh Lộc B </t>
  </si>
  <si>
    <t>CM510</t>
  </si>
  <si>
    <t>Đỗ Văn Dậy</t>
  </si>
  <si>
    <t>CM511</t>
  </si>
  <si>
    <t xml:space="preserve">Hiệp Thành </t>
  </si>
  <si>
    <t>CM512</t>
  </si>
  <si>
    <t>Quảng Bình</t>
  </si>
  <si>
    <t>CM513</t>
  </si>
  <si>
    <t>Bến Lức</t>
  </si>
  <si>
    <t>CM514</t>
  </si>
  <si>
    <t xml:space="preserve">Long An </t>
  </si>
  <si>
    <t>CM515</t>
  </si>
  <si>
    <t>Bà Rịa</t>
  </si>
  <si>
    <t>CM516</t>
  </si>
  <si>
    <t>Bình Dương 1</t>
  </si>
  <si>
    <t>CM517</t>
  </si>
  <si>
    <t>SaDec</t>
  </si>
  <si>
    <t>CM518</t>
  </si>
  <si>
    <t>Gò Công</t>
  </si>
  <si>
    <t>CM519</t>
  </si>
  <si>
    <t>Thốt Nốt</t>
  </si>
  <si>
    <t>CM520</t>
  </si>
  <si>
    <t>Châu Đốc</t>
  </si>
  <si>
    <t>CM521</t>
  </si>
  <si>
    <t>Đức Phổ</t>
  </si>
  <si>
    <t>CM522</t>
  </si>
  <si>
    <t xml:space="preserve">Cà Mau </t>
  </si>
  <si>
    <t>CM523</t>
  </si>
  <si>
    <t>Buôn Hồ - KT 01/12/2018</t>
  </si>
  <si>
    <t>CM524</t>
  </si>
  <si>
    <t>Đồng Văn Cống</t>
  </si>
  <si>
    <t>CM525</t>
  </si>
  <si>
    <t>Nam Định</t>
  </si>
  <si>
    <t>CM526</t>
  </si>
  <si>
    <t>Tân Châu (tại Tây Ninh)</t>
  </si>
  <si>
    <t>CM527</t>
  </si>
  <si>
    <t>Chư Sê</t>
  </si>
  <si>
    <t>CM528</t>
  </si>
  <si>
    <t>Kon Tum</t>
  </si>
  <si>
    <t>CM529</t>
  </si>
  <si>
    <t>Tân Thành</t>
  </si>
  <si>
    <t>CM530</t>
  </si>
  <si>
    <t>Chu Văn An</t>
  </si>
  <si>
    <t>CM531</t>
  </si>
  <si>
    <t>Hà Tiên</t>
  </si>
  <si>
    <t>CM532</t>
  </si>
  <si>
    <t>Cai Lậy</t>
  </si>
  <si>
    <t>CM533</t>
  </si>
  <si>
    <t>Hồng Ngự</t>
  </si>
  <si>
    <t>CM534</t>
  </si>
  <si>
    <t>Gò Dầu - KT 10/8</t>
  </si>
  <si>
    <t>CM535</t>
  </si>
  <si>
    <t>Tân Châu  (An Giang )- KT 31.08</t>
  </si>
  <si>
    <t>CM536</t>
  </si>
  <si>
    <t>Duyên Hải (tại Trà Vinh)-KT 19/10</t>
  </si>
  <si>
    <t>CM537</t>
  </si>
  <si>
    <t>Việt Trì (tại Phú Thọ)-KT 10/11</t>
  </si>
  <si>
    <t>CM538</t>
  </si>
  <si>
    <t>Phước Đông (tại Tây Ninh)-KT 16/11</t>
  </si>
  <si>
    <t>CM539</t>
  </si>
  <si>
    <t>Phan Rí Cửa - KT 29/11/2018</t>
  </si>
  <si>
    <t>CM540</t>
  </si>
  <si>
    <t>Cần Giuộc - KT 30/11/2018</t>
  </si>
  <si>
    <t>CM541</t>
  </si>
  <si>
    <t>CM Saigon Home (Bình Tân 2) - KT 26.04.2019</t>
  </si>
  <si>
    <t>CM542</t>
  </si>
  <si>
    <t>Bình Thủy - KT 21/12/2018</t>
  </si>
  <si>
    <t>CM545</t>
  </si>
  <si>
    <t>Tiểu Cần - KT 27/12/2018</t>
  </si>
  <si>
    <t>CM547</t>
  </si>
  <si>
    <t>Sơn Trà (tại Đà Nẵng) - KT 27/01/2019</t>
  </si>
  <si>
    <t>CF299</t>
  </si>
  <si>
    <t>Row Labels</t>
  </si>
  <si>
    <t>Sum of thanh tien</t>
  </si>
  <si>
    <t>big C, Lotte</t>
  </si>
  <si>
    <t>Grand Total</t>
  </si>
  <si>
    <t>Contribute</t>
  </si>
  <si>
    <t>NBTS02469</t>
  </si>
  <si>
    <t>NBTS02456</t>
  </si>
  <si>
    <t>NBTS02440</t>
  </si>
  <si>
    <t>NBTS02467</t>
  </si>
  <si>
    <t>NBTS02471</t>
  </si>
  <si>
    <t>NBTB00032</t>
  </si>
  <si>
    <t>NBTB00068</t>
  </si>
  <si>
    <t>NBTM00005</t>
  </si>
  <si>
    <t>Nghỉ việc 01/04</t>
  </si>
  <si>
    <t>ngày 12/4 lên SS</t>
  </si>
  <si>
    <t>Nguyễn Thị Ngọc Thiêu</t>
  </si>
  <si>
    <t>ko tính vào sell out, chỉ trừ vào sell in</t>
  </si>
  <si>
    <t>Hàng trả về Mega miền Nam</t>
  </si>
  <si>
    <t>Sell in  (trừ lại lượng hàng trả về Mega miền Nam)</t>
  </si>
  <si>
    <t>Sell out  (ko trừ lại lượng hàng trả về Mega miền Nam)</t>
  </si>
  <si>
    <t xml:space="preserve">Target sell in khác target Sell Out </t>
  </si>
  <si>
    <t>Sell in Hương Thủy</t>
  </si>
  <si>
    <t>Sell in Thanh Liêm trả hàng</t>
  </si>
  <si>
    <t>Sell in tính Incentive</t>
  </si>
  <si>
    <t>Sell in Nguyen Dung</t>
  </si>
  <si>
    <t>Coop North+Cen</t>
  </si>
  <si>
    <t>Lotte+Big C North+Cen</t>
  </si>
  <si>
    <t>Sell in Mega North trả hàng</t>
  </si>
  <si>
    <t>TOTAL MTS &amp;MTM</t>
  </si>
  <si>
    <t>Huynh Thuy Le</t>
  </si>
  <si>
    <t>Ngày vào làm</t>
  </si>
  <si>
    <t>26/08/2015</t>
  </si>
  <si>
    <t>1. Facing+ Visibility (Outlet)</t>
  </si>
  <si>
    <t>1. VISIBILITY (Outlet)</t>
  </si>
  <si>
    <t>3. FACING (Outlet)</t>
  </si>
  <si>
    <t>Nguyen Thanh Van</t>
  </si>
  <si>
    <t>NBTS02468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</si>
</sst>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  <numFmt numFmtId="177" formatCode="_-* #,##0_-;\-* #,##0_-;_-* &quot;-&quot;_-;_-@_-"/>
    <numFmt numFmtId="178" formatCode="_-* #,##0.00_-;\-* #,##0.00_-;_-* &quot;-&quot;??_-;_-@_-"/>
    <numFmt numFmtId="179" formatCode="_-&quot;$&quot;* #,##0_-;\-&quot;$&quot;* #,##0_-;_-&quot;$&quot;* &quot;-&quot;_-;_-@_-"/>
    <numFmt numFmtId="180" formatCode="_-&quot;$&quot;* #,##0.00_-;\-&quot;$&quot;* #,##0.00_-;_-&quot;$&quot;* &quot;-&quot;??_-;_-@_-"/>
    <numFmt numFmtId="181" formatCode="_ &quot;\&quot;* #,##0_ ;_ &quot;\&quot;* \-#,##0_ ;_ &quot;\&quot;* &quot;-&quot;_ ;_ @_ "/>
    <numFmt numFmtId="182" formatCode="_ &quot;\&quot;* #,##0.00_ ;_ &quot;\&quot;* \-#,##0.00_ ;_ &quot;\&quot;* &quot;-&quot;??_ ;_ @_ "/>
    <numFmt numFmtId="183" formatCode="_ * #,##0_ ;_ * \-#,##0_ ;_ * &quot;-&quot;_ ;_ @_ "/>
    <numFmt numFmtId="184" formatCode="_ * #,##0.00_ ;_ * \-#,##0.00_ ;_ * &quot;-&quot;??_ ;_ @_ "/>
    <numFmt numFmtId="185" formatCode="0.0000&quot;  &quot;"/>
    <numFmt numFmtId="186" formatCode="#,##0.0_);\(#,##0.0\)"/>
    <numFmt numFmtId="187" formatCode="_(* #,##0.0000_);_(* \(#,##0.0000\);_(* &quot;-&quot;??_);_(@_)"/>
    <numFmt numFmtId="188" formatCode="_-* #,##0\ &quot;BF&quot;_-;\-* #,##0\ &quot;BF&quot;_-;_-* &quot;-&quot;\ &quot;BF&quot;_-;_-@_-"/>
    <numFmt numFmtId="189" formatCode="_-* #,##0\ _B_F_-;\-* #,##0\ _B_F_-;_-* &quot;-&quot;\ _B_F_-;_-@_-"/>
    <numFmt numFmtId="190" formatCode="_-* #,##0.00\ &quot;BF&quot;_-;\-* #,##0.00\ &quot;BF&quot;_-;_-* &quot;-&quot;??\ &quot;BF&quot;_-;_-@_-"/>
    <numFmt numFmtId="191" formatCode="_(* #,##0.0_);_(* \(#,##0.0\);_(* &quot;-&quot;??_);_(@_)"/>
    <numFmt numFmtId="192" formatCode="#,##0;\(#,##0\)"/>
    <numFmt numFmtId="193" formatCode="\t0.00%"/>
    <numFmt numFmtId="194" formatCode="\U\S&quot;$&quot;#,##0.00;\(\U\S&quot;$&quot;#,##0.00\)"/>
    <numFmt numFmtId="195" formatCode="_-* #,##0\ _D_M_-;\-* #,##0\ _D_M_-;_-* &quot;-&quot;\ _D_M_-;_-@_-"/>
    <numFmt numFmtId="196" formatCode="_-* #,##0.00\ _D_M_-;\-* #,##0.00\ _D_M_-;_-* &quot;-&quot;??\ _D_M_-;_-@_-"/>
    <numFmt numFmtId="197" formatCode="\t#\ ??/??"/>
    <numFmt numFmtId="198" formatCode="_-[$€]* #,##0.00_-;\-[$€]* #,##0.00_-;_-[$€]* &quot;-&quot;??_-;_-@_-"/>
    <numFmt numFmtId="199" formatCode="#."/>
    <numFmt numFmtId="200" formatCode="#,###"/>
    <numFmt numFmtId="201" formatCode="m/d"/>
    <numFmt numFmtId="202" formatCode="&quot;ß&quot;#,##0;\-&quot;&quot;&quot;ß&quot;&quot;&quot;#,##0"/>
    <numFmt numFmtId="203" formatCode="0.00_)"/>
    <numFmt numFmtId="204" formatCode="#,##0.000_);[Red]\(#,##0.000\)"/>
    <numFmt numFmtId="205" formatCode="#,##0.00\ &quot;F&quot;;[Red]\-#,##0.00\ &quot;F&quot;"/>
    <numFmt numFmtId="206" formatCode="&quot;\&quot;#,##0;[Red]\-&quot;\&quot;#,##0"/>
    <numFmt numFmtId="207" formatCode="_-* #,##0.00\ _B_F_-;\-* #,##0.00\ _B_F_-;_-* &quot;-&quot;??\ _B_F_-;_-@_-"/>
    <numFmt numFmtId="208" formatCode="General_)"/>
    <numFmt numFmtId="209" formatCode="_-* #,##0\ &quot;F&quot;_-;\-* #,##0\ &quot;F&quot;_-;_-* &quot;-&quot;\ &quot;F&quot;_-;_-@_-"/>
    <numFmt numFmtId="210" formatCode="#,##0\ &quot;F&quot;;[Red]\-#,##0\ &quot;F&quot;"/>
    <numFmt numFmtId="211" formatCode="#,##0.00\ &quot;F&quot;;\-#,##0.00\ &quot;F&quot;"/>
    <numFmt numFmtId="212" formatCode="_-* #,##0\ &quot;DM&quot;_-;\-* #,##0\ &quot;DM&quot;_-;_-* &quot;-&quot;\ &quot;DM&quot;_-;_-@_-"/>
    <numFmt numFmtId="213" formatCode="_-* #,##0.00\ &quot;DM&quot;_-;\-* #,##0.00\ &quot;DM&quot;_-;_-* &quot;-&quot;??\ &quot;DM&quot;_-;_-@_-"/>
    <numFmt numFmtId="214" formatCode="&quot;$&quot;#&quot;,&quot;##0_);[Red]\(&quot;$&quot;#&quot;,&quot;##0\)"/>
    <numFmt numFmtId="215" formatCode="_-&quot;£&quot;* #,##0.00_-;\-&quot;£&quot;* #,##0.00_-;_-&quot;£&quot;* &quot;-&quot;??_-;_-@_-"/>
    <numFmt numFmtId="216" formatCode="_-* #,##0\ _₫_-;\-* #,##0\ _₫_-;_-* &quot;-&quot;??\ _₫_-;_-@_-"/>
    <numFmt numFmtId="217" formatCode="[$-10409]#,##0;\-#,##0"/>
    <numFmt numFmtId="218" formatCode="[$-10409]dd/mm/yyyy"/>
    <numFmt numFmtId="219" formatCode="[$-10409]#,##0.00;\(#,##0.00\);&quot;-&quot;"/>
  </numFmts>
  <fonts count="1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8"/>
      <name val="Times New Roman"/>
      <family val="1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sz val="10"/>
      <name val="VNI-Aptima"/>
    </font>
    <font>
      <sz val="10"/>
      <color indexed="8"/>
      <name val="Arial"/>
      <family val="2"/>
    </font>
    <font>
      <sz val="10"/>
      <name val="VNI-Times"/>
    </font>
    <font>
      <sz val="10"/>
      <color indexed="16"/>
      <name val="MS Serif"/>
      <family val="1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8"/>
      <name val="Arial"/>
      <family val="2"/>
    </font>
    <font>
      <b/>
      <sz val="16"/>
      <name val="Times New Roman"/>
      <family val="1"/>
    </font>
    <font>
      <b/>
      <sz val="1"/>
      <color indexed="8"/>
      <name val="Courier"/>
      <family val="3"/>
    </font>
    <font>
      <b/>
      <sz val="10"/>
      <name val=".VnTime"/>
      <family val="2"/>
    </font>
    <font>
      <sz val="10"/>
      <name val="MS Sans Serif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2"/>
      <name val="Tahoma"/>
      <family val="2"/>
    </font>
    <font>
      <b/>
      <sz val="12"/>
      <color rgb="FF0000FF"/>
      <name val="Tahoma"/>
      <family val="2"/>
    </font>
    <font>
      <b/>
      <sz val="20"/>
      <color rgb="FF0000FF"/>
      <name val="Tahoma"/>
      <family val="2"/>
    </font>
    <font>
      <sz val="20"/>
      <color rgb="FF0000FF"/>
      <name val="Tahoma"/>
      <family val="2"/>
    </font>
    <font>
      <b/>
      <sz val="20"/>
      <color indexed="62"/>
      <name val="Tahoma"/>
      <family val="2"/>
    </font>
    <font>
      <sz val="20"/>
      <color indexed="62"/>
      <name val="Tahoma"/>
      <family val="2"/>
    </font>
    <font>
      <sz val="20"/>
      <color theme="0"/>
      <name val="Tahoma"/>
      <family val="2"/>
    </font>
    <font>
      <b/>
      <sz val="20"/>
      <color indexed="18"/>
      <name val="Tahoma"/>
      <family val="2"/>
    </font>
    <font>
      <b/>
      <sz val="20"/>
      <color rgb="FFFF0000"/>
      <name val="Tahoma"/>
      <family val="2"/>
    </font>
    <font>
      <sz val="20"/>
      <color theme="1"/>
      <name val="Calibri"/>
      <family val="2"/>
      <scheme val="minor"/>
    </font>
    <font>
      <b/>
      <sz val="14"/>
      <color theme="0"/>
      <name val="Tahoma"/>
      <family val="2"/>
    </font>
    <font>
      <b/>
      <sz val="14"/>
      <color indexed="81"/>
      <name val="Tahoma"/>
      <family val="2"/>
    </font>
    <font>
      <b/>
      <sz val="16"/>
      <color indexed="81"/>
      <name val="Tahoma"/>
      <family val="2"/>
    </font>
    <font>
      <sz val="9"/>
      <color indexed="81"/>
      <name val="Tahoma"/>
      <family val="2"/>
    </font>
    <font>
      <sz val="12"/>
      <color indexed="62"/>
      <name val="Tahoma"/>
      <family val="2"/>
    </font>
    <font>
      <b/>
      <sz val="11"/>
      <color indexed="62"/>
      <name val="Tahoma"/>
      <family val="2"/>
    </font>
    <font>
      <sz val="11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1"/>
      <name val="Calibri"/>
      <family val="2"/>
    </font>
    <font>
      <sz val="11"/>
      <color theme="1"/>
      <name val="Calibri"/>
      <family val="2"/>
      <charset val="163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8"/>
      <color indexed="62"/>
      <name val="Tahoma"/>
      <family val="2"/>
    </font>
    <font>
      <sz val="12"/>
      <color indexed="81"/>
      <name val="Tahoma"/>
      <family val="2"/>
    </font>
    <font>
      <b/>
      <sz val="14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90EE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921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/>
    <xf numFmtId="0" fontId="21" fillId="5" borderId="0" applyNumberFormat="0" applyBorder="0" applyAlignment="0" applyProtection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0" fillId="0" borderId="0"/>
    <xf numFmtId="0" fontId="20" fillId="0" borderId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1" fillId="24" borderId="28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164" fontId="20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20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33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9" fillId="0" borderId="26"/>
    <xf numFmtId="0" fontId="40" fillId="0" borderId="0" applyNumberFormat="0" applyFill="0" applyBorder="0" applyAlignment="0" applyProtection="0">
      <alignment vertical="top"/>
      <protection locked="0"/>
    </xf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1" fillId="11" borderId="28" applyNumberFormat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169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2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" fillId="0" borderId="0"/>
    <xf numFmtId="0" fontId="2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6" fillId="0" borderId="0"/>
    <xf numFmtId="0" fontId="26" fillId="0" borderId="0"/>
    <xf numFmtId="0" fontId="26" fillId="0" borderId="0"/>
    <xf numFmtId="0" fontId="22" fillId="0" borderId="0"/>
    <xf numFmtId="0" fontId="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169" fontId="20" fillId="0" borderId="0"/>
    <xf numFmtId="0" fontId="20" fillId="0" borderId="0"/>
    <xf numFmtId="0" fontId="20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0" borderId="0"/>
    <xf numFmtId="167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" fillId="0" borderId="0"/>
    <xf numFmtId="0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44" fillId="0" borderId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0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169" fontId="20" fillId="26" borderId="32" applyNumberFormat="0" applyFon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0" fontId="45" fillId="24" borderId="33" applyNumberFormat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0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0" fontId="49" fillId="0" borderId="0" applyFont="0" applyFill="0" applyBorder="0" applyAlignment="0" applyProtection="0"/>
    <xf numFmtId="38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49" fillId="0" borderId="0" applyFont="0" applyFill="0" applyBorder="0" applyAlignment="0" applyProtection="0"/>
    <xf numFmtId="169" fontId="50" fillId="0" borderId="0"/>
    <xf numFmtId="169" fontId="51" fillId="0" borderId="0"/>
    <xf numFmtId="43" fontId="2" fillId="0" borderId="0" applyFont="0" applyFill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169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169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169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169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169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169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169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169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169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169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169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169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169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9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169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169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169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169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69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169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169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169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169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9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167" fontId="31" fillId="24" borderId="28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169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0" fontId="32" fillId="25" borderId="29" applyNumberFormat="0" applyAlignment="0" applyProtection="0"/>
    <xf numFmtId="43" fontId="3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3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41" fontId="3" fillId="0" borderId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169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169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30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9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9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167" fontId="39" fillId="0" borderId="26"/>
    <xf numFmtId="0" fontId="53" fillId="0" borderId="0" applyNumberFormat="0" applyFill="0" applyBorder="0" applyAlignment="0" applyProtection="0">
      <alignment vertical="top"/>
      <protection locked="0"/>
    </xf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9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167" fontId="41" fillId="11" borderId="28" applyNumberFormat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169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42" fillId="0" borderId="31" applyNumberFormat="0" applyFill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169" fontId="20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167" fontId="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9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0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9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20" fillId="26" borderId="32" applyNumberFormat="0" applyFon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9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0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167" fontId="45" fillId="24" borderId="33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7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0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169" fontId="20" fillId="0" borderId="34" applyNumberFormat="0" applyFon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9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ill="0" applyBorder="0" applyAlignment="0" applyProtection="0"/>
    <xf numFmtId="165" fontId="20" fillId="0" borderId="0" applyProtection="0"/>
    <xf numFmtId="172" fontId="20" fillId="0" borderId="0" applyProtection="0"/>
    <xf numFmtId="0" fontId="20" fillId="0" borderId="0" applyProtection="0"/>
    <xf numFmtId="171" fontId="20" fillId="0" borderId="0" applyProtection="0"/>
    <xf numFmtId="40" fontId="20" fillId="0" borderId="0" applyProtection="0"/>
    <xf numFmtId="38" fontId="20" fillId="0" borderId="0" applyProtection="0"/>
    <xf numFmtId="177" fontId="20" fillId="0" borderId="0" applyProtection="0"/>
    <xf numFmtId="178" fontId="20" fillId="0" borderId="0" applyProtection="0"/>
    <xf numFmtId="6" fontId="20" fillId="0" borderId="0" applyProtection="0"/>
    <xf numFmtId="0" fontId="66" fillId="0" borderId="0" applyProtection="0">
      <alignment vertical="center"/>
    </xf>
    <xf numFmtId="0" fontId="20" fillId="0" borderId="0" applyProtection="0"/>
    <xf numFmtId="0" fontId="20" fillId="0" borderId="0" applyProtection="0"/>
    <xf numFmtId="0" fontId="67" fillId="0" borderId="0" applyProtection="0"/>
    <xf numFmtId="0" fontId="20" fillId="28" borderId="0" applyNumberFormat="0" applyFont="0" applyBorder="0" applyAlignment="0" applyProtection="0"/>
    <xf numFmtId="0" fontId="68" fillId="0" borderId="0" applyProtection="0"/>
    <xf numFmtId="0" fontId="69" fillId="0" borderId="0" applyProtection="0"/>
    <xf numFmtId="0" fontId="20" fillId="0" borderId="0" applyProtection="0"/>
    <xf numFmtId="171" fontId="20" fillId="0" borderId="0" applyProtection="0"/>
    <xf numFmtId="173" fontId="20" fillId="0" borderId="0" applyProtection="0"/>
    <xf numFmtId="179" fontId="20" fillId="0" borderId="0" applyProtection="0"/>
    <xf numFmtId="0" fontId="70" fillId="0" borderId="0" applyProtection="0"/>
    <xf numFmtId="177" fontId="20" fillId="0" borderId="0" applyProtection="0"/>
    <xf numFmtId="40" fontId="20" fillId="0" borderId="0" applyProtection="0"/>
    <xf numFmtId="38" fontId="20" fillId="0" borderId="0" applyProtection="0"/>
    <xf numFmtId="9" fontId="20" fillId="0" borderId="0" applyProtection="0"/>
    <xf numFmtId="178" fontId="20" fillId="0" borderId="0" applyProtection="0"/>
    <xf numFmtId="172" fontId="20" fillId="0" borderId="0" applyProtection="0"/>
    <xf numFmtId="174" fontId="20" fillId="0" borderId="0" applyProtection="0"/>
    <xf numFmtId="174" fontId="20" fillId="0" borderId="0" applyProtection="0"/>
    <xf numFmtId="0" fontId="71" fillId="0" borderId="0" applyProtection="0"/>
    <xf numFmtId="180" fontId="20" fillId="0" borderId="0" applyProtection="0"/>
    <xf numFmtId="0" fontId="20" fillId="0" borderId="0" applyProtection="0"/>
    <xf numFmtId="0" fontId="20" fillId="0" borderId="0" applyProtection="0"/>
    <xf numFmtId="42" fontId="20" fillId="0" borderId="0" applyProtection="0"/>
    <xf numFmtId="179" fontId="20" fillId="0" borderId="0" applyProtection="0"/>
    <xf numFmtId="178" fontId="20" fillId="0" borderId="0" applyProtection="0"/>
    <xf numFmtId="43" fontId="20" fillId="0" borderId="0" applyProtection="0"/>
    <xf numFmtId="177" fontId="20" fillId="0" borderId="0" applyProtection="0"/>
    <xf numFmtId="42" fontId="20" fillId="0" borderId="0" applyProtection="0"/>
    <xf numFmtId="43" fontId="20" fillId="0" borderId="0" applyProtection="0"/>
    <xf numFmtId="178" fontId="20" fillId="0" borderId="0" applyProtection="0"/>
    <xf numFmtId="41" fontId="20" fillId="0" borderId="0" applyProtection="0"/>
    <xf numFmtId="177" fontId="20" fillId="0" borderId="0" applyProtection="0"/>
    <xf numFmtId="178" fontId="20" fillId="0" borderId="0" applyProtection="0"/>
    <xf numFmtId="41" fontId="20" fillId="0" borderId="0" applyProtection="0"/>
    <xf numFmtId="43" fontId="20" fillId="0" borderId="0" applyProtection="0"/>
    <xf numFmtId="177" fontId="20" fillId="0" borderId="0" applyProtection="0"/>
    <xf numFmtId="179" fontId="20" fillId="0" borderId="0" applyProtection="0"/>
    <xf numFmtId="177" fontId="20" fillId="0" borderId="0" applyProtection="0"/>
    <xf numFmtId="41" fontId="20" fillId="0" borderId="0" applyProtection="0"/>
    <xf numFmtId="43" fontId="20" fillId="0" borderId="0" applyProtection="0"/>
    <xf numFmtId="179" fontId="20" fillId="0" borderId="0" applyProtection="0"/>
    <xf numFmtId="178" fontId="20" fillId="0" borderId="0" applyProtection="0"/>
    <xf numFmtId="179" fontId="20" fillId="0" borderId="0" applyProtection="0"/>
    <xf numFmtId="0" fontId="72" fillId="29" borderId="0" applyProtection="0"/>
    <xf numFmtId="0" fontId="20" fillId="0" borderId="0" applyProtection="0"/>
    <xf numFmtId="0" fontId="73" fillId="0" borderId="0" applyProtection="0"/>
    <xf numFmtId="9" fontId="20" fillId="0" borderId="0" applyProtection="0"/>
    <xf numFmtId="0" fontId="74" fillId="29" borderId="0" applyProtection="0"/>
    <xf numFmtId="0" fontId="75" fillId="29" borderId="0" applyProtection="0"/>
    <xf numFmtId="0" fontId="76" fillId="0" borderId="0" applyProtection="0">
      <alignment wrapText="1"/>
    </xf>
    <xf numFmtId="181" fontId="20" fillId="0" borderId="0" applyProtection="0"/>
    <xf numFmtId="0" fontId="20" fillId="0" borderId="0" applyProtection="0"/>
    <xf numFmtId="182" fontId="20" fillId="0" borderId="0" applyProtection="0"/>
    <xf numFmtId="0" fontId="20" fillId="0" borderId="0" applyProtection="0"/>
    <xf numFmtId="0" fontId="77" fillId="0" borderId="0">
      <alignment horizontal="center" wrapText="1"/>
      <protection locked="0"/>
    </xf>
    <xf numFmtId="183" fontId="20" fillId="0" borderId="0" applyProtection="0"/>
    <xf numFmtId="0" fontId="20" fillId="0" borderId="0" applyProtection="0"/>
    <xf numFmtId="184" fontId="20" fillId="0" borderId="0" applyProtection="0"/>
    <xf numFmtId="0" fontId="20" fillId="0" borderId="0" applyProtection="0"/>
    <xf numFmtId="184" fontId="20" fillId="0" borderId="0" applyProtection="0"/>
    <xf numFmtId="179" fontId="20" fillId="0" borderId="0" applyProtection="0"/>
    <xf numFmtId="0" fontId="78" fillId="0" borderId="0" applyProtection="0"/>
    <xf numFmtId="0" fontId="79" fillId="0" borderId="0" applyProtection="0"/>
    <xf numFmtId="0" fontId="78" fillId="0" borderId="0" applyProtection="0"/>
    <xf numFmtId="185" fontId="80" fillId="0" borderId="0" applyProtection="0"/>
    <xf numFmtId="186" fontId="81" fillId="0" borderId="0" applyProtection="0"/>
    <xf numFmtId="187" fontId="81" fillId="0" borderId="0" applyProtection="0"/>
    <xf numFmtId="188" fontId="82" fillId="0" borderId="0" applyProtection="0"/>
    <xf numFmtId="189" fontId="82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83" fillId="0" borderId="0" applyProtection="0"/>
    <xf numFmtId="44" fontId="20" fillId="0" borderId="0" applyProtection="0"/>
    <xf numFmtId="191" fontId="20" fillId="0" borderId="0" applyProtection="0"/>
    <xf numFmtId="43" fontId="20" fillId="0" borderId="0" applyFont="0" applyFill="0" applyBorder="0" applyAlignment="0" applyProtection="0"/>
    <xf numFmtId="43" fontId="20" fillId="0" borderId="0" applyProtection="0"/>
    <xf numFmtId="192" fontId="84" fillId="0" borderId="0" applyProtection="0"/>
    <xf numFmtId="0" fontId="85" fillId="0" borderId="0" applyProtection="0"/>
    <xf numFmtId="0" fontId="86" fillId="0" borderId="0" applyProtection="0"/>
    <xf numFmtId="186" fontId="20" fillId="0" borderId="0" applyProtection="0"/>
    <xf numFmtId="44" fontId="20" fillId="0" borderId="0" applyProtection="0"/>
    <xf numFmtId="193" fontId="20" fillId="0" borderId="0" applyProtection="0"/>
    <xf numFmtId="1" fontId="87" fillId="0" borderId="0" applyProtection="0"/>
    <xf numFmtId="14" fontId="88" fillId="0" borderId="0" applyProtection="0"/>
    <xf numFmtId="0" fontId="20" fillId="0" borderId="0" applyProtection="0"/>
    <xf numFmtId="194" fontId="20" fillId="0" borderId="39" applyProtection="0">
      <alignment vertical="center"/>
    </xf>
    <xf numFmtId="195" fontId="20" fillId="0" borderId="0" applyProtection="0"/>
    <xf numFmtId="196" fontId="20" fillId="0" borderId="0" applyProtection="0"/>
    <xf numFmtId="197" fontId="20" fillId="0" borderId="0" applyProtection="0"/>
    <xf numFmtId="0" fontId="89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90" fillId="0" borderId="0" applyProtection="0"/>
    <xf numFmtId="198" fontId="20" fillId="0" borderId="0" applyProtection="0"/>
    <xf numFmtId="0" fontId="91" fillId="0" borderId="0" applyProtection="0"/>
    <xf numFmtId="0" fontId="92" fillId="0" borderId="0" applyProtection="0">
      <alignment vertical="center"/>
    </xf>
    <xf numFmtId="0" fontId="93" fillId="0" borderId="0" applyProtection="0"/>
    <xf numFmtId="0" fontId="94" fillId="0" borderId="0" applyProtection="0">
      <alignment vertical="center"/>
    </xf>
    <xf numFmtId="0" fontId="95" fillId="0" borderId="0" applyProtection="0"/>
    <xf numFmtId="0" fontId="93" fillId="0" borderId="0" applyProtection="0"/>
    <xf numFmtId="0" fontId="96" fillId="0" borderId="0" applyProtection="0"/>
    <xf numFmtId="0" fontId="97" fillId="0" borderId="0" applyProtection="0"/>
    <xf numFmtId="0" fontId="98" fillId="29" borderId="0" applyProtection="0"/>
    <xf numFmtId="0" fontId="20" fillId="0" borderId="0" applyProtection="0"/>
    <xf numFmtId="0" fontId="99" fillId="0" borderId="0" applyProtection="0"/>
    <xf numFmtId="0" fontId="37" fillId="0" borderId="40" applyProtection="0"/>
    <xf numFmtId="0" fontId="37" fillId="0" borderId="38" applyProtection="0">
      <alignment horizontal="left" vertical="center"/>
    </xf>
    <xf numFmtId="0" fontId="37" fillId="0" borderId="38" applyProtection="0">
      <alignment horizontal="left" vertical="center"/>
    </xf>
    <xf numFmtId="199" fontId="100" fillId="0" borderId="0">
      <protection locked="0"/>
    </xf>
    <xf numFmtId="199" fontId="100" fillId="0" borderId="0">
      <protection locked="0"/>
    </xf>
    <xf numFmtId="0" fontId="101" fillId="30" borderId="3" applyProtection="0"/>
    <xf numFmtId="0" fontId="101" fillId="30" borderId="3" applyProtection="0"/>
    <xf numFmtId="41" fontId="20" fillId="0" borderId="0" applyProtection="0"/>
    <xf numFmtId="0" fontId="98" fillId="31" borderId="0" applyProtection="0"/>
    <xf numFmtId="0" fontId="20" fillId="32" borderId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0" fontId="20" fillId="33" borderId="0" applyProtection="0"/>
    <xf numFmtId="177" fontId="20" fillId="0" borderId="0" applyProtection="0"/>
    <xf numFmtId="178" fontId="20" fillId="0" borderId="0" applyProtection="0"/>
    <xf numFmtId="0" fontId="103" fillId="0" borderId="41" applyProtection="0"/>
    <xf numFmtId="200" fontId="104" fillId="0" borderId="42" applyProtection="0"/>
    <xf numFmtId="179" fontId="20" fillId="0" borderId="0" applyProtection="0"/>
    <xf numFmtId="180" fontId="20" fillId="0" borderId="0" applyProtection="0"/>
    <xf numFmtId="201" fontId="20" fillId="0" borderId="0" applyProtection="0"/>
    <xf numFmtId="202" fontId="20" fillId="0" borderId="0" applyProtection="0"/>
    <xf numFmtId="0" fontId="20" fillId="0" borderId="0" applyProtection="0"/>
    <xf numFmtId="0" fontId="84" fillId="0" borderId="0" applyProtection="0"/>
    <xf numFmtId="37" fontId="105" fillId="0" borderId="0" applyProtection="0"/>
    <xf numFmtId="0" fontId="20" fillId="0" borderId="0" applyProtection="0"/>
    <xf numFmtId="203" fontId="106" fillId="0" borderId="0" applyProtection="0"/>
    <xf numFmtId="0" fontId="107" fillId="0" borderId="0" applyProtection="0"/>
    <xf numFmtId="0" fontId="20" fillId="0" borderId="0" applyProtection="0"/>
    <xf numFmtId="0" fontId="3" fillId="0" borderId="0" applyProtection="0"/>
    <xf numFmtId="0" fontId="3" fillId="0" borderId="0" applyProtection="0"/>
    <xf numFmtId="3" fontId="20" fillId="0" borderId="0" applyProtection="0"/>
    <xf numFmtId="0" fontId="20" fillId="0" borderId="0" applyProtection="0"/>
    <xf numFmtId="0" fontId="84" fillId="0" borderId="0" applyProtection="0"/>
    <xf numFmtId="0" fontId="108" fillId="2" borderId="0" applyProtection="0"/>
    <xf numFmtId="14" fontId="77" fillId="0" borderId="0">
      <alignment horizontal="center" wrapText="1"/>
      <protection locked="0"/>
    </xf>
    <xf numFmtId="189" fontId="20" fillId="0" borderId="0" applyProtection="0"/>
    <xf numFmtId="204" fontId="20" fillId="0" borderId="0" applyProtection="0"/>
    <xf numFmtId="10" fontId="20" fillId="0" borderId="0" applyProtection="0"/>
    <xf numFmtId="9" fontId="20" fillId="0" borderId="0" applyProtection="0"/>
    <xf numFmtId="9" fontId="20" fillId="0" borderId="0" applyProtection="0"/>
    <xf numFmtId="9" fontId="20" fillId="0" borderId="0" applyFont="0" applyFill="0" applyBorder="0" applyAlignment="0" applyProtection="0"/>
    <xf numFmtId="0" fontId="102" fillId="0" borderId="0" applyProtection="0"/>
    <xf numFmtId="44" fontId="81" fillId="0" borderId="0" applyProtection="0"/>
    <xf numFmtId="186" fontId="81" fillId="0" borderId="0" applyProtection="0"/>
    <xf numFmtId="44" fontId="81" fillId="0" borderId="0" applyProtection="0"/>
    <xf numFmtId="190" fontId="82" fillId="0" borderId="0" applyProtection="0"/>
    <xf numFmtId="186" fontId="81" fillId="0" borderId="0" applyProtection="0"/>
    <xf numFmtId="5" fontId="109" fillId="0" borderId="0" applyProtection="0"/>
    <xf numFmtId="0" fontId="20" fillId="0" borderId="0" applyProtection="0"/>
    <xf numFmtId="0" fontId="110" fillId="0" borderId="41" applyProtection="0">
      <alignment horizontal="center"/>
    </xf>
    <xf numFmtId="3" fontId="111" fillId="0" borderId="43" applyProtection="0">
      <alignment horizontal="center" vertical="top" wrapText="1"/>
    </xf>
    <xf numFmtId="0" fontId="20" fillId="0" borderId="0" applyProtection="0"/>
    <xf numFmtId="41" fontId="20" fillId="0" borderId="0" applyProtection="0"/>
    <xf numFmtId="41" fontId="20" fillId="0" borderId="0" applyProtection="0"/>
    <xf numFmtId="41" fontId="20" fillId="0" borderId="0" applyProtection="0"/>
    <xf numFmtId="42" fontId="20" fillId="0" borderId="0" applyProtection="0"/>
    <xf numFmtId="0" fontId="103" fillId="0" borderId="0" applyProtection="0"/>
    <xf numFmtId="40" fontId="112" fillId="0" borderId="0" applyProtection="0">
      <alignment horizontal="right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5" fontId="113" fillId="0" borderId="18" applyProtection="0">
      <alignment horizontal="right" vertical="center"/>
    </xf>
    <xf numFmtId="206" fontId="114" fillId="0" borderId="18" applyProtection="0">
      <alignment horizontal="right" vertical="center"/>
    </xf>
    <xf numFmtId="206" fontId="114" fillId="0" borderId="18" applyProtection="0">
      <alignment horizontal="right" vertical="center"/>
    </xf>
    <xf numFmtId="49" fontId="88" fillId="0" borderId="0" applyProtection="0"/>
    <xf numFmtId="207" fontId="82" fillId="0" borderId="0" applyProtection="0"/>
    <xf numFmtId="208" fontId="102" fillId="0" borderId="0" applyProtection="0"/>
    <xf numFmtId="40" fontId="65" fillId="0" borderId="0" applyProtection="0"/>
    <xf numFmtId="177" fontId="20" fillId="0" borderId="0" applyProtection="0"/>
    <xf numFmtId="178" fontId="20" fillId="0" borderId="0" applyProtection="0"/>
    <xf numFmtId="209" fontId="113" fillId="0" borderId="18" applyProtection="0">
      <alignment horizontal="center"/>
    </xf>
    <xf numFmtId="209" fontId="113" fillId="0" borderId="18" applyProtection="0">
      <alignment horizontal="center"/>
    </xf>
    <xf numFmtId="0" fontId="115" fillId="0" borderId="44" applyProtection="0"/>
    <xf numFmtId="0" fontId="116" fillId="0" borderId="0" applyProtection="0"/>
    <xf numFmtId="179" fontId="20" fillId="0" borderId="0" applyProtection="0"/>
    <xf numFmtId="180" fontId="20" fillId="0" borderId="0" applyProtection="0"/>
    <xf numFmtId="210" fontId="113" fillId="0" borderId="0" applyProtection="0"/>
    <xf numFmtId="211" fontId="113" fillId="0" borderId="3" applyProtection="0"/>
    <xf numFmtId="211" fontId="113" fillId="0" borderId="3" applyProtection="0"/>
    <xf numFmtId="0" fontId="117" fillId="0" borderId="0" applyProtection="0"/>
    <xf numFmtId="0" fontId="117" fillId="0" borderId="0" applyProtection="0"/>
    <xf numFmtId="5" fontId="118" fillId="32" borderId="25" applyProtection="0">
      <alignment vertical="top"/>
    </xf>
    <xf numFmtId="5" fontId="118" fillId="32" borderId="25" applyProtection="0">
      <alignment vertical="top"/>
    </xf>
    <xf numFmtId="5" fontId="119" fillId="0" borderId="26" applyProtection="0">
      <alignment horizontal="left" vertical="top"/>
    </xf>
    <xf numFmtId="0" fontId="120" fillId="0" borderId="26" applyProtection="0">
      <alignment horizontal="left" vertical="center"/>
    </xf>
    <xf numFmtId="0" fontId="121" fillId="34" borderId="3" applyProtection="0">
      <alignment horizontal="left" vertical="center"/>
    </xf>
    <xf numFmtId="0" fontId="121" fillId="34" borderId="3" applyProtection="0">
      <alignment horizontal="left" vertical="center"/>
    </xf>
    <xf numFmtId="6" fontId="122" fillId="31" borderId="25" applyProtection="0"/>
    <xf numFmtId="6" fontId="122" fillId="31" borderId="25" applyProtection="0"/>
    <xf numFmtId="5" fontId="101" fillId="0" borderId="25" applyProtection="0">
      <alignment horizontal="left" vertical="top"/>
    </xf>
    <xf numFmtId="5" fontId="101" fillId="0" borderId="25" applyProtection="0">
      <alignment horizontal="left" vertical="top"/>
    </xf>
    <xf numFmtId="0" fontId="123" fillId="2" borderId="0" applyProtection="0">
      <alignment horizontal="left" vertical="center"/>
    </xf>
    <xf numFmtId="212" fontId="20" fillId="0" borderId="0" applyProtection="0"/>
    <xf numFmtId="213" fontId="20" fillId="0" borderId="0" applyProtection="0"/>
    <xf numFmtId="0" fontId="124" fillId="0" borderId="0" applyProtection="0"/>
    <xf numFmtId="0" fontId="125" fillId="0" borderId="0" applyProtection="0">
      <alignment vertical="center"/>
    </xf>
    <xf numFmtId="42" fontId="20" fillId="0" borderId="0" applyProtection="0"/>
    <xf numFmtId="44" fontId="20" fillId="0" borderId="0" applyProtection="0"/>
    <xf numFmtId="0" fontId="126" fillId="0" borderId="0" applyProtection="0"/>
    <xf numFmtId="0" fontId="20" fillId="0" borderId="0" applyProtection="0"/>
    <xf numFmtId="0" fontId="20" fillId="0" borderId="0" applyProtection="0"/>
    <xf numFmtId="0" fontId="66" fillId="0" borderId="0" applyProtection="0">
      <alignment vertical="center"/>
    </xf>
    <xf numFmtId="9" fontId="20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81" fillId="0" borderId="0" applyProtection="0"/>
    <xf numFmtId="0" fontId="20" fillId="0" borderId="0" applyProtection="0"/>
    <xf numFmtId="0" fontId="20" fillId="0" borderId="0" applyProtection="0"/>
    <xf numFmtId="181" fontId="20" fillId="0" borderId="0" applyProtection="0"/>
    <xf numFmtId="182" fontId="20" fillId="0" borderId="0" applyProtection="0"/>
    <xf numFmtId="0" fontId="80" fillId="0" borderId="0" applyProtection="0"/>
    <xf numFmtId="177" fontId="20" fillId="0" borderId="0" applyProtection="0"/>
    <xf numFmtId="178" fontId="20" fillId="0" borderId="0" applyProtection="0"/>
    <xf numFmtId="0" fontId="20" fillId="0" borderId="0" applyProtection="0"/>
    <xf numFmtId="184" fontId="20" fillId="0" borderId="0" applyProtection="0"/>
    <xf numFmtId="183" fontId="20" fillId="0" borderId="0" applyProtection="0"/>
    <xf numFmtId="0" fontId="127" fillId="0" borderId="0" applyProtection="0"/>
    <xf numFmtId="176" fontId="20" fillId="0" borderId="0" applyProtection="0"/>
    <xf numFmtId="214" fontId="20" fillId="0" borderId="0" applyProtection="0"/>
    <xf numFmtId="215" fontId="20" fillId="0" borderId="0" applyProtection="0"/>
    <xf numFmtId="44" fontId="20" fillId="0" borderId="0" applyProtection="0"/>
    <xf numFmtId="42" fontId="20" fillId="0" borderId="0" applyProtection="0"/>
    <xf numFmtId="0" fontId="144" fillId="0" borderId="0"/>
    <xf numFmtId="164" fontId="20" fillId="0" borderId="0" applyFont="0" applyFill="0" applyBorder="0" applyAlignment="0" applyProtection="0"/>
    <xf numFmtId="164" fontId="147" fillId="0" borderId="0" applyFont="0" applyFill="0" applyBorder="0" applyAlignment="0" applyProtection="0"/>
    <xf numFmtId="0" fontId="147" fillId="0" borderId="0"/>
    <xf numFmtId="0" fontId="1" fillId="0" borderId="0"/>
    <xf numFmtId="164" fontId="1" fillId="0" borderId="0" applyFont="0" applyFill="0" applyBorder="0" applyAlignment="0" applyProtection="0"/>
  </cellStyleXfs>
  <cellXfs count="361">
    <xf numFmtId="0" fontId="0" fillId="0" borderId="0" xfId="0"/>
    <xf numFmtId="0" fontId="5" fillId="2" borderId="0" xfId="2" applyFont="1" applyFill="1" applyAlignment="1">
      <alignment vertical="top"/>
    </xf>
    <xf numFmtId="0" fontId="6" fillId="2" borderId="0" xfId="2" applyFont="1" applyFill="1" applyAlignment="1">
      <alignment vertical="top"/>
    </xf>
    <xf numFmtId="9" fontId="6" fillId="2" borderId="0" xfId="3" applyFont="1" applyFill="1" applyBorder="1" applyAlignment="1">
      <alignment horizontal="center" wrapText="1"/>
    </xf>
    <xf numFmtId="165" fontId="7" fillId="2" borderId="0" xfId="4" applyNumberFormat="1" applyFont="1" applyFill="1"/>
    <xf numFmtId="9" fontId="7" fillId="2" borderId="0" xfId="1" applyFont="1" applyFill="1"/>
    <xf numFmtId="0" fontId="7" fillId="2" borderId="0" xfId="2" applyFont="1" applyFill="1" applyAlignment="1">
      <alignment vertical="top"/>
    </xf>
    <xf numFmtId="9" fontId="7" fillId="2" borderId="0" xfId="1" applyFont="1" applyFill="1" applyAlignment="1">
      <alignment vertical="top"/>
    </xf>
    <xf numFmtId="0" fontId="8" fillId="2" borderId="0" xfId="2" applyFont="1" applyFill="1" applyAlignment="1">
      <alignment vertical="top"/>
    </xf>
    <xf numFmtId="0" fontId="11" fillId="2" borderId="0" xfId="2" applyFont="1" applyFill="1" applyAlignment="1">
      <alignment vertical="top"/>
    </xf>
    <xf numFmtId="0" fontId="9" fillId="3" borderId="3" xfId="2" applyFont="1" applyFill="1" applyBorder="1" applyAlignment="1">
      <alignment vertical="center" wrapText="1"/>
    </xf>
    <xf numFmtId="0" fontId="9" fillId="3" borderId="3" xfId="2" applyFont="1" applyFill="1" applyBorder="1" applyAlignment="1">
      <alignment horizontal="center" vertical="center" wrapText="1"/>
    </xf>
    <xf numFmtId="9" fontId="9" fillId="3" borderId="3" xfId="1" applyFont="1" applyFill="1" applyBorder="1" applyAlignment="1">
      <alignment horizontal="center" vertical="center" wrapText="1"/>
    </xf>
    <xf numFmtId="9" fontId="13" fillId="2" borderId="3" xfId="1" applyFont="1" applyFill="1" applyBorder="1" applyAlignment="1">
      <alignment horizontal="center" wrapText="1"/>
    </xf>
    <xf numFmtId="165" fontId="13" fillId="2" borderId="5" xfId="4" applyNumberFormat="1" applyFont="1" applyFill="1" applyBorder="1" applyAlignment="1">
      <alignment horizontal="center" wrapText="1"/>
    </xf>
    <xf numFmtId="0" fontId="14" fillId="2" borderId="0" xfId="2" applyFont="1" applyFill="1" applyAlignment="1">
      <alignment vertical="top"/>
    </xf>
    <xf numFmtId="165" fontId="17" fillId="2" borderId="0" xfId="4" applyNumberFormat="1" applyFont="1" applyFill="1"/>
    <xf numFmtId="9" fontId="17" fillId="2" borderId="0" xfId="1" applyFont="1" applyFill="1"/>
    <xf numFmtId="0" fontId="9" fillId="2" borderId="0" xfId="2" applyFont="1" applyFill="1" applyAlignment="1">
      <alignment horizontal="center"/>
    </xf>
    <xf numFmtId="0" fontId="18" fillId="2" borderId="0" xfId="2" applyFont="1" applyFill="1" applyAlignment="1">
      <alignment horizontal="center" vertical="top"/>
    </xf>
    <xf numFmtId="9" fontId="18" fillId="2" borderId="0" xfId="1" applyFont="1" applyFill="1" applyAlignment="1">
      <alignment horizontal="center" vertical="top"/>
    </xf>
    <xf numFmtId="0" fontId="9" fillId="2" borderId="0" xfId="2" applyFont="1" applyFill="1" applyAlignment="1">
      <alignment horizontal="center" vertical="top"/>
    </xf>
    <xf numFmtId="0" fontId="9" fillId="2" borderId="0" xfId="2" applyFont="1" applyFill="1" applyAlignment="1">
      <alignment vertical="top"/>
    </xf>
    <xf numFmtId="0" fontId="19" fillId="2" borderId="0" xfId="2" applyFont="1" applyFill="1" applyAlignment="1">
      <alignment vertical="top"/>
    </xf>
    <xf numFmtId="0" fontId="18" fillId="2" borderId="0" xfId="2" applyFont="1" applyFill="1" applyAlignment="1">
      <alignment horizontal="left" vertical="center"/>
    </xf>
    <xf numFmtId="9" fontId="18" fillId="2" borderId="0" xfId="1" applyFont="1" applyFill="1" applyAlignment="1">
      <alignment horizontal="left" vertical="center"/>
    </xf>
    <xf numFmtId="165" fontId="17" fillId="2" borderId="0" xfId="4" applyNumberFormat="1" applyFont="1" applyFill="1" applyAlignment="1">
      <alignment horizontal="left" vertical="center"/>
    </xf>
    <xf numFmtId="0" fontId="19" fillId="2" borderId="0" xfId="2" applyFont="1" applyFill="1" applyAlignment="1">
      <alignment horizontal="left" vertical="center"/>
    </xf>
    <xf numFmtId="0" fontId="23" fillId="2" borderId="0" xfId="2" applyFont="1" applyFill="1" applyAlignment="1"/>
    <xf numFmtId="0" fontId="9" fillId="3" borderId="7" xfId="2" applyFont="1" applyFill="1" applyBorder="1" applyAlignment="1">
      <alignment horizontal="center" vertical="center" wrapText="1"/>
    </xf>
    <xf numFmtId="0" fontId="16" fillId="2" borderId="0" xfId="2" applyFont="1" applyFill="1" applyAlignment="1"/>
    <xf numFmtId="0" fontId="4" fillId="2" borderId="0" xfId="2" applyFont="1" applyFill="1" applyBorder="1" applyAlignment="1">
      <alignment vertical="top"/>
    </xf>
    <xf numFmtId="165" fontId="15" fillId="4" borderId="6" xfId="4" applyNumberFormat="1" applyFont="1" applyFill="1" applyBorder="1" applyAlignment="1">
      <alignment horizontal="center" wrapText="1"/>
    </xf>
    <xf numFmtId="9" fontId="15" fillId="4" borderId="6" xfId="1" applyFont="1" applyFill="1" applyBorder="1" applyAlignment="1">
      <alignment horizontal="center" wrapText="1"/>
    </xf>
    <xf numFmtId="165" fontId="15" fillId="4" borderId="8" xfId="4" applyNumberFormat="1" applyFont="1" applyFill="1" applyBorder="1" applyAlignment="1">
      <alignment horizontal="center" wrapText="1"/>
    </xf>
    <xf numFmtId="0" fontId="9" fillId="2" borderId="0" xfId="2" applyFont="1" applyFill="1" applyAlignment="1">
      <alignment horizontal="center" vertical="center"/>
    </xf>
    <xf numFmtId="0" fontId="16" fillId="0" borderId="0" xfId="2" applyFont="1" applyFill="1" applyAlignment="1"/>
    <xf numFmtId="165" fontId="15" fillId="0" borderId="3" xfId="4" applyNumberFormat="1" applyFont="1" applyFill="1" applyBorder="1" applyAlignment="1">
      <alignment horizontal="center" wrapText="1"/>
    </xf>
    <xf numFmtId="9" fontId="15" fillId="0" borderId="3" xfId="1" applyFont="1" applyFill="1" applyBorder="1" applyAlignment="1">
      <alignment horizontal="center" wrapText="1"/>
    </xf>
    <xf numFmtId="165" fontId="24" fillId="4" borderId="6" xfId="4" applyNumberFormat="1" applyFont="1" applyFill="1" applyBorder="1" applyAlignment="1"/>
    <xf numFmtId="0" fontId="19" fillId="0" borderId="0" xfId="2" applyFont="1" applyFill="1" applyBorder="1" applyAlignment="1">
      <alignment vertical="top"/>
    </xf>
    <xf numFmtId="0" fontId="18" fillId="0" borderId="0" xfId="2" applyFont="1" applyFill="1" applyBorder="1" applyAlignment="1">
      <alignment horizontal="center" vertical="top"/>
    </xf>
    <xf numFmtId="14" fontId="7" fillId="2" borderId="0" xfId="1" applyNumberFormat="1" applyFont="1" applyFill="1"/>
    <xf numFmtId="0" fontId="9" fillId="3" borderId="3" xfId="2" applyFont="1" applyFill="1" applyBorder="1" applyAlignment="1">
      <alignment horizontal="center" vertical="center" wrapText="1"/>
    </xf>
    <xf numFmtId="165" fontId="13" fillId="0" borderId="3" xfId="4" applyNumberFormat="1" applyFont="1" applyFill="1" applyBorder="1" applyAlignment="1">
      <alignment horizontal="center" wrapText="1"/>
    </xf>
    <xf numFmtId="0" fontId="9" fillId="3" borderId="18" xfId="2" applyFont="1" applyFill="1" applyBorder="1" applyAlignment="1">
      <alignment horizontal="center" vertical="center" wrapText="1"/>
    </xf>
    <xf numFmtId="165" fontId="15" fillId="4" borderId="16" xfId="4" applyNumberFormat="1" applyFont="1" applyFill="1" applyBorder="1" applyAlignment="1">
      <alignment horizontal="center" wrapText="1"/>
    </xf>
    <xf numFmtId="165" fontId="13" fillId="2" borderId="19" xfId="4" applyNumberFormat="1" applyFont="1" applyFill="1" applyBorder="1" applyAlignment="1">
      <alignment horizontal="center" wrapText="1"/>
    </xf>
    <xf numFmtId="165" fontId="15" fillId="4" borderId="20" xfId="4" applyNumberFormat="1" applyFont="1" applyFill="1" applyBorder="1" applyAlignment="1">
      <alignment horizontal="center" wrapText="1"/>
    </xf>
    <xf numFmtId="0" fontId="9" fillId="3" borderId="21" xfId="2" applyFont="1" applyFill="1" applyBorder="1" applyAlignment="1">
      <alignment vertical="center" wrapText="1"/>
    </xf>
    <xf numFmtId="165" fontId="13" fillId="2" borderId="21" xfId="4" applyNumberFormat="1" applyFont="1" applyFill="1" applyBorder="1" applyAlignment="1">
      <alignment horizontal="center" wrapText="1"/>
    </xf>
    <xf numFmtId="165" fontId="15" fillId="4" borderId="10" xfId="4" applyNumberFormat="1" applyFont="1" applyFill="1" applyBorder="1" applyAlignment="1">
      <alignment horizontal="center" wrapText="1"/>
    </xf>
    <xf numFmtId="0" fontId="25" fillId="4" borderId="16" xfId="0" applyFont="1" applyFill="1" applyBorder="1" applyAlignment="1"/>
    <xf numFmtId="0" fontId="9" fillId="3" borderId="22" xfId="2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27" fillId="0" borderId="3" xfId="32" applyFont="1" applyBorder="1" applyAlignment="1">
      <alignment horizontal="center" vertical="center" wrapText="1"/>
    </xf>
    <xf numFmtId="0" fontId="28" fillId="0" borderId="3" xfId="32" applyFont="1" applyFill="1" applyBorder="1" applyAlignment="1">
      <alignment vertical="center"/>
    </xf>
    <xf numFmtId="0" fontId="28" fillId="0" borderId="3" xfId="32" applyFont="1" applyFill="1" applyBorder="1" applyAlignment="1">
      <alignment wrapText="1"/>
    </xf>
    <xf numFmtId="0" fontId="28" fillId="0" borderId="3" xfId="32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left" vertical="center" wrapText="1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wrapText="1"/>
    </xf>
    <xf numFmtId="0" fontId="28" fillId="0" borderId="3" xfId="0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8" fillId="4" borderId="3" xfId="32" applyFont="1" applyFill="1" applyBorder="1" applyAlignment="1">
      <alignment vertical="center"/>
    </xf>
    <xf numFmtId="0" fontId="28" fillId="4" borderId="0" xfId="0" applyFont="1" applyFill="1" applyAlignment="1">
      <alignment wrapText="1"/>
    </xf>
    <xf numFmtId="0" fontId="28" fillId="0" borderId="3" xfId="33" applyFont="1" applyFill="1" applyBorder="1" applyAlignment="1">
      <alignment wrapText="1"/>
    </xf>
    <xf numFmtId="0" fontId="28" fillId="0" borderId="3" xfId="33" applyFont="1" applyFill="1" applyBorder="1" applyAlignment="1">
      <alignment horizontal="center" vertical="center" wrapText="1"/>
    </xf>
    <xf numFmtId="0" fontId="28" fillId="0" borderId="3" xfId="33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8" fillId="0" borderId="3" xfId="34" applyFont="1" applyFill="1" applyBorder="1" applyAlignment="1">
      <alignment wrapText="1"/>
    </xf>
    <xf numFmtId="0" fontId="28" fillId="0" borderId="3" xfId="34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8" fillId="4" borderId="3" xfId="0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/>
    </xf>
    <xf numFmtId="0" fontId="28" fillId="4" borderId="3" xfId="0" applyFont="1" applyFill="1" applyBorder="1" applyAlignment="1">
      <alignment vertical="center"/>
    </xf>
    <xf numFmtId="0" fontId="28" fillId="4" borderId="3" xfId="32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9" fontId="13" fillId="2" borderId="3" xfId="1" applyNumberFormat="1" applyFont="1" applyFill="1" applyBorder="1" applyAlignment="1">
      <alignment horizontal="center" wrapText="1"/>
    </xf>
    <xf numFmtId="9" fontId="15" fillId="0" borderId="3" xfId="1" applyNumberFormat="1" applyFont="1" applyFill="1" applyBorder="1" applyAlignment="1">
      <alignment horizontal="center" wrapText="1"/>
    </xf>
    <xf numFmtId="0" fontId="9" fillId="3" borderId="3" xfId="2" applyFont="1" applyFill="1" applyBorder="1" applyAlignment="1">
      <alignment horizontal="center" vertical="center" wrapText="1"/>
    </xf>
    <xf numFmtId="165" fontId="18" fillId="2" borderId="0" xfId="2" applyNumberFormat="1" applyFont="1" applyFill="1" applyAlignment="1">
      <alignment horizontal="center" vertical="top"/>
    </xf>
    <xf numFmtId="0" fontId="23" fillId="2" borderId="0" xfId="2" quotePrefix="1" applyFont="1" applyFill="1" applyAlignment="1"/>
    <xf numFmtId="165" fontId="18" fillId="2" borderId="0" xfId="2" applyNumberFormat="1" applyFont="1" applyFill="1" applyAlignment="1">
      <alignment horizontal="left" vertical="center"/>
    </xf>
    <xf numFmtId="0" fontId="9" fillId="3" borderId="3" xfId="2" applyFont="1" applyFill="1" applyBorder="1" applyAlignment="1">
      <alignment horizontal="center" vertical="center" wrapText="1"/>
    </xf>
    <xf numFmtId="0" fontId="9" fillId="3" borderId="19" xfId="2" applyFont="1" applyFill="1" applyBorder="1" applyAlignment="1">
      <alignment horizontal="center" vertical="center" wrapText="1"/>
    </xf>
    <xf numFmtId="165" fontId="15" fillId="4" borderId="35" xfId="4" applyNumberFormat="1" applyFont="1" applyFill="1" applyBorder="1" applyAlignment="1">
      <alignment horizontal="center" wrapText="1"/>
    </xf>
    <xf numFmtId="9" fontId="9" fillId="3" borderId="18" xfId="1" applyFont="1" applyFill="1" applyBorder="1" applyAlignment="1">
      <alignment horizontal="center" vertical="center" wrapText="1"/>
    </xf>
    <xf numFmtId="9" fontId="13" fillId="2" borderId="18" xfId="1" applyFont="1" applyFill="1" applyBorder="1" applyAlignment="1">
      <alignment horizontal="center" wrapText="1"/>
    </xf>
    <xf numFmtId="9" fontId="15" fillId="4" borderId="16" xfId="1" applyFont="1" applyFill="1" applyBorder="1" applyAlignment="1">
      <alignment horizontal="center" wrapText="1"/>
    </xf>
    <xf numFmtId="165" fontId="15" fillId="4" borderId="36" xfId="4" applyNumberFormat="1" applyFont="1" applyFill="1" applyBorder="1" applyAlignment="1">
      <alignment horizontal="center" wrapText="1"/>
    </xf>
    <xf numFmtId="165" fontId="17" fillId="2" borderId="0" xfId="1" applyNumberFormat="1" applyFont="1" applyFill="1"/>
    <xf numFmtId="0" fontId="9" fillId="3" borderId="3" xfId="2" applyFont="1" applyFill="1" applyBorder="1" applyAlignment="1">
      <alignment horizontal="center" vertical="center" wrapText="1"/>
    </xf>
    <xf numFmtId="165" fontId="15" fillId="4" borderId="17" xfId="4" applyNumberFormat="1" applyFont="1" applyFill="1" applyBorder="1" applyAlignment="1">
      <alignment horizontal="center" wrapText="1"/>
    </xf>
    <xf numFmtId="165" fontId="7" fillId="2" borderId="0" xfId="2" applyNumberFormat="1" applyFont="1" applyFill="1" applyAlignment="1">
      <alignment vertical="top"/>
    </xf>
    <xf numFmtId="165" fontId="54" fillId="0" borderId="3" xfId="4" applyNumberFormat="1" applyFont="1" applyFill="1" applyBorder="1" applyAlignment="1">
      <alignment horizontal="center" wrapText="1"/>
    </xf>
    <xf numFmtId="9" fontId="15" fillId="27" borderId="3" xfId="1" applyFont="1" applyFill="1" applyBorder="1" applyAlignment="1">
      <alignment horizontal="center" wrapText="1"/>
    </xf>
    <xf numFmtId="165" fontId="15" fillId="27" borderId="3" xfId="4" applyNumberFormat="1" applyFont="1" applyFill="1" applyBorder="1" applyAlignment="1">
      <alignment horizontal="center" wrapText="1"/>
    </xf>
    <xf numFmtId="9" fontId="15" fillId="27" borderId="3" xfId="1" applyNumberFormat="1" applyFont="1" applyFill="1" applyBorder="1" applyAlignment="1">
      <alignment horizontal="center" wrapText="1"/>
    </xf>
    <xf numFmtId="165" fontId="54" fillId="27" borderId="3" xfId="4" applyNumberFormat="1" applyFont="1" applyFill="1" applyBorder="1" applyAlignment="1">
      <alignment horizontal="center" wrapText="1"/>
    </xf>
    <xf numFmtId="0" fontId="59" fillId="0" borderId="0" xfId="2" applyFont="1" applyFill="1" applyAlignment="1"/>
    <xf numFmtId="0" fontId="60" fillId="2" borderId="0" xfId="2" applyFont="1" applyFill="1" applyAlignment="1">
      <alignment horizontal="center" vertical="top"/>
    </xf>
    <xf numFmtId="165" fontId="60" fillId="2" borderId="0" xfId="2" applyNumberFormat="1" applyFont="1" applyFill="1" applyAlignment="1">
      <alignment horizontal="center" vertical="top"/>
    </xf>
    <xf numFmtId="9" fontId="60" fillId="2" borderId="0" xfId="1" applyFont="1" applyFill="1" applyAlignment="1">
      <alignment horizontal="center" vertical="top"/>
    </xf>
    <xf numFmtId="165" fontId="0" fillId="0" borderId="0" xfId="0" applyNumberFormat="1"/>
    <xf numFmtId="165" fontId="54" fillId="0" borderId="0" xfId="4" applyNumberFormat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/>
    <xf numFmtId="0" fontId="56" fillId="0" borderId="0" xfId="0" applyFont="1" applyFill="1" applyBorder="1" applyAlignment="1"/>
    <xf numFmtId="9" fontId="54" fillId="0" borderId="0" xfId="1" applyFont="1" applyFill="1" applyBorder="1" applyAlignment="1">
      <alignment horizontal="center" wrapText="1"/>
    </xf>
    <xf numFmtId="165" fontId="58" fillId="0" borderId="0" xfId="4" applyNumberFormat="1" applyFont="1" applyFill="1" applyBorder="1" applyAlignment="1">
      <alignment horizontal="center" wrapText="1"/>
    </xf>
    <xf numFmtId="0" fontId="16" fillId="0" borderId="0" xfId="2" applyFont="1" applyFill="1" applyAlignment="1">
      <alignment wrapText="1"/>
    </xf>
    <xf numFmtId="165" fontId="10" fillId="2" borderId="0" xfId="2" applyNumberFormat="1" applyFont="1" applyFill="1" applyAlignment="1">
      <alignment vertical="top"/>
    </xf>
    <xf numFmtId="165" fontId="6" fillId="2" borderId="0" xfId="2" applyNumberFormat="1" applyFont="1" applyFill="1" applyAlignment="1">
      <alignment vertical="top"/>
    </xf>
    <xf numFmtId="0" fontId="62" fillId="2" borderId="0" xfId="2" applyFont="1" applyFill="1" applyAlignment="1">
      <alignment vertical="top"/>
    </xf>
    <xf numFmtId="43" fontId="54" fillId="0" borderId="0" xfId="31" applyFont="1" applyFill="1" applyBorder="1" applyAlignment="1">
      <alignment horizontal="center" wrapText="1"/>
    </xf>
    <xf numFmtId="43" fontId="5" fillId="2" borderId="0" xfId="31" applyFont="1" applyFill="1"/>
    <xf numFmtId="175" fontId="9" fillId="2" borderId="0" xfId="31" applyNumberFormat="1" applyFont="1" applyFill="1"/>
    <xf numFmtId="165" fontId="24" fillId="4" borderId="16" xfId="4" applyNumberFormat="1" applyFont="1" applyFill="1" applyBorder="1" applyAlignment="1"/>
    <xf numFmtId="0" fontId="63" fillId="2" borderId="3" xfId="0" applyFont="1" applyFill="1" applyBorder="1" applyAlignment="1">
      <alignment vertical="center" wrapText="1"/>
    </xf>
    <xf numFmtId="0" fontId="64" fillId="0" borderId="0" xfId="2" applyFont="1" applyFill="1" applyAlignment="1"/>
    <xf numFmtId="9" fontId="4" fillId="2" borderId="0" xfId="1" applyFont="1" applyFill="1" applyBorder="1" applyAlignment="1">
      <alignment vertical="top"/>
    </xf>
    <xf numFmtId="9" fontId="11" fillId="2" borderId="0" xfId="1" applyFont="1" applyFill="1" applyAlignment="1">
      <alignment vertical="top"/>
    </xf>
    <xf numFmtId="9" fontId="16" fillId="2" borderId="0" xfId="1" applyFont="1" applyFill="1" applyAlignment="1"/>
    <xf numFmtId="9" fontId="5" fillId="2" borderId="0" xfId="1" applyFont="1" applyFill="1"/>
    <xf numFmtId="9" fontId="61" fillId="2" borderId="0" xfId="1" applyFont="1" applyFill="1"/>
    <xf numFmtId="165" fontId="54" fillId="0" borderId="0" xfId="1" applyNumberFormat="1" applyFont="1" applyFill="1" applyBorder="1" applyAlignment="1">
      <alignment horizontal="center" wrapText="1"/>
    </xf>
    <xf numFmtId="0" fontId="128" fillId="0" borderId="18" xfId="0" applyFont="1" applyFill="1" applyBorder="1" applyAlignment="1">
      <alignment vertical="center"/>
    </xf>
    <xf numFmtId="0" fontId="128" fillId="0" borderId="18" xfId="0" applyFont="1" applyBorder="1" applyAlignment="1">
      <alignment vertical="center"/>
    </xf>
    <xf numFmtId="165" fontId="129" fillId="2" borderId="0" xfId="2" applyNumberFormat="1" applyFont="1" applyFill="1" applyBorder="1" applyAlignment="1">
      <alignment vertical="top"/>
    </xf>
    <xf numFmtId="165" fontId="129" fillId="2" borderId="0" xfId="4" applyNumberFormat="1" applyFont="1" applyFill="1"/>
    <xf numFmtId="0" fontId="0" fillId="0" borderId="3" xfId="0" applyBorder="1"/>
    <xf numFmtId="165" fontId="0" fillId="0" borderId="3" xfId="31" applyNumberFormat="1" applyFont="1" applyBorder="1"/>
    <xf numFmtId="165" fontId="130" fillId="2" borderId="0" xfId="31" applyNumberFormat="1" applyFont="1" applyFill="1" applyAlignment="1">
      <alignment vertical="top"/>
    </xf>
    <xf numFmtId="165" fontId="131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>
      <alignment vertical="top"/>
    </xf>
    <xf numFmtId="165" fontId="133" fillId="2" borderId="0" xfId="31" applyNumberFormat="1" applyFont="1" applyFill="1" applyAlignment="1">
      <alignment vertical="top"/>
    </xf>
    <xf numFmtId="165" fontId="132" fillId="2" borderId="0" xfId="31" applyNumberFormat="1" applyFont="1" applyFill="1" applyAlignment="1"/>
    <xf numFmtId="165" fontId="131" fillId="2" borderId="0" xfId="31" applyNumberFormat="1" applyFont="1" applyFill="1" applyAlignment="1">
      <alignment horizontal="center" vertical="top"/>
    </xf>
    <xf numFmtId="165" fontId="134" fillId="2" borderId="0" xfId="31" applyNumberFormat="1" applyFont="1" applyFill="1" applyAlignment="1">
      <alignment horizontal="center" vertical="top"/>
    </xf>
    <xf numFmtId="165" fontId="130" fillId="3" borderId="7" xfId="31" applyNumberFormat="1" applyFont="1" applyFill="1" applyBorder="1" applyAlignment="1">
      <alignment horizontal="center" vertical="center" wrapText="1"/>
    </xf>
    <xf numFmtId="165" fontId="136" fillId="0" borderId="0" xfId="31" applyNumberFormat="1" applyFont="1" applyFill="1" applyBorder="1" applyAlignment="1">
      <alignment horizontal="center" wrapText="1"/>
    </xf>
    <xf numFmtId="165" fontId="137" fillId="0" borderId="0" xfId="31" applyNumberFormat="1" applyFont="1"/>
    <xf numFmtId="165" fontId="131" fillId="2" borderId="0" xfId="31" applyNumberFormat="1" applyFont="1" applyFill="1" applyAlignment="1">
      <alignment horizontal="left" vertical="center"/>
    </xf>
    <xf numFmtId="165" fontId="133" fillId="2" borderId="0" xfId="31" applyNumberFormat="1" applyFont="1" applyFill="1" applyAlignment="1">
      <alignment horizontal="left" vertical="center"/>
    </xf>
    <xf numFmtId="165" fontId="134" fillId="2" borderId="0" xfId="31" applyNumberFormat="1" applyFont="1" applyFill="1" applyAlignment="1">
      <alignment vertical="top"/>
    </xf>
    <xf numFmtId="9" fontId="134" fillId="2" borderId="0" xfId="1" applyFont="1" applyFill="1" applyAlignment="1">
      <alignment vertical="top"/>
    </xf>
    <xf numFmtId="43" fontId="134" fillId="2" borderId="0" xfId="31" applyNumberFormat="1" applyFont="1" applyFill="1" applyAlignment="1">
      <alignment vertical="top"/>
    </xf>
    <xf numFmtId="0" fontId="138" fillId="2" borderId="0" xfId="2" applyFont="1" applyFill="1" applyAlignment="1">
      <alignment horizontal="center" vertical="center"/>
    </xf>
    <xf numFmtId="0" fontId="138" fillId="2" borderId="0" xfId="2" applyFont="1" applyFill="1" applyAlignment="1">
      <alignment horizontal="center"/>
    </xf>
    <xf numFmtId="165" fontId="54" fillId="35" borderId="6" xfId="4" applyNumberFormat="1" applyFont="1" applyFill="1" applyBorder="1" applyAlignment="1">
      <alignment horizontal="center" wrapText="1"/>
    </xf>
    <xf numFmtId="165" fontId="54" fillId="35" borderId="20" xfId="4" applyNumberFormat="1" applyFont="1" applyFill="1" applyBorder="1" applyAlignment="1">
      <alignment horizontal="center" wrapText="1"/>
    </xf>
    <xf numFmtId="165" fontId="54" fillId="35" borderId="16" xfId="4" applyNumberFormat="1" applyFont="1" applyFill="1" applyBorder="1" applyAlignment="1">
      <alignment horizontal="center" wrapText="1"/>
    </xf>
    <xf numFmtId="165" fontId="54" fillId="35" borderId="10" xfId="4" applyNumberFormat="1" applyFont="1" applyFill="1" applyBorder="1" applyAlignment="1">
      <alignment horizontal="center" wrapText="1"/>
    </xf>
    <xf numFmtId="10" fontId="13" fillId="2" borderId="3" xfId="1" applyNumberFormat="1" applyFont="1" applyFill="1" applyBorder="1" applyAlignment="1">
      <alignment horizontal="center" wrapText="1"/>
    </xf>
    <xf numFmtId="165" fontId="142" fillId="2" borderId="0" xfId="1" applyNumberFormat="1" applyFont="1" applyFill="1" applyAlignment="1">
      <alignment vertical="top"/>
    </xf>
    <xf numFmtId="165" fontId="16" fillId="0" borderId="0" xfId="2" applyNumberFormat="1" applyFont="1" applyFill="1" applyAlignment="1"/>
    <xf numFmtId="165" fontId="143" fillId="0" borderId="0" xfId="2" applyNumberFormat="1" applyFont="1" applyFill="1" applyAlignment="1"/>
    <xf numFmtId="0" fontId="143" fillId="0" borderId="0" xfId="2" applyFont="1" applyFill="1" applyAlignment="1"/>
    <xf numFmtId="165" fontId="13" fillId="0" borderId="7" xfId="4" applyNumberFormat="1" applyFont="1" applyFill="1" applyBorder="1" applyAlignment="1">
      <alignment horizontal="center" wrapText="1"/>
    </xf>
    <xf numFmtId="0" fontId="63" fillId="0" borderId="3" xfId="0" applyFont="1" applyFill="1" applyBorder="1" applyAlignment="1">
      <alignment vertical="center" wrapText="1"/>
    </xf>
    <xf numFmtId="165" fontId="13" fillId="0" borderId="21" xfId="4" applyNumberFormat="1" applyFont="1" applyFill="1" applyBorder="1" applyAlignment="1">
      <alignment horizontal="center" wrapText="1"/>
    </xf>
    <xf numFmtId="9" fontId="13" fillId="0" borderId="3" xfId="1" applyFont="1" applyFill="1" applyBorder="1" applyAlignment="1">
      <alignment horizontal="center" wrapText="1"/>
    </xf>
    <xf numFmtId="165" fontId="13" fillId="0" borderId="21" xfId="4" applyNumberFormat="1" applyFont="1" applyFill="1" applyBorder="1" applyAlignment="1">
      <alignment wrapText="1"/>
    </xf>
    <xf numFmtId="165" fontId="13" fillId="0" borderId="19" xfId="4" applyNumberFormat="1" applyFont="1" applyFill="1" applyBorder="1" applyAlignment="1">
      <alignment horizontal="center" wrapText="1"/>
    </xf>
    <xf numFmtId="0" fontId="145" fillId="0" borderId="45" xfId="16915" applyNumberFormat="1" applyFont="1" applyFill="1" applyBorder="1" applyAlignment="1">
      <alignment horizontal="left" vertical="top" readingOrder="1"/>
    </xf>
    <xf numFmtId="0" fontId="146" fillId="0" borderId="46" xfId="16915" applyNumberFormat="1" applyFont="1" applyFill="1" applyBorder="1" applyAlignment="1">
      <alignment vertical="top" wrapText="1"/>
    </xf>
    <xf numFmtId="216" fontId="146" fillId="0" borderId="47" xfId="16916" applyNumberFormat="1" applyFont="1" applyFill="1" applyBorder="1" applyAlignment="1">
      <alignment vertical="top" wrapText="1"/>
    </xf>
    <xf numFmtId="216" fontId="148" fillId="0" borderId="48" xfId="16917" applyNumberFormat="1" applyFont="1" applyFill="1" applyBorder="1" applyAlignment="1">
      <alignment horizontal="center" vertical="top" wrapText="1" readingOrder="1"/>
    </xf>
    <xf numFmtId="0" fontId="145" fillId="0" borderId="48" xfId="16915" applyNumberFormat="1" applyFont="1" applyFill="1" applyBorder="1" applyAlignment="1">
      <alignment horizontal="center" vertical="top" wrapText="1" readingOrder="1"/>
    </xf>
    <xf numFmtId="0" fontId="146" fillId="0" borderId="0" xfId="16915" applyFont="1" applyFill="1" applyBorder="1"/>
    <xf numFmtId="0" fontId="149" fillId="0" borderId="49" xfId="16915" applyNumberFormat="1" applyFont="1" applyFill="1" applyBorder="1" applyAlignment="1">
      <alignment vertical="top" readingOrder="1"/>
    </xf>
    <xf numFmtId="0" fontId="146" fillId="0" borderId="50" xfId="16915" applyNumberFormat="1" applyFont="1" applyFill="1" applyBorder="1" applyAlignment="1">
      <alignment vertical="top" wrapText="1"/>
    </xf>
    <xf numFmtId="217" fontId="146" fillId="0" borderId="50" xfId="16915" applyNumberFormat="1" applyFont="1" applyFill="1" applyBorder="1" applyAlignment="1">
      <alignment vertical="top" wrapText="1"/>
    </xf>
    <xf numFmtId="217" fontId="146" fillId="0" borderId="51" xfId="16915" applyNumberFormat="1" applyFont="1" applyFill="1" applyBorder="1" applyAlignment="1">
      <alignment vertical="top" wrapText="1"/>
    </xf>
    <xf numFmtId="0" fontId="149" fillId="0" borderId="48" xfId="16915" applyNumberFormat="1" applyFont="1" applyFill="1" applyBorder="1" applyAlignment="1">
      <alignment horizontal="center" vertical="top" wrapText="1" readingOrder="1"/>
    </xf>
    <xf numFmtId="0" fontId="150" fillId="36" borderId="52" xfId="16915" applyNumberFormat="1" applyFont="1" applyFill="1" applyBorder="1" applyAlignment="1">
      <alignment horizontal="center" vertical="top" wrapText="1" readingOrder="1"/>
    </xf>
    <xf numFmtId="0" fontId="150" fillId="36" borderId="53" xfId="16915" applyNumberFormat="1" applyFont="1" applyFill="1" applyBorder="1" applyAlignment="1">
      <alignment horizontal="center" vertical="top" wrapText="1" readingOrder="1"/>
    </xf>
    <xf numFmtId="0" fontId="146" fillId="37" borderId="0" xfId="16915" applyFont="1" applyFill="1" applyBorder="1"/>
    <xf numFmtId="0" fontId="149" fillId="0" borderId="52" xfId="16918" applyNumberFormat="1" applyFont="1" applyFill="1" applyBorder="1" applyAlignment="1">
      <alignment horizontal="center" vertical="top" wrapText="1" readingOrder="1"/>
    </xf>
    <xf numFmtId="218" fontId="149" fillId="0" borderId="52" xfId="16918" applyNumberFormat="1" applyFont="1" applyFill="1" applyBorder="1" applyAlignment="1">
      <alignment vertical="top" wrapText="1" readingOrder="1"/>
    </xf>
    <xf numFmtId="0" fontId="149" fillId="0" borderId="52" xfId="16918" applyNumberFormat="1" applyFont="1" applyFill="1" applyBorder="1" applyAlignment="1">
      <alignment vertical="top" wrapText="1" readingOrder="1"/>
    </xf>
    <xf numFmtId="219" fontId="149" fillId="0" borderId="52" xfId="16918" applyNumberFormat="1" applyFont="1" applyFill="1" applyBorder="1" applyAlignment="1">
      <alignment horizontal="right" vertical="top" wrapText="1" readingOrder="1"/>
    </xf>
    <xf numFmtId="219" fontId="149" fillId="0" borderId="52" xfId="16918" applyNumberFormat="1" applyFont="1" applyFill="1" applyBorder="1" applyAlignment="1">
      <alignment vertical="top" wrapText="1" readingOrder="1"/>
    </xf>
    <xf numFmtId="0" fontId="149" fillId="0" borderId="52" xfId="16918" applyNumberFormat="1" applyFont="1" applyFill="1" applyBorder="1" applyAlignment="1">
      <alignment horizontal="left" vertical="top" wrapText="1" readingOrder="1"/>
    </xf>
    <xf numFmtId="0" fontId="149" fillId="0" borderId="52" xfId="16915" applyNumberFormat="1" applyFont="1" applyFill="1" applyBorder="1" applyAlignment="1">
      <alignment horizontal="left" vertical="top" wrapText="1" readingOrder="1"/>
    </xf>
    <xf numFmtId="0" fontId="149" fillId="0" borderId="52" xfId="16915" applyNumberFormat="1" applyFont="1" applyFill="1" applyBorder="1" applyAlignment="1">
      <alignment horizontal="center" vertical="top" wrapText="1" readingOrder="1"/>
    </xf>
    <xf numFmtId="218" fontId="149" fillId="0" borderId="52" xfId="16915" applyNumberFormat="1" applyFont="1" applyFill="1" applyBorder="1" applyAlignment="1">
      <alignment vertical="top" wrapText="1" readingOrder="1"/>
    </xf>
    <xf numFmtId="0" fontId="149" fillId="0" borderId="52" xfId="16915" applyNumberFormat="1" applyFont="1" applyFill="1" applyBorder="1" applyAlignment="1">
      <alignment vertical="top" wrapText="1" readingOrder="1"/>
    </xf>
    <xf numFmtId="0" fontId="149" fillId="0" borderId="53" xfId="16915" applyNumberFormat="1" applyFont="1" applyFill="1" applyBorder="1" applyAlignment="1">
      <alignment vertical="top" wrapText="1" readingOrder="1"/>
    </xf>
    <xf numFmtId="217" fontId="149" fillId="0" borderId="53" xfId="16915" applyNumberFormat="1" applyFont="1" applyFill="1" applyBorder="1" applyAlignment="1">
      <alignment horizontal="right" vertical="top" wrapText="1" readingOrder="1"/>
    </xf>
    <xf numFmtId="217" fontId="149" fillId="0" borderId="52" xfId="16915" applyNumberFormat="1" applyFont="1" applyFill="1" applyBorder="1" applyAlignment="1">
      <alignment horizontal="right" vertical="top" wrapText="1" readingOrder="1"/>
    </xf>
    <xf numFmtId="217" fontId="149" fillId="0" borderId="52" xfId="16915" applyNumberFormat="1" applyFont="1" applyFill="1" applyBorder="1" applyAlignment="1">
      <alignment vertical="top" wrapText="1" readingOrder="1"/>
    </xf>
    <xf numFmtId="165" fontId="0" fillId="0" borderId="0" xfId="31" applyNumberFormat="1" applyFont="1"/>
    <xf numFmtId="165" fontId="13" fillId="0" borderId="5" xfId="4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/>
    <xf numFmtId="0" fontId="0" fillId="4" borderId="0" xfId="0" applyNumberFormat="1" applyFill="1"/>
    <xf numFmtId="165" fontId="0" fillId="4" borderId="0" xfId="31" applyNumberFormat="1" applyFont="1" applyFill="1"/>
    <xf numFmtId="0" fontId="0" fillId="4" borderId="0" xfId="0" applyFill="1"/>
    <xf numFmtId="0" fontId="0" fillId="0" borderId="0" xfId="0" applyNumberFormat="1" applyFill="1"/>
    <xf numFmtId="0" fontId="0" fillId="0" borderId="0" xfId="0" applyFill="1"/>
    <xf numFmtId="165" fontId="0" fillId="0" borderId="0" xfId="31" applyNumberFormat="1" applyFont="1" applyFill="1"/>
    <xf numFmtId="0" fontId="0" fillId="0" borderId="0" xfId="0" applyAlignment="1">
      <alignment horizontal="left"/>
    </xf>
    <xf numFmtId="9" fontId="0" fillId="0" borderId="0" xfId="1" applyFont="1"/>
    <xf numFmtId="0" fontId="0" fillId="4" borderId="0" xfId="0" applyFill="1" applyAlignment="1">
      <alignment horizontal="left"/>
    </xf>
    <xf numFmtId="0" fontId="1" fillId="0" borderId="0" xfId="16919"/>
    <xf numFmtId="216" fontId="0" fillId="0" borderId="0" xfId="16920" applyNumberFormat="1" applyFont="1"/>
    <xf numFmtId="216" fontId="1" fillId="0" borderId="0" xfId="16919" applyNumberFormat="1"/>
    <xf numFmtId="165" fontId="15" fillId="27" borderId="3" xfId="4" applyNumberFormat="1" applyFont="1" applyFill="1" applyBorder="1" applyAlignment="1">
      <alignment horizontal="left" wrapText="1"/>
    </xf>
    <xf numFmtId="0" fontId="9" fillId="3" borderId="3" xfId="2" applyFont="1" applyFill="1" applyBorder="1" applyAlignment="1">
      <alignment horizontal="center" vertical="center" wrapText="1"/>
    </xf>
    <xf numFmtId="165" fontId="15" fillId="27" borderId="22" xfId="4" applyNumberFormat="1" applyFont="1" applyFill="1" applyBorder="1" applyAlignment="1">
      <alignment horizontal="center" wrapText="1"/>
    </xf>
    <xf numFmtId="165" fontId="15" fillId="0" borderId="21" xfId="4" applyNumberFormat="1" applyFont="1" applyFill="1" applyBorder="1" applyAlignment="1">
      <alignment horizontal="center" wrapText="1"/>
    </xf>
    <xf numFmtId="165" fontId="15" fillId="27" borderId="21" xfId="4" applyNumberFormat="1" applyFont="1" applyFill="1" applyBorder="1" applyAlignment="1">
      <alignment horizontal="center" wrapText="1"/>
    </xf>
    <xf numFmtId="165" fontId="15" fillId="27" borderId="7" xfId="4" applyNumberFormat="1" applyFont="1" applyFill="1" applyBorder="1" applyAlignment="1">
      <alignment horizontal="center" wrapText="1"/>
    </xf>
    <xf numFmtId="165" fontId="54" fillId="27" borderId="10" xfId="4" applyNumberFormat="1" applyFont="1" applyFill="1" applyBorder="1" applyAlignment="1">
      <alignment horizontal="center" wrapText="1"/>
    </xf>
    <xf numFmtId="165" fontId="54" fillId="27" borderId="6" xfId="4" applyNumberFormat="1" applyFont="1" applyFill="1" applyBorder="1" applyAlignment="1">
      <alignment horizontal="center" wrapText="1"/>
    </xf>
    <xf numFmtId="9" fontId="54" fillId="27" borderId="6" xfId="1" applyFont="1" applyFill="1" applyBorder="1" applyAlignment="1">
      <alignment horizontal="center" wrapText="1"/>
    </xf>
    <xf numFmtId="165" fontId="54" fillId="27" borderId="8" xfId="4" applyNumberFormat="1" applyFont="1" applyFill="1" applyBorder="1" applyAlignment="1">
      <alignment horizontal="center" wrapText="1"/>
    </xf>
    <xf numFmtId="165" fontId="15" fillId="0" borderId="22" xfId="4" applyNumberFormat="1" applyFont="1" applyFill="1" applyBorder="1" applyAlignment="1">
      <alignment horizontal="center" wrapText="1"/>
    </xf>
    <xf numFmtId="165" fontId="54" fillId="0" borderId="21" xfId="4" applyNumberFormat="1" applyFont="1" applyFill="1" applyBorder="1" applyAlignment="1">
      <alignment horizontal="center" wrapText="1"/>
    </xf>
    <xf numFmtId="165" fontId="15" fillId="0" borderId="7" xfId="4" applyNumberFormat="1" applyFont="1" applyFill="1" applyBorder="1" applyAlignment="1">
      <alignment horizontal="center" wrapText="1"/>
    </xf>
    <xf numFmtId="165" fontId="15" fillId="27" borderId="8" xfId="4" applyNumberFormat="1" applyFont="1" applyFill="1" applyBorder="1" applyAlignment="1">
      <alignment horizontal="center" wrapText="1"/>
    </xf>
    <xf numFmtId="165" fontId="24" fillId="0" borderId="21" xfId="4" applyNumberFormat="1" applyFont="1" applyFill="1" applyBorder="1" applyAlignment="1"/>
    <xf numFmtId="0" fontId="12" fillId="0" borderId="7" xfId="0" applyFont="1" applyFill="1" applyBorder="1" applyAlignment="1"/>
    <xf numFmtId="165" fontId="24" fillId="27" borderId="21" xfId="4" applyNumberFormat="1" applyFont="1" applyFill="1" applyBorder="1" applyAlignment="1"/>
    <xf numFmtId="0" fontId="56" fillId="27" borderId="7" xfId="0" applyFont="1" applyFill="1" applyBorder="1" applyAlignment="1"/>
    <xf numFmtId="165" fontId="57" fillId="27" borderId="10" xfId="4" applyNumberFormat="1" applyFont="1" applyFill="1" applyBorder="1" applyAlignment="1"/>
    <xf numFmtId="165" fontId="57" fillId="27" borderId="6" xfId="4" applyNumberFormat="1" applyFont="1" applyFill="1" applyBorder="1" applyAlignment="1"/>
    <xf numFmtId="0" fontId="56" fillId="27" borderId="8" xfId="0" applyFont="1" applyFill="1" applyBorder="1" applyAlignment="1"/>
    <xf numFmtId="0" fontId="9" fillId="3" borderId="54" xfId="2" applyFont="1" applyFill="1" applyBorder="1" applyAlignment="1">
      <alignment horizontal="center" vertical="center" wrapText="1"/>
    </xf>
    <xf numFmtId="165" fontId="15" fillId="2" borderId="7" xfId="4" applyNumberFormat="1" applyFont="1" applyFill="1" applyBorder="1" applyAlignment="1">
      <alignment horizontal="center" wrapText="1"/>
    </xf>
    <xf numFmtId="9" fontId="54" fillId="0" borderId="6" xfId="1" applyFont="1" applyFill="1" applyBorder="1" applyAlignment="1">
      <alignment horizontal="center" wrapText="1"/>
    </xf>
    <xf numFmtId="165" fontId="135" fillId="0" borderId="7" xfId="31" applyNumberFormat="1" applyFont="1" applyFill="1" applyBorder="1" applyAlignment="1">
      <alignment horizontal="center" wrapText="1"/>
    </xf>
    <xf numFmtId="165" fontId="135" fillId="27" borderId="7" xfId="31" applyNumberFormat="1" applyFont="1" applyFill="1" applyBorder="1" applyAlignment="1">
      <alignment horizontal="center" wrapText="1"/>
    </xf>
    <xf numFmtId="165" fontId="136" fillId="27" borderId="8" xfId="31" applyNumberFormat="1" applyFont="1" applyFill="1" applyBorder="1" applyAlignment="1">
      <alignment horizontal="center" wrapText="1"/>
    </xf>
    <xf numFmtId="165" fontId="15" fillId="0" borderId="18" xfId="4" applyNumberFormat="1" applyFont="1" applyFill="1" applyBorder="1" applyAlignment="1">
      <alignment horizontal="center" wrapText="1"/>
    </xf>
    <xf numFmtId="165" fontId="15" fillId="27" borderId="18" xfId="4" applyNumberFormat="1" applyFont="1" applyFill="1" applyBorder="1" applyAlignment="1">
      <alignment horizontal="center" wrapText="1"/>
    </xf>
    <xf numFmtId="165" fontId="15" fillId="0" borderId="5" xfId="4" applyNumberFormat="1" applyFont="1" applyFill="1" applyBorder="1" applyAlignment="1">
      <alignment horizontal="center" wrapText="1"/>
    </xf>
    <xf numFmtId="165" fontId="15" fillId="27" borderId="5" xfId="4" applyNumberFormat="1" applyFont="1" applyFill="1" applyBorder="1" applyAlignment="1">
      <alignment horizontal="center" wrapText="1"/>
    </xf>
    <xf numFmtId="165" fontId="54" fillId="27" borderId="17" xfId="4" applyNumberFormat="1" applyFont="1" applyFill="1" applyBorder="1" applyAlignment="1">
      <alignment horizontal="center" wrapText="1"/>
    </xf>
    <xf numFmtId="165" fontId="13" fillId="0" borderId="3" xfId="4" applyNumberFormat="1" applyFont="1" applyFill="1" applyBorder="1" applyAlignment="1">
      <alignment wrapText="1"/>
    </xf>
    <xf numFmtId="165" fontId="13" fillId="38" borderId="7" xfId="4" applyNumberFormat="1" applyFont="1" applyFill="1" applyBorder="1" applyAlignment="1">
      <alignment horizontal="center" wrapText="1"/>
    </xf>
    <xf numFmtId="165" fontId="13" fillId="38" borderId="19" xfId="4" applyNumberFormat="1" applyFont="1" applyFill="1" applyBorder="1" applyAlignment="1">
      <alignment horizontal="center" wrapText="1"/>
    </xf>
    <xf numFmtId="165" fontId="15" fillId="39" borderId="21" xfId="4" applyNumberFormat="1" applyFont="1" applyFill="1" applyBorder="1" applyAlignment="1">
      <alignment horizontal="center" wrapText="1"/>
    </xf>
    <xf numFmtId="165" fontId="15" fillId="39" borderId="3" xfId="4" applyNumberFormat="1" applyFont="1" applyFill="1" applyBorder="1" applyAlignment="1">
      <alignment horizontal="center" wrapText="1"/>
    </xf>
    <xf numFmtId="165" fontId="153" fillId="39" borderId="3" xfId="4" applyNumberFormat="1" applyFont="1" applyFill="1" applyBorder="1" applyAlignment="1">
      <alignment horizontal="center" wrapText="1"/>
    </xf>
    <xf numFmtId="0" fontId="9" fillId="3" borderId="3" xfId="2" applyFont="1" applyFill="1" applyBorder="1" applyAlignment="1">
      <alignment horizontal="center" vertical="center" wrapText="1"/>
    </xf>
    <xf numFmtId="216" fontId="148" fillId="0" borderId="48" xfId="16920" applyNumberFormat="1" applyFont="1" applyFill="1" applyBorder="1" applyAlignment="1">
      <alignment horizontal="center" vertical="top" wrapText="1" readingOrder="1"/>
    </xf>
    <xf numFmtId="0" fontId="150" fillId="36" borderId="52" xfId="16915" applyNumberFormat="1" applyFont="1" applyFill="1" applyBorder="1" applyAlignment="1">
      <alignment horizontal="left" vertical="top" wrapText="1" readingOrder="1"/>
    </xf>
    <xf numFmtId="0" fontId="149" fillId="0" borderId="52" xfId="16919" applyNumberFormat="1" applyFont="1" applyFill="1" applyBorder="1" applyAlignment="1">
      <alignment horizontal="center" vertical="top" wrapText="1" readingOrder="1"/>
    </xf>
    <xf numFmtId="218" fontId="149" fillId="0" borderId="52" xfId="16919" applyNumberFormat="1" applyFont="1" applyFill="1" applyBorder="1" applyAlignment="1">
      <alignment vertical="top" wrapText="1" readingOrder="1"/>
    </xf>
    <xf numFmtId="0" fontId="149" fillId="0" borderId="52" xfId="16919" applyNumberFormat="1" applyFont="1" applyFill="1" applyBorder="1" applyAlignment="1">
      <alignment vertical="top" wrapText="1" readingOrder="1"/>
    </xf>
    <xf numFmtId="219" fontId="149" fillId="0" borderId="52" xfId="16919" applyNumberFormat="1" applyFont="1" applyFill="1" applyBorder="1" applyAlignment="1">
      <alignment horizontal="right" vertical="top" wrapText="1" readingOrder="1"/>
    </xf>
    <xf numFmtId="219" fontId="149" fillId="0" borderId="52" xfId="16919" applyNumberFormat="1" applyFont="1" applyFill="1" applyBorder="1" applyAlignment="1">
      <alignment vertical="top" wrapText="1" readingOrder="1"/>
    </xf>
    <xf numFmtId="0" fontId="149" fillId="0" borderId="52" xfId="16919" applyNumberFormat="1" applyFont="1" applyFill="1" applyBorder="1" applyAlignment="1">
      <alignment horizontal="left" vertical="top" wrapText="1" readingOrder="1"/>
    </xf>
    <xf numFmtId="0" fontId="154" fillId="0" borderId="0" xfId="0" applyFont="1"/>
    <xf numFmtId="165" fontId="154" fillId="0" borderId="0" xfId="31" applyNumberFormat="1" applyFont="1"/>
    <xf numFmtId="0" fontId="155" fillId="40" borderId="0" xfId="0" applyFont="1" applyFill="1"/>
    <xf numFmtId="165" fontId="155" fillId="40" borderId="0" xfId="31" applyNumberFormat="1" applyFont="1" applyFill="1"/>
    <xf numFmtId="0" fontId="154" fillId="40" borderId="0" xfId="0" applyFont="1" applyFill="1"/>
    <xf numFmtId="0" fontId="156" fillId="0" borderId="0" xfId="0" applyFont="1"/>
    <xf numFmtId="165" fontId="154" fillId="0" borderId="0" xfId="0" applyNumberFormat="1" applyFont="1"/>
    <xf numFmtId="10" fontId="13" fillId="0" borderId="3" xfId="1" applyNumberFormat="1" applyFont="1" applyFill="1" applyBorder="1" applyAlignment="1">
      <alignment horizontal="center" wrapText="1"/>
    </xf>
    <xf numFmtId="165" fontId="142" fillId="0" borderId="0" xfId="1" applyNumberFormat="1" applyFont="1" applyFill="1" applyAlignment="1">
      <alignment vertical="top"/>
    </xf>
    <xf numFmtId="165" fontId="133" fillId="0" borderId="0" xfId="31" applyNumberFormat="1" applyFont="1" applyFill="1" applyAlignment="1">
      <alignment vertical="top"/>
    </xf>
    <xf numFmtId="0" fontId="14" fillId="0" borderId="0" xfId="2" applyFont="1" applyFill="1" applyAlignment="1">
      <alignment vertical="top"/>
    </xf>
    <xf numFmtId="0" fontId="151" fillId="0" borderId="0" xfId="2" applyFont="1" applyFill="1" applyAlignment="1">
      <alignment vertical="top"/>
    </xf>
    <xf numFmtId="9" fontId="13" fillId="0" borderId="3" xfId="1" applyNumberFormat="1" applyFont="1" applyFill="1" applyBorder="1" applyAlignment="1">
      <alignment horizontal="center" wrapText="1"/>
    </xf>
    <xf numFmtId="165" fontId="15" fillId="0" borderId="3" xfId="4" applyNumberFormat="1" applyFont="1" applyFill="1" applyBorder="1" applyAlignment="1">
      <alignment horizontal="left" wrapText="1"/>
    </xf>
    <xf numFmtId="165" fontId="57" fillId="27" borderId="3" xfId="4" applyNumberFormat="1" applyFont="1" applyFill="1" applyBorder="1" applyAlignment="1"/>
    <xf numFmtId="0" fontId="56" fillId="27" borderId="3" xfId="0" applyFont="1" applyFill="1" applyBorder="1" applyAlignment="1"/>
    <xf numFmtId="9" fontId="54" fillId="27" borderId="3" xfId="1" applyFont="1" applyFill="1" applyBorder="1" applyAlignment="1">
      <alignment horizontal="center" wrapText="1"/>
    </xf>
    <xf numFmtId="9" fontId="54" fillId="0" borderId="3" xfId="1" applyFont="1" applyFill="1" applyBorder="1" applyAlignment="1">
      <alignment horizontal="center" wrapText="1"/>
    </xf>
    <xf numFmtId="0" fontId="128" fillId="0" borderId="3" xfId="0" applyFont="1" applyFill="1" applyBorder="1" applyAlignment="1">
      <alignment vertical="center"/>
    </xf>
    <xf numFmtId="165" fontId="24" fillId="4" borderId="3" xfId="4" applyNumberFormat="1" applyFont="1" applyFill="1" applyBorder="1" applyAlignment="1"/>
    <xf numFmtId="0" fontId="25" fillId="4" borderId="3" xfId="0" applyFont="1" applyFill="1" applyBorder="1" applyAlignment="1"/>
    <xf numFmtId="165" fontId="15" fillId="4" borderId="3" xfId="4" applyNumberFormat="1" applyFont="1" applyFill="1" applyBorder="1" applyAlignment="1">
      <alignment horizontal="center" wrapText="1"/>
    </xf>
    <xf numFmtId="9" fontId="15" fillId="4" borderId="3" xfId="1" applyFont="1" applyFill="1" applyBorder="1" applyAlignment="1">
      <alignment horizontal="center" wrapText="1"/>
    </xf>
    <xf numFmtId="165" fontId="54" fillId="35" borderId="3" xfId="4" applyNumberFormat="1" applyFont="1" applyFill="1" applyBorder="1" applyAlignment="1">
      <alignment horizontal="center" wrapText="1"/>
    </xf>
    <xf numFmtId="165" fontId="13" fillId="2" borderId="3" xfId="4" applyNumberFormat="1" applyFont="1" applyFill="1" applyBorder="1" applyAlignment="1">
      <alignment horizontal="center" wrapText="1"/>
    </xf>
    <xf numFmtId="165" fontId="24" fillId="0" borderId="3" xfId="4" applyNumberFormat="1" applyFont="1" applyFill="1" applyBorder="1" applyAlignment="1"/>
    <xf numFmtId="0" fontId="12" fillId="0" borderId="3" xfId="0" applyFont="1" applyFill="1" applyBorder="1" applyAlignment="1"/>
    <xf numFmtId="0" fontId="56" fillId="0" borderId="3" xfId="0" applyFont="1" applyFill="1" applyBorder="1" applyAlignment="1"/>
    <xf numFmtId="0" fontId="19" fillId="2" borderId="0" xfId="2" applyFont="1" applyFill="1" applyBorder="1" applyAlignment="1">
      <alignment vertical="top"/>
    </xf>
    <xf numFmtId="165" fontId="17" fillId="2" borderId="0" xfId="4" applyNumberFormat="1" applyFont="1" applyFill="1" applyBorder="1"/>
    <xf numFmtId="9" fontId="17" fillId="2" borderId="0" xfId="1" applyFont="1" applyFill="1" applyBorder="1"/>
    <xf numFmtId="165" fontId="17" fillId="2" borderId="0" xfId="1" applyNumberFormat="1" applyFont="1" applyFill="1" applyBorder="1"/>
    <xf numFmtId="0" fontId="18" fillId="2" borderId="0" xfId="2" applyFont="1" applyFill="1" applyBorder="1" applyAlignment="1">
      <alignment horizontal="center" vertical="top"/>
    </xf>
    <xf numFmtId="9" fontId="18" fillId="2" borderId="0" xfId="1" applyFont="1" applyFill="1" applyBorder="1" applyAlignment="1">
      <alignment horizontal="center" vertical="top"/>
    </xf>
    <xf numFmtId="0" fontId="9" fillId="2" borderId="0" xfId="2" applyFont="1" applyFill="1" applyBorder="1" applyAlignment="1">
      <alignment vertical="top"/>
    </xf>
    <xf numFmtId="165" fontId="17" fillId="0" borderId="0" xfId="4" applyNumberFormat="1" applyFont="1" applyFill="1" applyBorder="1"/>
    <xf numFmtId="9" fontId="17" fillId="0" borderId="0" xfId="1" applyFont="1" applyFill="1" applyBorder="1"/>
    <xf numFmtId="0" fontId="5" fillId="0" borderId="0" xfId="2" applyFont="1" applyFill="1" applyBorder="1" applyAlignment="1">
      <alignment vertical="top"/>
    </xf>
    <xf numFmtId="0" fontId="6" fillId="0" borderId="0" xfId="2" applyFont="1" applyFill="1" applyBorder="1" applyAlignment="1">
      <alignment vertical="top"/>
    </xf>
    <xf numFmtId="0" fontId="8" fillId="0" borderId="0" xfId="2" applyFont="1" applyFill="1" applyBorder="1" applyAlignment="1">
      <alignment vertical="top"/>
    </xf>
    <xf numFmtId="0" fontId="11" fillId="0" borderId="0" xfId="2" applyFont="1" applyFill="1" applyBorder="1" applyAlignment="1">
      <alignment vertical="top"/>
    </xf>
    <xf numFmtId="0" fontId="14" fillId="0" borderId="0" xfId="2" applyFont="1" applyFill="1" applyBorder="1" applyAlignment="1">
      <alignment vertical="top"/>
    </xf>
    <xf numFmtId="0" fontId="16" fillId="0" borderId="0" xfId="2" applyFont="1" applyFill="1" applyBorder="1" applyAlignment="1"/>
    <xf numFmtId="0" fontId="59" fillId="0" borderId="0" xfId="2" applyFont="1" applyFill="1" applyBorder="1" applyAlignment="1"/>
    <xf numFmtId="0" fontId="18" fillId="0" borderId="0" xfId="2" applyFont="1" applyFill="1" applyBorder="1" applyAlignment="1">
      <alignment horizontal="left" vertical="center"/>
    </xf>
    <xf numFmtId="0" fontId="19" fillId="0" borderId="0" xfId="2" applyFont="1" applyFill="1" applyBorder="1" applyAlignment="1">
      <alignment horizontal="left" vertical="center"/>
    </xf>
    <xf numFmtId="14" fontId="13" fillId="0" borderId="3" xfId="4" applyNumberFormat="1" applyFont="1" applyFill="1" applyBorder="1" applyAlignment="1">
      <alignment horizontal="center" wrapText="1"/>
    </xf>
    <xf numFmtId="0" fontId="63" fillId="41" borderId="3" xfId="0" applyFont="1" applyFill="1" applyBorder="1" applyAlignment="1">
      <alignment vertical="center" wrapText="1"/>
    </xf>
    <xf numFmtId="0" fontId="9" fillId="3" borderId="15" xfId="2" applyFont="1" applyFill="1" applyBorder="1" applyAlignment="1">
      <alignment horizontal="center" vertical="center" wrapText="1"/>
    </xf>
    <xf numFmtId="0" fontId="9" fillId="3" borderId="37" xfId="2" applyFont="1" applyFill="1" applyBorder="1" applyAlignment="1">
      <alignment horizontal="center" vertical="center" wrapText="1"/>
    </xf>
    <xf numFmtId="0" fontId="9" fillId="3" borderId="57" xfId="2" applyFont="1" applyFill="1" applyBorder="1" applyAlignment="1">
      <alignment horizontal="center" vertical="center" wrapText="1"/>
    </xf>
    <xf numFmtId="0" fontId="9" fillId="3" borderId="58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horizontal="center" vertical="center" wrapText="1"/>
    </xf>
    <xf numFmtId="0" fontId="9" fillId="3" borderId="4" xfId="2" applyFont="1" applyFill="1" applyBorder="1" applyAlignment="1">
      <alignment horizontal="center" vertical="center" wrapText="1"/>
    </xf>
    <xf numFmtId="0" fontId="9" fillId="3" borderId="55" xfId="2" applyFont="1" applyFill="1" applyBorder="1" applyAlignment="1">
      <alignment horizontal="center" vertical="center" wrapText="1"/>
    </xf>
    <xf numFmtId="0" fontId="9" fillId="3" borderId="56" xfId="2" applyFont="1" applyFill="1" applyBorder="1" applyAlignment="1">
      <alignment horizontal="center" vertical="center" wrapText="1"/>
    </xf>
    <xf numFmtId="0" fontId="9" fillId="3" borderId="23" xfId="2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center" vertical="center" wrapText="1"/>
    </xf>
    <xf numFmtId="0" fontId="9" fillId="3" borderId="13" xfId="2" applyFont="1" applyFill="1" applyBorder="1" applyAlignment="1">
      <alignment horizontal="center" vertical="center" wrapText="1"/>
    </xf>
    <xf numFmtId="0" fontId="9" fillId="3" borderId="23" xfId="2" quotePrefix="1" applyFont="1" applyFill="1" applyBorder="1" applyAlignment="1">
      <alignment horizontal="center" vertical="center" wrapText="1"/>
    </xf>
    <xf numFmtId="0" fontId="9" fillId="3" borderId="24" xfId="2" applyFont="1" applyFill="1" applyBorder="1" applyAlignment="1">
      <alignment horizontal="center" vertical="center" wrapText="1"/>
    </xf>
    <xf numFmtId="0" fontId="9" fillId="3" borderId="21" xfId="2" applyFont="1" applyFill="1" applyBorder="1" applyAlignment="1">
      <alignment horizontal="center" vertical="center" wrapText="1"/>
    </xf>
    <xf numFmtId="0" fontId="10" fillId="3" borderId="9" xfId="2" applyFont="1" applyFill="1" applyBorder="1" applyAlignment="1">
      <alignment horizontal="center" vertical="center"/>
    </xf>
    <xf numFmtId="0" fontId="10" fillId="3" borderId="7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0" fontId="9" fillId="3" borderId="3" xfId="2" applyFont="1" applyFill="1" applyBorder="1" applyAlignment="1">
      <alignment horizontal="center" vertical="center" wrapText="1"/>
    </xf>
    <xf numFmtId="0" fontId="10" fillId="3" borderId="11" xfId="2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horizontal="center" vertical="center"/>
    </xf>
    <xf numFmtId="0" fontId="52" fillId="0" borderId="3" xfId="0" applyFont="1" applyBorder="1" applyAlignment="1">
      <alignment horizontal="center" vertical="center" wrapText="1"/>
    </xf>
    <xf numFmtId="0" fontId="52" fillId="0" borderId="25" xfId="0" applyFont="1" applyBorder="1" applyAlignment="1">
      <alignment horizontal="center" vertical="center" wrapText="1"/>
    </xf>
    <xf numFmtId="0" fontId="52" fillId="0" borderId="26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9" fillId="3" borderId="27" xfId="2" applyFont="1" applyFill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 wrapText="1"/>
    </xf>
    <xf numFmtId="0" fontId="12" fillId="0" borderId="26" xfId="2" applyFont="1" applyBorder="1" applyAlignment="1">
      <alignment horizontal="center" vertical="center"/>
    </xf>
    <xf numFmtId="0" fontId="12" fillId="0" borderId="27" xfId="2" applyFont="1" applyBorder="1" applyAlignment="1">
      <alignment horizontal="center" vertical="center"/>
    </xf>
    <xf numFmtId="0" fontId="12" fillId="0" borderId="3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28" fillId="0" borderId="3" xfId="0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center" vertical="center" wrapText="1"/>
    </xf>
    <xf numFmtId="0" fontId="28" fillId="0" borderId="3" xfId="32" applyFont="1" applyFill="1" applyBorder="1" applyAlignment="1">
      <alignment horizontal="center" wrapText="1"/>
    </xf>
    <xf numFmtId="0" fontId="28" fillId="4" borderId="3" xfId="0" applyFont="1" applyFill="1" applyBorder="1" applyAlignment="1">
      <alignment horizontal="center" vertical="center" wrapText="1"/>
    </xf>
    <xf numFmtId="0" fontId="28" fillId="0" borderId="3" xfId="33" applyFont="1" applyFill="1" applyBorder="1" applyAlignment="1">
      <alignment horizontal="center" vertical="center" wrapText="1"/>
    </xf>
    <xf numFmtId="0" fontId="28" fillId="4" borderId="3" xfId="32" applyFont="1" applyFill="1" applyBorder="1" applyAlignment="1">
      <alignment horizontal="center" vertical="center" wrapText="1"/>
    </xf>
    <xf numFmtId="0" fontId="27" fillId="0" borderId="3" xfId="36" applyFont="1" applyFill="1" applyBorder="1" applyAlignment="1">
      <alignment horizontal="center" vertical="center" wrapText="1"/>
    </xf>
    <xf numFmtId="0" fontId="27" fillId="0" borderId="3" xfId="35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center" vertical="center" wrapText="1"/>
    </xf>
    <xf numFmtId="0" fontId="28" fillId="0" borderId="3" xfId="34" applyFont="1" applyFill="1" applyBorder="1" applyAlignment="1">
      <alignment horizontal="left" vertical="center" wrapText="1"/>
    </xf>
    <xf numFmtId="0" fontId="28" fillId="0" borderId="3" xfId="33" applyFont="1" applyFill="1" applyBorder="1" applyAlignment="1">
      <alignment horizontal="left" vertical="center" wrapText="1"/>
    </xf>
    <xf numFmtId="0" fontId="27" fillId="0" borderId="3" xfId="32" applyFont="1" applyBorder="1" applyAlignment="1">
      <alignment horizontal="center" vertical="center" wrapText="1"/>
    </xf>
    <xf numFmtId="0" fontId="0" fillId="0" borderId="3" xfId="0" applyBorder="1"/>
    <xf numFmtId="165" fontId="54" fillId="2" borderId="0" xfId="2" applyNumberFormat="1" applyFont="1" applyFill="1" applyAlignment="1">
      <alignment horizontal="center" vertical="center"/>
    </xf>
  </cellXfs>
  <cellStyles count="16921">
    <cellStyle name="." xfId="16664"/>
    <cellStyle name="??" xfId="16665"/>
    <cellStyle name="?? [0.00]_ Att. 1- Cover" xfId="16666"/>
    <cellStyle name="?? [0]" xfId="16667"/>
    <cellStyle name="???? [0.00]_PRODUCT DETAIL Q1" xfId="16668"/>
    <cellStyle name="????_PRODUCT DETAIL Q1" xfId="16669"/>
    <cellStyle name="???[0]_00Q3902REV.1" xfId="16670"/>
    <cellStyle name="???_00Q3902REV.1" xfId="16671"/>
    <cellStyle name="??[0]_BRE" xfId="16672"/>
    <cellStyle name="??_ Att. 1- Cover" xfId="16673"/>
    <cellStyle name="??A? [0]_ÿÿÿÿÿÿ_1_¢¬???¢â? " xfId="16674"/>
    <cellStyle name="??A?_ÿÿÿÿÿÿ_1_¢¬???¢â? " xfId="16675"/>
    <cellStyle name="?¡±¢¥?_?¨ù??¢´¢¥_¢¬???¢â? " xfId="16676"/>
    <cellStyle name="@ET_Style?{1AC50C27-0B97-41FC-83DD-F49C92BB0C87}" xfId="16677"/>
    <cellStyle name="]" xfId="16678"/>
    <cellStyle name="_?_BOOKSHIP" xfId="16679"/>
    <cellStyle name="__ [0.00]_PRODUCT DETAIL Q1" xfId="16680"/>
    <cellStyle name="__ [0]_1202" xfId="16681"/>
    <cellStyle name="__ [0]_1202_Result Red Store Jun" xfId="16682"/>
    <cellStyle name="__ [0]_Book1" xfId="16683"/>
    <cellStyle name="___(____)______" xfId="16684"/>
    <cellStyle name="___[0]_Book1" xfId="16685"/>
    <cellStyle name="____ [0.00]_PRODUCT DETAIL Q1" xfId="16686"/>
    <cellStyle name="_____PRODUCT DETAIL Q1" xfId="16687"/>
    <cellStyle name="____95" xfId="16688"/>
    <cellStyle name="____Book1" xfId="16689"/>
    <cellStyle name="___1202" xfId="16690"/>
    <cellStyle name="___1202_Result Red Store Jun" xfId="16691"/>
    <cellStyle name="___1202_Result Red Store Jun_1" xfId="16692"/>
    <cellStyle name="___Book1" xfId="16693"/>
    <cellStyle name="___Book1_Result Red Store Jun" xfId="16694"/>
    <cellStyle name="___kc-elec system check list" xfId="16695"/>
    <cellStyle name="___PRODUCT DETAIL Q1" xfId="16696"/>
    <cellStyle name="_KT (2)" xfId="16697"/>
    <cellStyle name="_KT (2)_1" xfId="16698"/>
    <cellStyle name="_KT (2)_2" xfId="16699"/>
    <cellStyle name="_KT (2)_2_TG-TH" xfId="16700"/>
    <cellStyle name="_KT (2)_3" xfId="16701"/>
    <cellStyle name="_KT (2)_3_TG-TH" xfId="16702"/>
    <cellStyle name="_KT (2)_4" xfId="16703"/>
    <cellStyle name="_KT (2)_4_TG-TH" xfId="16704"/>
    <cellStyle name="_KT (2)_5" xfId="16705"/>
    <cellStyle name="_KT (2)_TG-TH" xfId="16706"/>
    <cellStyle name="_KT_TG" xfId="16707"/>
    <cellStyle name="_KT_TG_1" xfId="16708"/>
    <cellStyle name="_KT_TG_2" xfId="16709"/>
    <cellStyle name="_KT_TG_3" xfId="16710"/>
    <cellStyle name="_KT_TG_4" xfId="16711"/>
    <cellStyle name="_TG-TH" xfId="16712"/>
    <cellStyle name="_TG-TH_1" xfId="16713"/>
    <cellStyle name="_TG-TH_2" xfId="16714"/>
    <cellStyle name="_TG-TH_3" xfId="16715"/>
    <cellStyle name="_TG-TH_4" xfId="16716"/>
    <cellStyle name="_x005f_x0001_" xfId="16717"/>
    <cellStyle name="1" xfId="16718"/>
    <cellStyle name="123" xfId="16719"/>
    <cellStyle name="15" xfId="16720"/>
    <cellStyle name="¹éºÐÀ²_±âÅ¸" xfId="16721"/>
    <cellStyle name="2" xfId="16722"/>
    <cellStyle name="20% - Accent1 10" xfId="37"/>
    <cellStyle name="20% - Accent1 10 2" xfId="3577"/>
    <cellStyle name="20% - Accent1 11" xfId="38"/>
    <cellStyle name="20% - Accent1 11 2" xfId="3578"/>
    <cellStyle name="20% - Accent1 12" xfId="39"/>
    <cellStyle name="20% - Accent1 12 2" xfId="3579"/>
    <cellStyle name="20% - Accent1 13" xfId="40"/>
    <cellStyle name="20% - Accent1 13 2" xfId="3580"/>
    <cellStyle name="20% - Accent1 14" xfId="41"/>
    <cellStyle name="20% - Accent1 14 2" xfId="3581"/>
    <cellStyle name="20% - Accent1 15" xfId="42"/>
    <cellStyle name="20% - Accent1 15 2" xfId="3582"/>
    <cellStyle name="20% - Accent1 16" xfId="43"/>
    <cellStyle name="20% - Accent1 16 2" xfId="3583"/>
    <cellStyle name="20% - Accent1 17" xfId="44"/>
    <cellStyle name="20% - Accent1 17 2" xfId="3584"/>
    <cellStyle name="20% - Accent1 18" xfId="45"/>
    <cellStyle name="20% - Accent1 18 2" xfId="3585"/>
    <cellStyle name="20% - Accent1 19" xfId="46"/>
    <cellStyle name="20% - Accent1 19 2" xfId="3586"/>
    <cellStyle name="20% - Accent1 2" xfId="47"/>
    <cellStyle name="20% - Accent1 2 2" xfId="48"/>
    <cellStyle name="20% - Accent1 2 2 2" xfId="3587"/>
    <cellStyle name="20% - Accent1 2 3" xfId="3588"/>
    <cellStyle name="20% - Accent1 20" xfId="49"/>
    <cellStyle name="20% - Accent1 20 2" xfId="3589"/>
    <cellStyle name="20% - Accent1 21" xfId="50"/>
    <cellStyle name="20% - Accent1 21 2" xfId="3590"/>
    <cellStyle name="20% - Accent1 22" xfId="51"/>
    <cellStyle name="20% - Accent1 22 2" xfId="3591"/>
    <cellStyle name="20% - Accent1 23" xfId="52"/>
    <cellStyle name="20% - Accent1 23 2" xfId="3592"/>
    <cellStyle name="20% - Accent1 24" xfId="53"/>
    <cellStyle name="20% - Accent1 24 2" xfId="3593"/>
    <cellStyle name="20% - Accent1 25" xfId="54"/>
    <cellStyle name="20% - Accent1 25 2" xfId="3594"/>
    <cellStyle name="20% - Accent1 26" xfId="55"/>
    <cellStyle name="20% - Accent1 26 2" xfId="3595"/>
    <cellStyle name="20% - Accent1 27" xfId="56"/>
    <cellStyle name="20% - Accent1 27 2" xfId="3596"/>
    <cellStyle name="20% - Accent1 28" xfId="57"/>
    <cellStyle name="20% - Accent1 28 2" xfId="3597"/>
    <cellStyle name="20% - Accent1 29" xfId="58"/>
    <cellStyle name="20% - Accent1 29 2" xfId="3598"/>
    <cellStyle name="20% - Accent1 3" xfId="59"/>
    <cellStyle name="20% - Accent1 3 2" xfId="3599"/>
    <cellStyle name="20% - Accent1 30" xfId="60"/>
    <cellStyle name="20% - Accent1 30 2" xfId="3600"/>
    <cellStyle name="20% - Accent1 31" xfId="61"/>
    <cellStyle name="20% - Accent1 31 2" xfId="3601"/>
    <cellStyle name="20% - Accent1 32" xfId="62"/>
    <cellStyle name="20% - Accent1 32 2" xfId="3602"/>
    <cellStyle name="20% - Accent1 33" xfId="63"/>
    <cellStyle name="20% - Accent1 33 2" xfId="3603"/>
    <cellStyle name="20% - Accent1 34" xfId="64"/>
    <cellStyle name="20% - Accent1 34 2" xfId="3604"/>
    <cellStyle name="20% - Accent1 35" xfId="65"/>
    <cellStyle name="20% - Accent1 35 2" xfId="3605"/>
    <cellStyle name="20% - Accent1 36" xfId="66"/>
    <cellStyle name="20% - Accent1 36 2" xfId="3606"/>
    <cellStyle name="20% - Accent1 37" xfId="67"/>
    <cellStyle name="20% - Accent1 37 2" xfId="3607"/>
    <cellStyle name="20% - Accent1 38" xfId="68"/>
    <cellStyle name="20% - Accent1 38 2" xfId="3608"/>
    <cellStyle name="20% - Accent1 39" xfId="69"/>
    <cellStyle name="20% - Accent1 39 2" xfId="3609"/>
    <cellStyle name="20% - Accent1 4" xfId="70"/>
    <cellStyle name="20% - Accent1 4 2" xfId="3610"/>
    <cellStyle name="20% - Accent1 40" xfId="71"/>
    <cellStyle name="20% - Accent1 40 2" xfId="3611"/>
    <cellStyle name="20% - Accent1 41" xfId="72"/>
    <cellStyle name="20% - Accent1 41 2" xfId="3612"/>
    <cellStyle name="20% - Accent1 42" xfId="73"/>
    <cellStyle name="20% - Accent1 42 2" xfId="3613"/>
    <cellStyle name="20% - Accent1 43" xfId="74"/>
    <cellStyle name="20% - Accent1 43 2" xfId="3614"/>
    <cellStyle name="20% - Accent1 44" xfId="75"/>
    <cellStyle name="20% - Accent1 44 2" xfId="3615"/>
    <cellStyle name="20% - Accent1 45" xfId="76"/>
    <cellStyle name="20% - Accent1 45 2" xfId="3616"/>
    <cellStyle name="20% - Accent1 46" xfId="77"/>
    <cellStyle name="20% - Accent1 46 2" xfId="3617"/>
    <cellStyle name="20% - Accent1 47" xfId="78"/>
    <cellStyle name="20% - Accent1 47 2" xfId="3618"/>
    <cellStyle name="20% - Accent1 48" xfId="79"/>
    <cellStyle name="20% - Accent1 48 2" xfId="3619"/>
    <cellStyle name="20% - Accent1 49" xfId="80"/>
    <cellStyle name="20% - Accent1 49 2" xfId="3620"/>
    <cellStyle name="20% - Accent1 5" xfId="81"/>
    <cellStyle name="20% - Accent1 5 2" xfId="3621"/>
    <cellStyle name="20% - Accent1 50" xfId="82"/>
    <cellStyle name="20% - Accent1 50 2" xfId="3622"/>
    <cellStyle name="20% - Accent1 51" xfId="83"/>
    <cellStyle name="20% - Accent1 51 2" xfId="3623"/>
    <cellStyle name="20% - Accent1 52" xfId="84"/>
    <cellStyle name="20% - Accent1 52 2" xfId="3624"/>
    <cellStyle name="20% - Accent1 53" xfId="85"/>
    <cellStyle name="20% - Accent1 53 2" xfId="3625"/>
    <cellStyle name="20% - Accent1 54" xfId="86"/>
    <cellStyle name="20% - Accent1 54 2" xfId="3626"/>
    <cellStyle name="20% - Accent1 55" xfId="87"/>
    <cellStyle name="20% - Accent1 55 2" xfId="3627"/>
    <cellStyle name="20% - Accent1 56" xfId="88"/>
    <cellStyle name="20% - Accent1 56 2" xfId="3628"/>
    <cellStyle name="20% - Accent1 57" xfId="89"/>
    <cellStyle name="20% - Accent1 57 2" xfId="3629"/>
    <cellStyle name="20% - Accent1 58" xfId="90"/>
    <cellStyle name="20% - Accent1 58 2" xfId="3630"/>
    <cellStyle name="20% - Accent1 59" xfId="91"/>
    <cellStyle name="20% - Accent1 59 2" xfId="3631"/>
    <cellStyle name="20% - Accent1 6" xfId="92"/>
    <cellStyle name="20% - Accent1 6 2" xfId="3632"/>
    <cellStyle name="20% - Accent1 60" xfId="3633"/>
    <cellStyle name="20% - Accent1 7" xfId="93"/>
    <cellStyle name="20% - Accent1 7 2" xfId="3634"/>
    <cellStyle name="20% - Accent1 8" xfId="94"/>
    <cellStyle name="20% - Accent1 8 2" xfId="3635"/>
    <cellStyle name="20% - Accent1 9" xfId="95"/>
    <cellStyle name="20% - Accent1 9 2" xfId="3636"/>
    <cellStyle name="20% - Accent2 10" xfId="96"/>
    <cellStyle name="20% - Accent2 10 2" xfId="3637"/>
    <cellStyle name="20% - Accent2 11" xfId="97"/>
    <cellStyle name="20% - Accent2 11 2" xfId="3638"/>
    <cellStyle name="20% - Accent2 12" xfId="98"/>
    <cellStyle name="20% - Accent2 12 2" xfId="3639"/>
    <cellStyle name="20% - Accent2 13" xfId="99"/>
    <cellStyle name="20% - Accent2 13 2" xfId="3640"/>
    <cellStyle name="20% - Accent2 14" xfId="100"/>
    <cellStyle name="20% - Accent2 14 2" xfId="3641"/>
    <cellStyle name="20% - Accent2 15" xfId="101"/>
    <cellStyle name="20% - Accent2 15 2" xfId="3642"/>
    <cellStyle name="20% - Accent2 16" xfId="102"/>
    <cellStyle name="20% - Accent2 16 2" xfId="3643"/>
    <cellStyle name="20% - Accent2 17" xfId="103"/>
    <cellStyle name="20% - Accent2 17 2" xfId="3644"/>
    <cellStyle name="20% - Accent2 18" xfId="104"/>
    <cellStyle name="20% - Accent2 18 2" xfId="3645"/>
    <cellStyle name="20% - Accent2 19" xfId="105"/>
    <cellStyle name="20% - Accent2 19 2" xfId="3646"/>
    <cellStyle name="20% - Accent2 2" xfId="106"/>
    <cellStyle name="20% - Accent2 2 2" xfId="107"/>
    <cellStyle name="20% - Accent2 2 2 2" xfId="3647"/>
    <cellStyle name="20% - Accent2 2 3" xfId="3648"/>
    <cellStyle name="20% - Accent2 20" xfId="108"/>
    <cellStyle name="20% - Accent2 20 2" xfId="3649"/>
    <cellStyle name="20% - Accent2 21" xfId="109"/>
    <cellStyle name="20% - Accent2 21 2" xfId="3650"/>
    <cellStyle name="20% - Accent2 22" xfId="110"/>
    <cellStyle name="20% - Accent2 22 2" xfId="3651"/>
    <cellStyle name="20% - Accent2 23" xfId="111"/>
    <cellStyle name="20% - Accent2 23 2" xfId="3652"/>
    <cellStyle name="20% - Accent2 24" xfId="112"/>
    <cellStyle name="20% - Accent2 24 2" xfId="3653"/>
    <cellStyle name="20% - Accent2 25" xfId="113"/>
    <cellStyle name="20% - Accent2 25 2" xfId="3654"/>
    <cellStyle name="20% - Accent2 26" xfId="114"/>
    <cellStyle name="20% - Accent2 26 2" xfId="3655"/>
    <cellStyle name="20% - Accent2 27" xfId="115"/>
    <cellStyle name="20% - Accent2 27 2" xfId="3656"/>
    <cellStyle name="20% - Accent2 28" xfId="116"/>
    <cellStyle name="20% - Accent2 28 2" xfId="3657"/>
    <cellStyle name="20% - Accent2 29" xfId="117"/>
    <cellStyle name="20% - Accent2 29 2" xfId="3658"/>
    <cellStyle name="20% - Accent2 3" xfId="118"/>
    <cellStyle name="20% - Accent2 3 2" xfId="3659"/>
    <cellStyle name="20% - Accent2 30" xfId="119"/>
    <cellStyle name="20% - Accent2 30 2" xfId="3660"/>
    <cellStyle name="20% - Accent2 31" xfId="120"/>
    <cellStyle name="20% - Accent2 31 2" xfId="3661"/>
    <cellStyle name="20% - Accent2 32" xfId="121"/>
    <cellStyle name="20% - Accent2 32 2" xfId="3662"/>
    <cellStyle name="20% - Accent2 33" xfId="122"/>
    <cellStyle name="20% - Accent2 33 2" xfId="3663"/>
    <cellStyle name="20% - Accent2 34" xfId="123"/>
    <cellStyle name="20% - Accent2 34 2" xfId="3664"/>
    <cellStyle name="20% - Accent2 35" xfId="124"/>
    <cellStyle name="20% - Accent2 35 2" xfId="3665"/>
    <cellStyle name="20% - Accent2 36" xfId="125"/>
    <cellStyle name="20% - Accent2 36 2" xfId="3666"/>
    <cellStyle name="20% - Accent2 37" xfId="126"/>
    <cellStyle name="20% - Accent2 37 2" xfId="3667"/>
    <cellStyle name="20% - Accent2 38" xfId="127"/>
    <cellStyle name="20% - Accent2 38 2" xfId="3668"/>
    <cellStyle name="20% - Accent2 39" xfId="128"/>
    <cellStyle name="20% - Accent2 39 2" xfId="3669"/>
    <cellStyle name="20% - Accent2 4" xfId="129"/>
    <cellStyle name="20% - Accent2 4 2" xfId="3670"/>
    <cellStyle name="20% - Accent2 40" xfId="130"/>
    <cellStyle name="20% - Accent2 40 2" xfId="3671"/>
    <cellStyle name="20% - Accent2 41" xfId="131"/>
    <cellStyle name="20% - Accent2 41 2" xfId="3672"/>
    <cellStyle name="20% - Accent2 42" xfId="132"/>
    <cellStyle name="20% - Accent2 42 2" xfId="3673"/>
    <cellStyle name="20% - Accent2 43" xfId="133"/>
    <cellStyle name="20% - Accent2 43 2" xfId="3674"/>
    <cellStyle name="20% - Accent2 44" xfId="134"/>
    <cellStyle name="20% - Accent2 44 2" xfId="3675"/>
    <cellStyle name="20% - Accent2 45" xfId="135"/>
    <cellStyle name="20% - Accent2 45 2" xfId="3676"/>
    <cellStyle name="20% - Accent2 46" xfId="136"/>
    <cellStyle name="20% - Accent2 46 2" xfId="3677"/>
    <cellStyle name="20% - Accent2 47" xfId="137"/>
    <cellStyle name="20% - Accent2 47 2" xfId="3678"/>
    <cellStyle name="20% - Accent2 48" xfId="138"/>
    <cellStyle name="20% - Accent2 48 2" xfId="3679"/>
    <cellStyle name="20% - Accent2 49" xfId="139"/>
    <cellStyle name="20% - Accent2 49 2" xfId="3680"/>
    <cellStyle name="20% - Accent2 5" xfId="140"/>
    <cellStyle name="20% - Accent2 5 2" xfId="3681"/>
    <cellStyle name="20% - Accent2 50" xfId="141"/>
    <cellStyle name="20% - Accent2 50 2" xfId="3682"/>
    <cellStyle name="20% - Accent2 51" xfId="142"/>
    <cellStyle name="20% - Accent2 51 2" xfId="3683"/>
    <cellStyle name="20% - Accent2 52" xfId="143"/>
    <cellStyle name="20% - Accent2 52 2" xfId="3684"/>
    <cellStyle name="20% - Accent2 53" xfId="144"/>
    <cellStyle name="20% - Accent2 53 2" xfId="3685"/>
    <cellStyle name="20% - Accent2 54" xfId="145"/>
    <cellStyle name="20% - Accent2 54 2" xfId="3686"/>
    <cellStyle name="20% - Accent2 55" xfId="146"/>
    <cellStyle name="20% - Accent2 55 2" xfId="3687"/>
    <cellStyle name="20% - Accent2 56" xfId="147"/>
    <cellStyle name="20% - Accent2 56 2" xfId="3688"/>
    <cellStyle name="20% - Accent2 57" xfId="148"/>
    <cellStyle name="20% - Accent2 57 2" xfId="3689"/>
    <cellStyle name="20% - Accent2 58" xfId="149"/>
    <cellStyle name="20% - Accent2 58 2" xfId="3690"/>
    <cellStyle name="20% - Accent2 59" xfId="150"/>
    <cellStyle name="20% - Accent2 59 2" xfId="3691"/>
    <cellStyle name="20% - Accent2 6" xfId="151"/>
    <cellStyle name="20% - Accent2 6 2" xfId="3692"/>
    <cellStyle name="20% - Accent2 60" xfId="3693"/>
    <cellStyle name="20% - Accent2 7" xfId="152"/>
    <cellStyle name="20% - Accent2 7 2" xfId="3694"/>
    <cellStyle name="20% - Accent2 8" xfId="153"/>
    <cellStyle name="20% - Accent2 8 2" xfId="3695"/>
    <cellStyle name="20% - Accent2 9" xfId="154"/>
    <cellStyle name="20% - Accent2 9 2" xfId="3696"/>
    <cellStyle name="20% - Accent3 10" xfId="155"/>
    <cellStyle name="20% - Accent3 10 2" xfId="3697"/>
    <cellStyle name="20% - Accent3 11" xfId="156"/>
    <cellStyle name="20% - Accent3 11 2" xfId="3698"/>
    <cellStyle name="20% - Accent3 12" xfId="157"/>
    <cellStyle name="20% - Accent3 12 2" xfId="3699"/>
    <cellStyle name="20% - Accent3 13" xfId="158"/>
    <cellStyle name="20% - Accent3 13 2" xfId="3700"/>
    <cellStyle name="20% - Accent3 14" xfId="159"/>
    <cellStyle name="20% - Accent3 14 2" xfId="3701"/>
    <cellStyle name="20% - Accent3 15" xfId="160"/>
    <cellStyle name="20% - Accent3 15 2" xfId="3702"/>
    <cellStyle name="20% - Accent3 16" xfId="161"/>
    <cellStyle name="20% - Accent3 16 2" xfId="3703"/>
    <cellStyle name="20% - Accent3 17" xfId="162"/>
    <cellStyle name="20% - Accent3 17 2" xfId="3704"/>
    <cellStyle name="20% - Accent3 18" xfId="163"/>
    <cellStyle name="20% - Accent3 18 2" xfId="3705"/>
    <cellStyle name="20% - Accent3 19" xfId="164"/>
    <cellStyle name="20% - Accent3 19 2" xfId="3706"/>
    <cellStyle name="20% - Accent3 2" xfId="165"/>
    <cellStyle name="20% - Accent3 2 2" xfId="166"/>
    <cellStyle name="20% - Accent3 2 2 2" xfId="3707"/>
    <cellStyle name="20% - Accent3 2 3" xfId="3708"/>
    <cellStyle name="20% - Accent3 20" xfId="167"/>
    <cellStyle name="20% - Accent3 20 2" xfId="3709"/>
    <cellStyle name="20% - Accent3 21" xfId="168"/>
    <cellStyle name="20% - Accent3 21 2" xfId="3710"/>
    <cellStyle name="20% - Accent3 22" xfId="169"/>
    <cellStyle name="20% - Accent3 22 2" xfId="3711"/>
    <cellStyle name="20% - Accent3 23" xfId="170"/>
    <cellStyle name="20% - Accent3 23 2" xfId="3712"/>
    <cellStyle name="20% - Accent3 24" xfId="171"/>
    <cellStyle name="20% - Accent3 24 2" xfId="3713"/>
    <cellStyle name="20% - Accent3 25" xfId="172"/>
    <cellStyle name="20% - Accent3 25 2" xfId="3714"/>
    <cellStyle name="20% - Accent3 26" xfId="173"/>
    <cellStyle name="20% - Accent3 26 2" xfId="3715"/>
    <cellStyle name="20% - Accent3 27" xfId="174"/>
    <cellStyle name="20% - Accent3 27 2" xfId="3716"/>
    <cellStyle name="20% - Accent3 28" xfId="175"/>
    <cellStyle name="20% - Accent3 28 2" xfId="3717"/>
    <cellStyle name="20% - Accent3 29" xfId="176"/>
    <cellStyle name="20% - Accent3 29 2" xfId="3718"/>
    <cellStyle name="20% - Accent3 3" xfId="177"/>
    <cellStyle name="20% - Accent3 3 2" xfId="3719"/>
    <cellStyle name="20% - Accent3 30" xfId="178"/>
    <cellStyle name="20% - Accent3 30 2" xfId="3720"/>
    <cellStyle name="20% - Accent3 31" xfId="179"/>
    <cellStyle name="20% - Accent3 31 2" xfId="3721"/>
    <cellStyle name="20% - Accent3 32" xfId="180"/>
    <cellStyle name="20% - Accent3 32 2" xfId="3722"/>
    <cellStyle name="20% - Accent3 33" xfId="181"/>
    <cellStyle name="20% - Accent3 33 2" xfId="3723"/>
    <cellStyle name="20% - Accent3 34" xfId="182"/>
    <cellStyle name="20% - Accent3 34 2" xfId="3724"/>
    <cellStyle name="20% - Accent3 35" xfId="183"/>
    <cellStyle name="20% - Accent3 35 2" xfId="3725"/>
    <cellStyle name="20% - Accent3 36" xfId="184"/>
    <cellStyle name="20% - Accent3 36 2" xfId="3726"/>
    <cellStyle name="20% - Accent3 37" xfId="185"/>
    <cellStyle name="20% - Accent3 37 2" xfId="3727"/>
    <cellStyle name="20% - Accent3 38" xfId="186"/>
    <cellStyle name="20% - Accent3 38 2" xfId="3728"/>
    <cellStyle name="20% - Accent3 39" xfId="187"/>
    <cellStyle name="20% - Accent3 39 2" xfId="3729"/>
    <cellStyle name="20% - Accent3 4" xfId="188"/>
    <cellStyle name="20% - Accent3 4 2" xfId="3730"/>
    <cellStyle name="20% - Accent3 40" xfId="189"/>
    <cellStyle name="20% - Accent3 40 2" xfId="3731"/>
    <cellStyle name="20% - Accent3 41" xfId="190"/>
    <cellStyle name="20% - Accent3 41 2" xfId="3732"/>
    <cellStyle name="20% - Accent3 42" xfId="191"/>
    <cellStyle name="20% - Accent3 42 2" xfId="3733"/>
    <cellStyle name="20% - Accent3 43" xfId="192"/>
    <cellStyle name="20% - Accent3 43 2" xfId="3734"/>
    <cellStyle name="20% - Accent3 44" xfId="193"/>
    <cellStyle name="20% - Accent3 44 2" xfId="3735"/>
    <cellStyle name="20% - Accent3 45" xfId="194"/>
    <cellStyle name="20% - Accent3 45 2" xfId="3736"/>
    <cellStyle name="20% - Accent3 46" xfId="195"/>
    <cellStyle name="20% - Accent3 46 2" xfId="3737"/>
    <cellStyle name="20% - Accent3 47" xfId="196"/>
    <cellStyle name="20% - Accent3 47 2" xfId="3738"/>
    <cellStyle name="20% - Accent3 48" xfId="197"/>
    <cellStyle name="20% - Accent3 48 2" xfId="3739"/>
    <cellStyle name="20% - Accent3 49" xfId="198"/>
    <cellStyle name="20% - Accent3 49 2" xfId="3740"/>
    <cellStyle name="20% - Accent3 5" xfId="199"/>
    <cellStyle name="20% - Accent3 5 2" xfId="3741"/>
    <cellStyle name="20% - Accent3 50" xfId="200"/>
    <cellStyle name="20% - Accent3 50 2" xfId="3742"/>
    <cellStyle name="20% - Accent3 51" xfId="201"/>
    <cellStyle name="20% - Accent3 51 2" xfId="3743"/>
    <cellStyle name="20% - Accent3 52" xfId="202"/>
    <cellStyle name="20% - Accent3 52 2" xfId="3744"/>
    <cellStyle name="20% - Accent3 53" xfId="203"/>
    <cellStyle name="20% - Accent3 53 2" xfId="3745"/>
    <cellStyle name="20% - Accent3 54" xfId="204"/>
    <cellStyle name="20% - Accent3 54 2" xfId="3746"/>
    <cellStyle name="20% - Accent3 55" xfId="205"/>
    <cellStyle name="20% - Accent3 55 2" xfId="3747"/>
    <cellStyle name="20% - Accent3 56" xfId="206"/>
    <cellStyle name="20% - Accent3 56 2" xfId="3748"/>
    <cellStyle name="20% - Accent3 57" xfId="207"/>
    <cellStyle name="20% - Accent3 57 2" xfId="3749"/>
    <cellStyle name="20% - Accent3 58" xfId="208"/>
    <cellStyle name="20% - Accent3 58 2" xfId="3750"/>
    <cellStyle name="20% - Accent3 59" xfId="209"/>
    <cellStyle name="20% - Accent3 59 2" xfId="3751"/>
    <cellStyle name="20% - Accent3 6" xfId="210"/>
    <cellStyle name="20% - Accent3 6 2" xfId="3752"/>
    <cellStyle name="20% - Accent3 60" xfId="3753"/>
    <cellStyle name="20% - Accent3 7" xfId="211"/>
    <cellStyle name="20% - Accent3 7 2" xfId="3754"/>
    <cellStyle name="20% - Accent3 8" xfId="212"/>
    <cellStyle name="20% - Accent3 8 2" xfId="3755"/>
    <cellStyle name="20% - Accent3 9" xfId="213"/>
    <cellStyle name="20% - Accent3 9 2" xfId="3756"/>
    <cellStyle name="20% - Accent4 10" xfId="214"/>
    <cellStyle name="20% - Accent4 10 2" xfId="3757"/>
    <cellStyle name="20% - Accent4 11" xfId="215"/>
    <cellStyle name="20% - Accent4 11 2" xfId="3758"/>
    <cellStyle name="20% - Accent4 12" xfId="216"/>
    <cellStyle name="20% - Accent4 12 2" xfId="3759"/>
    <cellStyle name="20% - Accent4 13" xfId="217"/>
    <cellStyle name="20% - Accent4 13 2" xfId="3760"/>
    <cellStyle name="20% - Accent4 14" xfId="218"/>
    <cellStyle name="20% - Accent4 14 2" xfId="3761"/>
    <cellStyle name="20% - Accent4 15" xfId="219"/>
    <cellStyle name="20% - Accent4 15 2" xfId="3762"/>
    <cellStyle name="20% - Accent4 16" xfId="220"/>
    <cellStyle name="20% - Accent4 16 2" xfId="3763"/>
    <cellStyle name="20% - Accent4 17" xfId="221"/>
    <cellStyle name="20% - Accent4 17 2" xfId="3764"/>
    <cellStyle name="20% - Accent4 18" xfId="222"/>
    <cellStyle name="20% - Accent4 18 2" xfId="3765"/>
    <cellStyle name="20% - Accent4 19" xfId="223"/>
    <cellStyle name="20% - Accent4 19 2" xfId="3766"/>
    <cellStyle name="20% - Accent4 2" xfId="224"/>
    <cellStyle name="20% - Accent4 2 2" xfId="225"/>
    <cellStyle name="20% - Accent4 2 2 2" xfId="3767"/>
    <cellStyle name="20% - Accent4 2 3" xfId="3768"/>
    <cellStyle name="20% - Accent4 20" xfId="226"/>
    <cellStyle name="20% - Accent4 20 2" xfId="3769"/>
    <cellStyle name="20% - Accent4 21" xfId="227"/>
    <cellStyle name="20% - Accent4 21 2" xfId="3770"/>
    <cellStyle name="20% - Accent4 22" xfId="228"/>
    <cellStyle name="20% - Accent4 22 2" xfId="3771"/>
    <cellStyle name="20% - Accent4 23" xfId="229"/>
    <cellStyle name="20% - Accent4 23 2" xfId="3772"/>
    <cellStyle name="20% - Accent4 24" xfId="230"/>
    <cellStyle name="20% - Accent4 24 2" xfId="3773"/>
    <cellStyle name="20% - Accent4 25" xfId="231"/>
    <cellStyle name="20% - Accent4 25 2" xfId="3774"/>
    <cellStyle name="20% - Accent4 26" xfId="232"/>
    <cellStyle name="20% - Accent4 26 2" xfId="3775"/>
    <cellStyle name="20% - Accent4 27" xfId="233"/>
    <cellStyle name="20% - Accent4 27 2" xfId="3776"/>
    <cellStyle name="20% - Accent4 28" xfId="234"/>
    <cellStyle name="20% - Accent4 28 2" xfId="3777"/>
    <cellStyle name="20% - Accent4 29" xfId="235"/>
    <cellStyle name="20% - Accent4 29 2" xfId="3778"/>
    <cellStyle name="20% - Accent4 3" xfId="236"/>
    <cellStyle name="20% - Accent4 3 2" xfId="3779"/>
    <cellStyle name="20% - Accent4 30" xfId="237"/>
    <cellStyle name="20% - Accent4 30 2" xfId="3780"/>
    <cellStyle name="20% - Accent4 31" xfId="238"/>
    <cellStyle name="20% - Accent4 31 2" xfId="3781"/>
    <cellStyle name="20% - Accent4 32" xfId="239"/>
    <cellStyle name="20% - Accent4 32 2" xfId="3782"/>
    <cellStyle name="20% - Accent4 33" xfId="240"/>
    <cellStyle name="20% - Accent4 33 2" xfId="3783"/>
    <cellStyle name="20% - Accent4 34" xfId="241"/>
    <cellStyle name="20% - Accent4 34 2" xfId="3784"/>
    <cellStyle name="20% - Accent4 35" xfId="242"/>
    <cellStyle name="20% - Accent4 35 2" xfId="3785"/>
    <cellStyle name="20% - Accent4 36" xfId="243"/>
    <cellStyle name="20% - Accent4 36 2" xfId="3786"/>
    <cellStyle name="20% - Accent4 37" xfId="244"/>
    <cellStyle name="20% - Accent4 37 2" xfId="3787"/>
    <cellStyle name="20% - Accent4 38" xfId="245"/>
    <cellStyle name="20% - Accent4 38 2" xfId="3788"/>
    <cellStyle name="20% - Accent4 39" xfId="246"/>
    <cellStyle name="20% - Accent4 39 2" xfId="3789"/>
    <cellStyle name="20% - Accent4 4" xfId="247"/>
    <cellStyle name="20% - Accent4 4 2" xfId="3790"/>
    <cellStyle name="20% - Accent4 40" xfId="248"/>
    <cellStyle name="20% - Accent4 40 2" xfId="3791"/>
    <cellStyle name="20% - Accent4 41" xfId="249"/>
    <cellStyle name="20% - Accent4 41 2" xfId="3792"/>
    <cellStyle name="20% - Accent4 42" xfId="250"/>
    <cellStyle name="20% - Accent4 42 2" xfId="3793"/>
    <cellStyle name="20% - Accent4 43" xfId="251"/>
    <cellStyle name="20% - Accent4 43 2" xfId="3794"/>
    <cellStyle name="20% - Accent4 44" xfId="252"/>
    <cellStyle name="20% - Accent4 44 2" xfId="3795"/>
    <cellStyle name="20% - Accent4 45" xfId="253"/>
    <cellStyle name="20% - Accent4 45 2" xfId="3796"/>
    <cellStyle name="20% - Accent4 46" xfId="254"/>
    <cellStyle name="20% - Accent4 46 2" xfId="3797"/>
    <cellStyle name="20% - Accent4 47" xfId="255"/>
    <cellStyle name="20% - Accent4 47 2" xfId="3798"/>
    <cellStyle name="20% - Accent4 48" xfId="256"/>
    <cellStyle name="20% - Accent4 48 2" xfId="3799"/>
    <cellStyle name="20% - Accent4 49" xfId="257"/>
    <cellStyle name="20% - Accent4 49 2" xfId="3800"/>
    <cellStyle name="20% - Accent4 5" xfId="258"/>
    <cellStyle name="20% - Accent4 5 2" xfId="3801"/>
    <cellStyle name="20% - Accent4 50" xfId="259"/>
    <cellStyle name="20% - Accent4 50 2" xfId="3802"/>
    <cellStyle name="20% - Accent4 51" xfId="260"/>
    <cellStyle name="20% - Accent4 51 2" xfId="3803"/>
    <cellStyle name="20% - Accent4 52" xfId="261"/>
    <cellStyle name="20% - Accent4 52 2" xfId="3804"/>
    <cellStyle name="20% - Accent4 53" xfId="262"/>
    <cellStyle name="20% - Accent4 53 2" xfId="3805"/>
    <cellStyle name="20% - Accent4 54" xfId="263"/>
    <cellStyle name="20% - Accent4 54 2" xfId="3806"/>
    <cellStyle name="20% - Accent4 55" xfId="264"/>
    <cellStyle name="20% - Accent4 55 2" xfId="3807"/>
    <cellStyle name="20% - Accent4 56" xfId="265"/>
    <cellStyle name="20% - Accent4 56 2" xfId="3808"/>
    <cellStyle name="20% - Accent4 57" xfId="266"/>
    <cellStyle name="20% - Accent4 57 2" xfId="3809"/>
    <cellStyle name="20% - Accent4 58" xfId="267"/>
    <cellStyle name="20% - Accent4 58 2" xfId="3810"/>
    <cellStyle name="20% - Accent4 59" xfId="268"/>
    <cellStyle name="20% - Accent4 59 2" xfId="3811"/>
    <cellStyle name="20% - Accent4 6" xfId="269"/>
    <cellStyle name="20% - Accent4 6 2" xfId="3812"/>
    <cellStyle name="20% - Accent4 60" xfId="3813"/>
    <cellStyle name="20% - Accent4 7" xfId="270"/>
    <cellStyle name="20% - Accent4 7 2" xfId="3814"/>
    <cellStyle name="20% - Accent4 8" xfId="271"/>
    <cellStyle name="20% - Accent4 8 2" xfId="3815"/>
    <cellStyle name="20% - Accent4 9" xfId="272"/>
    <cellStyle name="20% - Accent4 9 2" xfId="3816"/>
    <cellStyle name="20% - Accent5 10" xfId="273"/>
    <cellStyle name="20% - Accent5 10 2" xfId="3817"/>
    <cellStyle name="20% - Accent5 11" xfId="274"/>
    <cellStyle name="20% - Accent5 11 2" xfId="3818"/>
    <cellStyle name="20% - Accent5 12" xfId="275"/>
    <cellStyle name="20% - Accent5 12 2" xfId="3819"/>
    <cellStyle name="20% - Accent5 13" xfId="276"/>
    <cellStyle name="20% - Accent5 13 2" xfId="3820"/>
    <cellStyle name="20% - Accent5 14" xfId="277"/>
    <cellStyle name="20% - Accent5 14 2" xfId="3821"/>
    <cellStyle name="20% - Accent5 15" xfId="278"/>
    <cellStyle name="20% - Accent5 15 2" xfId="3822"/>
    <cellStyle name="20% - Accent5 16" xfId="279"/>
    <cellStyle name="20% - Accent5 16 2" xfId="3823"/>
    <cellStyle name="20% - Accent5 17" xfId="280"/>
    <cellStyle name="20% - Accent5 17 2" xfId="3824"/>
    <cellStyle name="20% - Accent5 18" xfId="281"/>
    <cellStyle name="20% - Accent5 18 2" xfId="3825"/>
    <cellStyle name="20% - Accent5 19" xfId="282"/>
    <cellStyle name="20% - Accent5 19 2" xfId="3826"/>
    <cellStyle name="20% - Accent5 2" xfId="283"/>
    <cellStyle name="20% - Accent5 2 2" xfId="284"/>
    <cellStyle name="20% - Accent5 2 2 2" xfId="3827"/>
    <cellStyle name="20% - Accent5 2 3" xfId="3828"/>
    <cellStyle name="20% - Accent5 20" xfId="285"/>
    <cellStyle name="20% - Accent5 20 2" xfId="3829"/>
    <cellStyle name="20% - Accent5 21" xfId="286"/>
    <cellStyle name="20% - Accent5 21 2" xfId="3830"/>
    <cellStyle name="20% - Accent5 22" xfId="287"/>
    <cellStyle name="20% - Accent5 22 2" xfId="3831"/>
    <cellStyle name="20% - Accent5 23" xfId="288"/>
    <cellStyle name="20% - Accent5 23 2" xfId="3832"/>
    <cellStyle name="20% - Accent5 24" xfId="289"/>
    <cellStyle name="20% - Accent5 24 2" xfId="3833"/>
    <cellStyle name="20% - Accent5 25" xfId="290"/>
    <cellStyle name="20% - Accent5 25 2" xfId="3834"/>
    <cellStyle name="20% - Accent5 26" xfId="291"/>
    <cellStyle name="20% - Accent5 26 2" xfId="3835"/>
    <cellStyle name="20% - Accent5 27" xfId="292"/>
    <cellStyle name="20% - Accent5 27 2" xfId="3836"/>
    <cellStyle name="20% - Accent5 28" xfId="293"/>
    <cellStyle name="20% - Accent5 28 2" xfId="3837"/>
    <cellStyle name="20% - Accent5 29" xfId="294"/>
    <cellStyle name="20% - Accent5 29 2" xfId="3838"/>
    <cellStyle name="20% - Accent5 3" xfId="295"/>
    <cellStyle name="20% - Accent5 3 2" xfId="3839"/>
    <cellStyle name="20% - Accent5 30" xfId="296"/>
    <cellStyle name="20% - Accent5 30 2" xfId="3840"/>
    <cellStyle name="20% - Accent5 31" xfId="297"/>
    <cellStyle name="20% - Accent5 31 2" xfId="3841"/>
    <cellStyle name="20% - Accent5 32" xfId="298"/>
    <cellStyle name="20% - Accent5 32 2" xfId="3842"/>
    <cellStyle name="20% - Accent5 33" xfId="299"/>
    <cellStyle name="20% - Accent5 33 2" xfId="3843"/>
    <cellStyle name="20% - Accent5 34" xfId="300"/>
    <cellStyle name="20% - Accent5 34 2" xfId="3844"/>
    <cellStyle name="20% - Accent5 35" xfId="301"/>
    <cellStyle name="20% - Accent5 35 2" xfId="3845"/>
    <cellStyle name="20% - Accent5 36" xfId="302"/>
    <cellStyle name="20% - Accent5 36 2" xfId="3846"/>
    <cellStyle name="20% - Accent5 37" xfId="303"/>
    <cellStyle name="20% - Accent5 37 2" xfId="3847"/>
    <cellStyle name="20% - Accent5 38" xfId="304"/>
    <cellStyle name="20% - Accent5 38 2" xfId="3848"/>
    <cellStyle name="20% - Accent5 39" xfId="305"/>
    <cellStyle name="20% - Accent5 39 2" xfId="3849"/>
    <cellStyle name="20% - Accent5 4" xfId="306"/>
    <cellStyle name="20% - Accent5 4 2" xfId="3850"/>
    <cellStyle name="20% - Accent5 40" xfId="307"/>
    <cellStyle name="20% - Accent5 40 2" xfId="3851"/>
    <cellStyle name="20% - Accent5 41" xfId="308"/>
    <cellStyle name="20% - Accent5 41 2" xfId="3852"/>
    <cellStyle name="20% - Accent5 42" xfId="309"/>
    <cellStyle name="20% - Accent5 42 2" xfId="3853"/>
    <cellStyle name="20% - Accent5 43" xfId="310"/>
    <cellStyle name="20% - Accent5 43 2" xfId="3854"/>
    <cellStyle name="20% - Accent5 44" xfId="311"/>
    <cellStyle name="20% - Accent5 44 2" xfId="3855"/>
    <cellStyle name="20% - Accent5 45" xfId="312"/>
    <cellStyle name="20% - Accent5 45 2" xfId="3856"/>
    <cellStyle name="20% - Accent5 46" xfId="313"/>
    <cellStyle name="20% - Accent5 46 2" xfId="3857"/>
    <cellStyle name="20% - Accent5 47" xfId="314"/>
    <cellStyle name="20% - Accent5 47 2" xfId="3858"/>
    <cellStyle name="20% - Accent5 48" xfId="315"/>
    <cellStyle name="20% - Accent5 48 2" xfId="3859"/>
    <cellStyle name="20% - Accent5 49" xfId="316"/>
    <cellStyle name="20% - Accent5 49 2" xfId="3860"/>
    <cellStyle name="20% - Accent5 5" xfId="317"/>
    <cellStyle name="20% - Accent5 5 2" xfId="3861"/>
    <cellStyle name="20% - Accent5 50" xfId="318"/>
    <cellStyle name="20% - Accent5 50 2" xfId="3862"/>
    <cellStyle name="20% - Accent5 51" xfId="319"/>
    <cellStyle name="20% - Accent5 51 2" xfId="3863"/>
    <cellStyle name="20% - Accent5 52" xfId="320"/>
    <cellStyle name="20% - Accent5 52 2" xfId="3864"/>
    <cellStyle name="20% - Accent5 53" xfId="321"/>
    <cellStyle name="20% - Accent5 53 2" xfId="3865"/>
    <cellStyle name="20% - Accent5 54" xfId="322"/>
    <cellStyle name="20% - Accent5 54 2" xfId="3866"/>
    <cellStyle name="20% - Accent5 55" xfId="323"/>
    <cellStyle name="20% - Accent5 55 2" xfId="3867"/>
    <cellStyle name="20% - Accent5 56" xfId="324"/>
    <cellStyle name="20% - Accent5 56 2" xfId="3868"/>
    <cellStyle name="20% - Accent5 57" xfId="325"/>
    <cellStyle name="20% - Accent5 57 2" xfId="3869"/>
    <cellStyle name="20% - Accent5 58" xfId="326"/>
    <cellStyle name="20% - Accent5 58 2" xfId="3870"/>
    <cellStyle name="20% - Accent5 59" xfId="327"/>
    <cellStyle name="20% - Accent5 59 2" xfId="3871"/>
    <cellStyle name="20% - Accent5 6" xfId="328"/>
    <cellStyle name="20% - Accent5 6 2" xfId="3872"/>
    <cellStyle name="20% - Accent5 60" xfId="3873"/>
    <cellStyle name="20% - Accent5 7" xfId="329"/>
    <cellStyle name="20% - Accent5 7 2" xfId="3874"/>
    <cellStyle name="20% - Accent5 8" xfId="330"/>
    <cellStyle name="20% - Accent5 8 2" xfId="3875"/>
    <cellStyle name="20% - Accent5 9" xfId="331"/>
    <cellStyle name="20% - Accent5 9 2" xfId="3876"/>
    <cellStyle name="20% - Accent6 10" xfId="332"/>
    <cellStyle name="20% - Accent6 10 2" xfId="3877"/>
    <cellStyle name="20% - Accent6 11" xfId="333"/>
    <cellStyle name="20% - Accent6 11 2" xfId="3878"/>
    <cellStyle name="20% - Accent6 12" xfId="334"/>
    <cellStyle name="20% - Accent6 12 2" xfId="3879"/>
    <cellStyle name="20% - Accent6 13" xfId="335"/>
    <cellStyle name="20% - Accent6 13 2" xfId="3880"/>
    <cellStyle name="20% - Accent6 14" xfId="336"/>
    <cellStyle name="20% - Accent6 14 2" xfId="3881"/>
    <cellStyle name="20% - Accent6 15" xfId="337"/>
    <cellStyle name="20% - Accent6 15 2" xfId="3882"/>
    <cellStyle name="20% - Accent6 16" xfId="338"/>
    <cellStyle name="20% - Accent6 16 2" xfId="3883"/>
    <cellStyle name="20% - Accent6 17" xfId="339"/>
    <cellStyle name="20% - Accent6 17 2" xfId="3884"/>
    <cellStyle name="20% - Accent6 18" xfId="340"/>
    <cellStyle name="20% - Accent6 18 2" xfId="3885"/>
    <cellStyle name="20% - Accent6 19" xfId="341"/>
    <cellStyle name="20% - Accent6 19 2" xfId="3886"/>
    <cellStyle name="20% - Accent6 2" xfId="342"/>
    <cellStyle name="20% - Accent6 2 2" xfId="343"/>
    <cellStyle name="20% - Accent6 2 2 2" xfId="3887"/>
    <cellStyle name="20% - Accent6 2 3" xfId="3888"/>
    <cellStyle name="20% - Accent6 20" xfId="344"/>
    <cellStyle name="20% - Accent6 20 2" xfId="3889"/>
    <cellStyle name="20% - Accent6 21" xfId="345"/>
    <cellStyle name="20% - Accent6 21 2" xfId="3890"/>
    <cellStyle name="20% - Accent6 22" xfId="346"/>
    <cellStyle name="20% - Accent6 22 2" xfId="3891"/>
    <cellStyle name="20% - Accent6 23" xfId="347"/>
    <cellStyle name="20% - Accent6 23 2" xfId="3892"/>
    <cellStyle name="20% - Accent6 24" xfId="348"/>
    <cellStyle name="20% - Accent6 24 2" xfId="3893"/>
    <cellStyle name="20% - Accent6 25" xfId="349"/>
    <cellStyle name="20% - Accent6 25 2" xfId="3894"/>
    <cellStyle name="20% - Accent6 26" xfId="350"/>
    <cellStyle name="20% - Accent6 26 2" xfId="3895"/>
    <cellStyle name="20% - Accent6 27" xfId="351"/>
    <cellStyle name="20% - Accent6 27 2" xfId="3896"/>
    <cellStyle name="20% - Accent6 28" xfId="352"/>
    <cellStyle name="20% - Accent6 28 2" xfId="3897"/>
    <cellStyle name="20% - Accent6 29" xfId="353"/>
    <cellStyle name="20% - Accent6 29 2" xfId="3898"/>
    <cellStyle name="20% - Accent6 3" xfId="354"/>
    <cellStyle name="20% - Accent6 3 2" xfId="3899"/>
    <cellStyle name="20% - Accent6 30" xfId="355"/>
    <cellStyle name="20% - Accent6 30 2" xfId="3900"/>
    <cellStyle name="20% - Accent6 31" xfId="356"/>
    <cellStyle name="20% - Accent6 31 2" xfId="3901"/>
    <cellStyle name="20% - Accent6 32" xfId="357"/>
    <cellStyle name="20% - Accent6 32 2" xfId="3902"/>
    <cellStyle name="20% - Accent6 33" xfId="358"/>
    <cellStyle name="20% - Accent6 33 2" xfId="3903"/>
    <cellStyle name="20% - Accent6 34" xfId="359"/>
    <cellStyle name="20% - Accent6 34 2" xfId="3904"/>
    <cellStyle name="20% - Accent6 35" xfId="360"/>
    <cellStyle name="20% - Accent6 35 2" xfId="3905"/>
    <cellStyle name="20% - Accent6 36" xfId="361"/>
    <cellStyle name="20% - Accent6 36 2" xfId="3906"/>
    <cellStyle name="20% - Accent6 37" xfId="362"/>
    <cellStyle name="20% - Accent6 37 2" xfId="3907"/>
    <cellStyle name="20% - Accent6 38" xfId="363"/>
    <cellStyle name="20% - Accent6 38 2" xfId="3908"/>
    <cellStyle name="20% - Accent6 39" xfId="364"/>
    <cellStyle name="20% - Accent6 39 2" xfId="3909"/>
    <cellStyle name="20% - Accent6 4" xfId="365"/>
    <cellStyle name="20% - Accent6 4 2" xfId="3910"/>
    <cellStyle name="20% - Accent6 40" xfId="366"/>
    <cellStyle name="20% - Accent6 40 2" xfId="3911"/>
    <cellStyle name="20% - Accent6 41" xfId="367"/>
    <cellStyle name="20% - Accent6 41 2" xfId="3912"/>
    <cellStyle name="20% - Accent6 42" xfId="368"/>
    <cellStyle name="20% - Accent6 42 2" xfId="3913"/>
    <cellStyle name="20% - Accent6 43" xfId="369"/>
    <cellStyle name="20% - Accent6 43 2" xfId="3914"/>
    <cellStyle name="20% - Accent6 44" xfId="370"/>
    <cellStyle name="20% - Accent6 44 2" xfId="3915"/>
    <cellStyle name="20% - Accent6 45" xfId="371"/>
    <cellStyle name="20% - Accent6 45 2" xfId="3916"/>
    <cellStyle name="20% - Accent6 46" xfId="372"/>
    <cellStyle name="20% - Accent6 46 2" xfId="3917"/>
    <cellStyle name="20% - Accent6 47" xfId="373"/>
    <cellStyle name="20% - Accent6 47 2" xfId="3918"/>
    <cellStyle name="20% - Accent6 48" xfId="374"/>
    <cellStyle name="20% - Accent6 48 2" xfId="3919"/>
    <cellStyle name="20% - Accent6 49" xfId="375"/>
    <cellStyle name="20% - Accent6 49 2" xfId="3920"/>
    <cellStyle name="20% - Accent6 5" xfId="376"/>
    <cellStyle name="20% - Accent6 5 2" xfId="3921"/>
    <cellStyle name="20% - Accent6 50" xfId="377"/>
    <cellStyle name="20% - Accent6 50 2" xfId="3922"/>
    <cellStyle name="20% - Accent6 51" xfId="378"/>
    <cellStyle name="20% - Accent6 51 2" xfId="3923"/>
    <cellStyle name="20% - Accent6 52" xfId="379"/>
    <cellStyle name="20% - Accent6 52 2" xfId="3924"/>
    <cellStyle name="20% - Accent6 53" xfId="380"/>
    <cellStyle name="20% - Accent6 53 2" xfId="3925"/>
    <cellStyle name="20% - Accent6 54" xfId="381"/>
    <cellStyle name="20% - Accent6 54 2" xfId="3926"/>
    <cellStyle name="20% - Accent6 55" xfId="382"/>
    <cellStyle name="20% - Accent6 55 2" xfId="3927"/>
    <cellStyle name="20% - Accent6 56" xfId="383"/>
    <cellStyle name="20% - Accent6 56 2" xfId="3928"/>
    <cellStyle name="20% - Accent6 57" xfId="384"/>
    <cellStyle name="20% - Accent6 57 2" xfId="3929"/>
    <cellStyle name="20% - Accent6 58" xfId="385"/>
    <cellStyle name="20% - Accent6 58 2" xfId="3930"/>
    <cellStyle name="20% - Accent6 59" xfId="386"/>
    <cellStyle name="20% - Accent6 59 2" xfId="3931"/>
    <cellStyle name="20% - Accent6 6" xfId="387"/>
    <cellStyle name="20% - Accent6 6 2" xfId="3932"/>
    <cellStyle name="20% - Accent6 60" xfId="3933"/>
    <cellStyle name="20% - Accent6 7" xfId="388"/>
    <cellStyle name="20% - Accent6 7 2" xfId="3934"/>
    <cellStyle name="20% - Accent6 8" xfId="389"/>
    <cellStyle name="20% - Accent6 8 2" xfId="3935"/>
    <cellStyle name="20% - Accent6 9" xfId="390"/>
    <cellStyle name="20% - Accent6 9 2" xfId="3936"/>
    <cellStyle name="3" xfId="16723"/>
    <cellStyle name="4" xfId="16724"/>
    <cellStyle name="40% - Accent1 10" xfId="391"/>
    <cellStyle name="40% - Accent1 10 2" xfId="3937"/>
    <cellStyle name="40% - Accent1 11" xfId="392"/>
    <cellStyle name="40% - Accent1 11 2" xfId="3938"/>
    <cellStyle name="40% - Accent1 12" xfId="393"/>
    <cellStyle name="40% - Accent1 12 2" xfId="3939"/>
    <cellStyle name="40% - Accent1 13" xfId="394"/>
    <cellStyle name="40% - Accent1 13 2" xfId="3940"/>
    <cellStyle name="40% - Accent1 14" xfId="395"/>
    <cellStyle name="40% - Accent1 14 2" xfId="3941"/>
    <cellStyle name="40% - Accent1 15" xfId="396"/>
    <cellStyle name="40% - Accent1 15 2" xfId="3942"/>
    <cellStyle name="40% - Accent1 16" xfId="397"/>
    <cellStyle name="40% - Accent1 16 2" xfId="3943"/>
    <cellStyle name="40% - Accent1 17" xfId="398"/>
    <cellStyle name="40% - Accent1 17 2" xfId="3944"/>
    <cellStyle name="40% - Accent1 18" xfId="399"/>
    <cellStyle name="40% - Accent1 18 2" xfId="3945"/>
    <cellStyle name="40% - Accent1 19" xfId="400"/>
    <cellStyle name="40% - Accent1 19 2" xfId="3946"/>
    <cellStyle name="40% - Accent1 2" xfId="401"/>
    <cellStyle name="40% - Accent1 2 2" xfId="402"/>
    <cellStyle name="40% - Accent1 2 2 2" xfId="3947"/>
    <cellStyle name="40% - Accent1 2 3" xfId="3948"/>
    <cellStyle name="40% - Accent1 20" xfId="403"/>
    <cellStyle name="40% - Accent1 20 2" xfId="3949"/>
    <cellStyle name="40% - Accent1 21" xfId="404"/>
    <cellStyle name="40% - Accent1 21 2" xfId="3950"/>
    <cellStyle name="40% - Accent1 22" xfId="405"/>
    <cellStyle name="40% - Accent1 22 2" xfId="3951"/>
    <cellStyle name="40% - Accent1 23" xfId="406"/>
    <cellStyle name="40% - Accent1 23 2" xfId="3952"/>
    <cellStyle name="40% - Accent1 24" xfId="407"/>
    <cellStyle name="40% - Accent1 24 2" xfId="3953"/>
    <cellStyle name="40% - Accent1 25" xfId="408"/>
    <cellStyle name="40% - Accent1 25 2" xfId="3954"/>
    <cellStyle name="40% - Accent1 26" xfId="409"/>
    <cellStyle name="40% - Accent1 26 2" xfId="3955"/>
    <cellStyle name="40% - Accent1 27" xfId="410"/>
    <cellStyle name="40% - Accent1 27 2" xfId="3956"/>
    <cellStyle name="40% - Accent1 28" xfId="411"/>
    <cellStyle name="40% - Accent1 28 2" xfId="3957"/>
    <cellStyle name="40% - Accent1 29" xfId="412"/>
    <cellStyle name="40% - Accent1 29 2" xfId="3958"/>
    <cellStyle name="40% - Accent1 3" xfId="413"/>
    <cellStyle name="40% - Accent1 3 2" xfId="3959"/>
    <cellStyle name="40% - Accent1 30" xfId="414"/>
    <cellStyle name="40% - Accent1 30 2" xfId="3960"/>
    <cellStyle name="40% - Accent1 31" xfId="415"/>
    <cellStyle name="40% - Accent1 31 2" xfId="3961"/>
    <cellStyle name="40% - Accent1 32" xfId="416"/>
    <cellStyle name="40% - Accent1 32 2" xfId="3962"/>
    <cellStyle name="40% - Accent1 33" xfId="417"/>
    <cellStyle name="40% - Accent1 33 2" xfId="3963"/>
    <cellStyle name="40% - Accent1 34" xfId="418"/>
    <cellStyle name="40% - Accent1 34 2" xfId="3964"/>
    <cellStyle name="40% - Accent1 35" xfId="419"/>
    <cellStyle name="40% - Accent1 35 2" xfId="3965"/>
    <cellStyle name="40% - Accent1 36" xfId="420"/>
    <cellStyle name="40% - Accent1 36 2" xfId="3966"/>
    <cellStyle name="40% - Accent1 37" xfId="421"/>
    <cellStyle name="40% - Accent1 37 2" xfId="3967"/>
    <cellStyle name="40% - Accent1 38" xfId="422"/>
    <cellStyle name="40% - Accent1 38 2" xfId="3968"/>
    <cellStyle name="40% - Accent1 39" xfId="423"/>
    <cellStyle name="40% - Accent1 39 2" xfId="3969"/>
    <cellStyle name="40% - Accent1 4" xfId="424"/>
    <cellStyle name="40% - Accent1 4 2" xfId="3970"/>
    <cellStyle name="40% - Accent1 40" xfId="425"/>
    <cellStyle name="40% - Accent1 40 2" xfId="3971"/>
    <cellStyle name="40% - Accent1 41" xfId="426"/>
    <cellStyle name="40% - Accent1 41 2" xfId="3972"/>
    <cellStyle name="40% - Accent1 42" xfId="427"/>
    <cellStyle name="40% - Accent1 42 2" xfId="3973"/>
    <cellStyle name="40% - Accent1 43" xfId="428"/>
    <cellStyle name="40% - Accent1 43 2" xfId="3974"/>
    <cellStyle name="40% - Accent1 44" xfId="429"/>
    <cellStyle name="40% - Accent1 44 2" xfId="3975"/>
    <cellStyle name="40% - Accent1 45" xfId="430"/>
    <cellStyle name="40% - Accent1 45 2" xfId="3976"/>
    <cellStyle name="40% - Accent1 46" xfId="431"/>
    <cellStyle name="40% - Accent1 46 2" xfId="3977"/>
    <cellStyle name="40% - Accent1 47" xfId="432"/>
    <cellStyle name="40% - Accent1 47 2" xfId="3978"/>
    <cellStyle name="40% - Accent1 48" xfId="433"/>
    <cellStyle name="40% - Accent1 48 2" xfId="3979"/>
    <cellStyle name="40% - Accent1 49" xfId="434"/>
    <cellStyle name="40% - Accent1 49 2" xfId="3980"/>
    <cellStyle name="40% - Accent1 5" xfId="435"/>
    <cellStyle name="40% - Accent1 5 2" xfId="3981"/>
    <cellStyle name="40% - Accent1 50" xfId="436"/>
    <cellStyle name="40% - Accent1 50 2" xfId="3982"/>
    <cellStyle name="40% - Accent1 51" xfId="437"/>
    <cellStyle name="40% - Accent1 51 2" xfId="3983"/>
    <cellStyle name="40% - Accent1 52" xfId="438"/>
    <cellStyle name="40% - Accent1 52 2" xfId="3984"/>
    <cellStyle name="40% - Accent1 53" xfId="439"/>
    <cellStyle name="40% - Accent1 53 2" xfId="3985"/>
    <cellStyle name="40% - Accent1 54" xfId="440"/>
    <cellStyle name="40% - Accent1 54 2" xfId="3986"/>
    <cellStyle name="40% - Accent1 55" xfId="441"/>
    <cellStyle name="40% - Accent1 55 2" xfId="3987"/>
    <cellStyle name="40% - Accent1 56" xfId="442"/>
    <cellStyle name="40% - Accent1 56 2" xfId="3988"/>
    <cellStyle name="40% - Accent1 57" xfId="443"/>
    <cellStyle name="40% - Accent1 57 2" xfId="3989"/>
    <cellStyle name="40% - Accent1 58" xfId="444"/>
    <cellStyle name="40% - Accent1 58 2" xfId="3990"/>
    <cellStyle name="40% - Accent1 59" xfId="445"/>
    <cellStyle name="40% - Accent1 59 2" xfId="3991"/>
    <cellStyle name="40% - Accent1 6" xfId="446"/>
    <cellStyle name="40% - Accent1 6 2" xfId="3992"/>
    <cellStyle name="40% - Accent1 60" xfId="3993"/>
    <cellStyle name="40% - Accent1 7" xfId="447"/>
    <cellStyle name="40% - Accent1 7 2" xfId="3994"/>
    <cellStyle name="40% - Accent1 8" xfId="448"/>
    <cellStyle name="40% - Accent1 8 2" xfId="3995"/>
    <cellStyle name="40% - Accent1 9" xfId="449"/>
    <cellStyle name="40% - Accent1 9 2" xfId="3996"/>
    <cellStyle name="40% - Accent2 10" xfId="450"/>
    <cellStyle name="40% - Accent2 10 2" xfId="3997"/>
    <cellStyle name="40% - Accent2 11" xfId="451"/>
    <cellStyle name="40% - Accent2 11 2" xfId="3998"/>
    <cellStyle name="40% - Accent2 12" xfId="452"/>
    <cellStyle name="40% - Accent2 12 2" xfId="3999"/>
    <cellStyle name="40% - Accent2 13" xfId="453"/>
    <cellStyle name="40% - Accent2 13 2" xfId="4000"/>
    <cellStyle name="40% - Accent2 14" xfId="454"/>
    <cellStyle name="40% - Accent2 14 2" xfId="4001"/>
    <cellStyle name="40% - Accent2 15" xfId="455"/>
    <cellStyle name="40% - Accent2 15 2" xfId="4002"/>
    <cellStyle name="40% - Accent2 16" xfId="456"/>
    <cellStyle name="40% - Accent2 16 2" xfId="4003"/>
    <cellStyle name="40% - Accent2 17" xfId="457"/>
    <cellStyle name="40% - Accent2 17 2" xfId="4004"/>
    <cellStyle name="40% - Accent2 18" xfId="458"/>
    <cellStyle name="40% - Accent2 18 2" xfId="4005"/>
    <cellStyle name="40% - Accent2 19" xfId="459"/>
    <cellStyle name="40% - Accent2 19 2" xfId="4006"/>
    <cellStyle name="40% - Accent2 2" xfId="460"/>
    <cellStyle name="40% - Accent2 2 2" xfId="461"/>
    <cellStyle name="40% - Accent2 2 2 2" xfId="4007"/>
    <cellStyle name="40% - Accent2 2 3" xfId="4008"/>
    <cellStyle name="40% - Accent2 20" xfId="462"/>
    <cellStyle name="40% - Accent2 20 2" xfId="4009"/>
    <cellStyle name="40% - Accent2 21" xfId="463"/>
    <cellStyle name="40% - Accent2 21 2" xfId="4010"/>
    <cellStyle name="40% - Accent2 22" xfId="464"/>
    <cellStyle name="40% - Accent2 22 2" xfId="4011"/>
    <cellStyle name="40% - Accent2 23" xfId="465"/>
    <cellStyle name="40% - Accent2 23 2" xfId="4012"/>
    <cellStyle name="40% - Accent2 24" xfId="466"/>
    <cellStyle name="40% - Accent2 24 2" xfId="4013"/>
    <cellStyle name="40% - Accent2 25" xfId="467"/>
    <cellStyle name="40% - Accent2 25 2" xfId="4014"/>
    <cellStyle name="40% - Accent2 26" xfId="468"/>
    <cellStyle name="40% - Accent2 26 2" xfId="4015"/>
    <cellStyle name="40% - Accent2 27" xfId="469"/>
    <cellStyle name="40% - Accent2 27 2" xfId="4016"/>
    <cellStyle name="40% - Accent2 28" xfId="470"/>
    <cellStyle name="40% - Accent2 28 2" xfId="4017"/>
    <cellStyle name="40% - Accent2 29" xfId="471"/>
    <cellStyle name="40% - Accent2 29 2" xfId="4018"/>
    <cellStyle name="40% - Accent2 3" xfId="472"/>
    <cellStyle name="40% - Accent2 3 2" xfId="4019"/>
    <cellStyle name="40% - Accent2 30" xfId="473"/>
    <cellStyle name="40% - Accent2 30 2" xfId="4020"/>
    <cellStyle name="40% - Accent2 31" xfId="474"/>
    <cellStyle name="40% - Accent2 31 2" xfId="4021"/>
    <cellStyle name="40% - Accent2 32" xfId="475"/>
    <cellStyle name="40% - Accent2 32 2" xfId="4022"/>
    <cellStyle name="40% - Accent2 33" xfId="476"/>
    <cellStyle name="40% - Accent2 33 2" xfId="4023"/>
    <cellStyle name="40% - Accent2 34" xfId="477"/>
    <cellStyle name="40% - Accent2 34 2" xfId="4024"/>
    <cellStyle name="40% - Accent2 35" xfId="478"/>
    <cellStyle name="40% - Accent2 35 2" xfId="4025"/>
    <cellStyle name="40% - Accent2 36" xfId="479"/>
    <cellStyle name="40% - Accent2 36 2" xfId="4026"/>
    <cellStyle name="40% - Accent2 37" xfId="480"/>
    <cellStyle name="40% - Accent2 37 2" xfId="4027"/>
    <cellStyle name="40% - Accent2 38" xfId="481"/>
    <cellStyle name="40% - Accent2 38 2" xfId="4028"/>
    <cellStyle name="40% - Accent2 39" xfId="482"/>
    <cellStyle name="40% - Accent2 39 2" xfId="4029"/>
    <cellStyle name="40% - Accent2 4" xfId="483"/>
    <cellStyle name="40% - Accent2 4 2" xfId="4030"/>
    <cellStyle name="40% - Accent2 40" xfId="484"/>
    <cellStyle name="40% - Accent2 40 2" xfId="4031"/>
    <cellStyle name="40% - Accent2 41" xfId="485"/>
    <cellStyle name="40% - Accent2 41 2" xfId="4032"/>
    <cellStyle name="40% - Accent2 42" xfId="486"/>
    <cellStyle name="40% - Accent2 42 2" xfId="4033"/>
    <cellStyle name="40% - Accent2 43" xfId="487"/>
    <cellStyle name="40% - Accent2 43 2" xfId="4034"/>
    <cellStyle name="40% - Accent2 44" xfId="488"/>
    <cellStyle name="40% - Accent2 44 2" xfId="4035"/>
    <cellStyle name="40% - Accent2 45" xfId="489"/>
    <cellStyle name="40% - Accent2 45 2" xfId="4036"/>
    <cellStyle name="40% - Accent2 46" xfId="490"/>
    <cellStyle name="40% - Accent2 46 2" xfId="4037"/>
    <cellStyle name="40% - Accent2 47" xfId="491"/>
    <cellStyle name="40% - Accent2 47 2" xfId="4038"/>
    <cellStyle name="40% - Accent2 48" xfId="492"/>
    <cellStyle name="40% - Accent2 48 2" xfId="4039"/>
    <cellStyle name="40% - Accent2 49" xfId="493"/>
    <cellStyle name="40% - Accent2 49 2" xfId="4040"/>
    <cellStyle name="40% - Accent2 5" xfId="494"/>
    <cellStyle name="40% - Accent2 5 2" xfId="4041"/>
    <cellStyle name="40% - Accent2 50" xfId="495"/>
    <cellStyle name="40% - Accent2 50 2" xfId="4042"/>
    <cellStyle name="40% - Accent2 51" xfId="496"/>
    <cellStyle name="40% - Accent2 51 2" xfId="4043"/>
    <cellStyle name="40% - Accent2 52" xfId="497"/>
    <cellStyle name="40% - Accent2 52 2" xfId="4044"/>
    <cellStyle name="40% - Accent2 53" xfId="498"/>
    <cellStyle name="40% - Accent2 53 2" xfId="4045"/>
    <cellStyle name="40% - Accent2 54" xfId="499"/>
    <cellStyle name="40% - Accent2 54 2" xfId="4046"/>
    <cellStyle name="40% - Accent2 55" xfId="500"/>
    <cellStyle name="40% - Accent2 55 2" xfId="4047"/>
    <cellStyle name="40% - Accent2 56" xfId="501"/>
    <cellStyle name="40% - Accent2 56 2" xfId="4048"/>
    <cellStyle name="40% - Accent2 57" xfId="502"/>
    <cellStyle name="40% - Accent2 57 2" xfId="4049"/>
    <cellStyle name="40% - Accent2 58" xfId="503"/>
    <cellStyle name="40% - Accent2 58 2" xfId="4050"/>
    <cellStyle name="40% - Accent2 59" xfId="504"/>
    <cellStyle name="40% - Accent2 59 2" xfId="4051"/>
    <cellStyle name="40% - Accent2 6" xfId="505"/>
    <cellStyle name="40% - Accent2 6 2" xfId="4052"/>
    <cellStyle name="40% - Accent2 60" xfId="4053"/>
    <cellStyle name="40% - Accent2 7" xfId="506"/>
    <cellStyle name="40% - Accent2 7 2" xfId="4054"/>
    <cellStyle name="40% - Accent2 8" xfId="507"/>
    <cellStyle name="40% - Accent2 8 2" xfId="4055"/>
    <cellStyle name="40% - Accent2 9" xfId="508"/>
    <cellStyle name="40% - Accent2 9 2" xfId="4056"/>
    <cellStyle name="40% - Accent3 10" xfId="509"/>
    <cellStyle name="40% - Accent3 10 2" xfId="4057"/>
    <cellStyle name="40% - Accent3 11" xfId="510"/>
    <cellStyle name="40% - Accent3 11 2" xfId="4058"/>
    <cellStyle name="40% - Accent3 12" xfId="511"/>
    <cellStyle name="40% - Accent3 12 2" xfId="4059"/>
    <cellStyle name="40% - Accent3 13" xfId="512"/>
    <cellStyle name="40% - Accent3 13 2" xfId="4060"/>
    <cellStyle name="40% - Accent3 14" xfId="513"/>
    <cellStyle name="40% - Accent3 14 2" xfId="4061"/>
    <cellStyle name="40% - Accent3 15" xfId="514"/>
    <cellStyle name="40% - Accent3 15 2" xfId="4062"/>
    <cellStyle name="40% - Accent3 16" xfId="515"/>
    <cellStyle name="40% - Accent3 16 2" xfId="4063"/>
    <cellStyle name="40% - Accent3 17" xfId="516"/>
    <cellStyle name="40% - Accent3 17 2" xfId="4064"/>
    <cellStyle name="40% - Accent3 18" xfId="517"/>
    <cellStyle name="40% - Accent3 18 2" xfId="4065"/>
    <cellStyle name="40% - Accent3 19" xfId="518"/>
    <cellStyle name="40% - Accent3 19 2" xfId="4066"/>
    <cellStyle name="40% - Accent3 2" xfId="519"/>
    <cellStyle name="40% - Accent3 2 2" xfId="520"/>
    <cellStyle name="40% - Accent3 2 2 2" xfId="4067"/>
    <cellStyle name="40% - Accent3 2 3" xfId="4068"/>
    <cellStyle name="40% - Accent3 20" xfId="521"/>
    <cellStyle name="40% - Accent3 20 2" xfId="4069"/>
    <cellStyle name="40% - Accent3 21" xfId="522"/>
    <cellStyle name="40% - Accent3 21 2" xfId="4070"/>
    <cellStyle name="40% - Accent3 22" xfId="523"/>
    <cellStyle name="40% - Accent3 22 2" xfId="4071"/>
    <cellStyle name="40% - Accent3 23" xfId="524"/>
    <cellStyle name="40% - Accent3 23 2" xfId="4072"/>
    <cellStyle name="40% - Accent3 24" xfId="525"/>
    <cellStyle name="40% - Accent3 24 2" xfId="4073"/>
    <cellStyle name="40% - Accent3 25" xfId="526"/>
    <cellStyle name="40% - Accent3 25 2" xfId="4074"/>
    <cellStyle name="40% - Accent3 26" xfId="527"/>
    <cellStyle name="40% - Accent3 26 2" xfId="4075"/>
    <cellStyle name="40% - Accent3 27" xfId="528"/>
    <cellStyle name="40% - Accent3 27 2" xfId="4076"/>
    <cellStyle name="40% - Accent3 28" xfId="529"/>
    <cellStyle name="40% - Accent3 28 2" xfId="4077"/>
    <cellStyle name="40% - Accent3 29" xfId="530"/>
    <cellStyle name="40% - Accent3 29 2" xfId="4078"/>
    <cellStyle name="40% - Accent3 3" xfId="531"/>
    <cellStyle name="40% - Accent3 3 2" xfId="4079"/>
    <cellStyle name="40% - Accent3 30" xfId="532"/>
    <cellStyle name="40% - Accent3 30 2" xfId="4080"/>
    <cellStyle name="40% - Accent3 31" xfId="533"/>
    <cellStyle name="40% - Accent3 31 2" xfId="4081"/>
    <cellStyle name="40% - Accent3 32" xfId="534"/>
    <cellStyle name="40% - Accent3 32 2" xfId="4082"/>
    <cellStyle name="40% - Accent3 33" xfId="535"/>
    <cellStyle name="40% - Accent3 33 2" xfId="4083"/>
    <cellStyle name="40% - Accent3 34" xfId="536"/>
    <cellStyle name="40% - Accent3 34 2" xfId="4084"/>
    <cellStyle name="40% - Accent3 35" xfId="537"/>
    <cellStyle name="40% - Accent3 35 2" xfId="4085"/>
    <cellStyle name="40% - Accent3 36" xfId="538"/>
    <cellStyle name="40% - Accent3 36 2" xfId="4086"/>
    <cellStyle name="40% - Accent3 37" xfId="539"/>
    <cellStyle name="40% - Accent3 37 2" xfId="4087"/>
    <cellStyle name="40% - Accent3 38" xfId="540"/>
    <cellStyle name="40% - Accent3 38 2" xfId="4088"/>
    <cellStyle name="40% - Accent3 39" xfId="541"/>
    <cellStyle name="40% - Accent3 39 2" xfId="4089"/>
    <cellStyle name="40% - Accent3 4" xfId="542"/>
    <cellStyle name="40% - Accent3 4 2" xfId="4090"/>
    <cellStyle name="40% - Accent3 40" xfId="543"/>
    <cellStyle name="40% - Accent3 40 2" xfId="4091"/>
    <cellStyle name="40% - Accent3 41" xfId="544"/>
    <cellStyle name="40% - Accent3 41 2" xfId="4092"/>
    <cellStyle name="40% - Accent3 42" xfId="545"/>
    <cellStyle name="40% - Accent3 42 2" xfId="4093"/>
    <cellStyle name="40% - Accent3 43" xfId="546"/>
    <cellStyle name="40% - Accent3 43 2" xfId="4094"/>
    <cellStyle name="40% - Accent3 44" xfId="547"/>
    <cellStyle name="40% - Accent3 44 2" xfId="4095"/>
    <cellStyle name="40% - Accent3 45" xfId="548"/>
    <cellStyle name="40% - Accent3 45 2" xfId="4096"/>
    <cellStyle name="40% - Accent3 46" xfId="549"/>
    <cellStyle name="40% - Accent3 46 2" xfId="4097"/>
    <cellStyle name="40% - Accent3 47" xfId="550"/>
    <cellStyle name="40% - Accent3 47 2" xfId="4098"/>
    <cellStyle name="40% - Accent3 48" xfId="551"/>
    <cellStyle name="40% - Accent3 48 2" xfId="4099"/>
    <cellStyle name="40% - Accent3 49" xfId="552"/>
    <cellStyle name="40% - Accent3 49 2" xfId="4100"/>
    <cellStyle name="40% - Accent3 5" xfId="553"/>
    <cellStyle name="40% - Accent3 5 2" xfId="4101"/>
    <cellStyle name="40% - Accent3 50" xfId="554"/>
    <cellStyle name="40% - Accent3 50 2" xfId="4102"/>
    <cellStyle name="40% - Accent3 51" xfId="555"/>
    <cellStyle name="40% - Accent3 51 2" xfId="4103"/>
    <cellStyle name="40% - Accent3 52" xfId="556"/>
    <cellStyle name="40% - Accent3 52 2" xfId="4104"/>
    <cellStyle name="40% - Accent3 53" xfId="557"/>
    <cellStyle name="40% - Accent3 53 2" xfId="4105"/>
    <cellStyle name="40% - Accent3 54" xfId="558"/>
    <cellStyle name="40% - Accent3 54 2" xfId="4106"/>
    <cellStyle name="40% - Accent3 55" xfId="559"/>
    <cellStyle name="40% - Accent3 55 2" xfId="4107"/>
    <cellStyle name="40% - Accent3 56" xfId="560"/>
    <cellStyle name="40% - Accent3 56 2" xfId="4108"/>
    <cellStyle name="40% - Accent3 57" xfId="561"/>
    <cellStyle name="40% - Accent3 57 2" xfId="4109"/>
    <cellStyle name="40% - Accent3 58" xfId="562"/>
    <cellStyle name="40% - Accent3 58 2" xfId="4110"/>
    <cellStyle name="40% - Accent3 59" xfId="563"/>
    <cellStyle name="40% - Accent3 59 2" xfId="4111"/>
    <cellStyle name="40% - Accent3 6" xfId="564"/>
    <cellStyle name="40% - Accent3 6 2" xfId="4112"/>
    <cellStyle name="40% - Accent3 60" xfId="4113"/>
    <cellStyle name="40% - Accent3 7" xfId="565"/>
    <cellStyle name="40% - Accent3 7 2" xfId="4114"/>
    <cellStyle name="40% - Accent3 8" xfId="566"/>
    <cellStyle name="40% - Accent3 8 2" xfId="4115"/>
    <cellStyle name="40% - Accent3 9" xfId="567"/>
    <cellStyle name="40% - Accent3 9 2" xfId="4116"/>
    <cellStyle name="40% - Accent4 10" xfId="568"/>
    <cellStyle name="40% - Accent4 10 2" xfId="4117"/>
    <cellStyle name="40% - Accent4 11" xfId="569"/>
    <cellStyle name="40% - Accent4 11 2" xfId="4118"/>
    <cellStyle name="40% - Accent4 12" xfId="570"/>
    <cellStyle name="40% - Accent4 12 2" xfId="4119"/>
    <cellStyle name="40% - Accent4 13" xfId="571"/>
    <cellStyle name="40% - Accent4 13 2" xfId="4120"/>
    <cellStyle name="40% - Accent4 14" xfId="572"/>
    <cellStyle name="40% - Accent4 14 2" xfId="4121"/>
    <cellStyle name="40% - Accent4 15" xfId="573"/>
    <cellStyle name="40% - Accent4 15 2" xfId="4122"/>
    <cellStyle name="40% - Accent4 16" xfId="574"/>
    <cellStyle name="40% - Accent4 16 2" xfId="4123"/>
    <cellStyle name="40% - Accent4 17" xfId="575"/>
    <cellStyle name="40% - Accent4 17 2" xfId="4124"/>
    <cellStyle name="40% - Accent4 18" xfId="576"/>
    <cellStyle name="40% - Accent4 18 2" xfId="4125"/>
    <cellStyle name="40% - Accent4 19" xfId="577"/>
    <cellStyle name="40% - Accent4 19 2" xfId="4126"/>
    <cellStyle name="40% - Accent4 2" xfId="578"/>
    <cellStyle name="40% - Accent4 2 2" xfId="579"/>
    <cellStyle name="40% - Accent4 2 2 2" xfId="4127"/>
    <cellStyle name="40% - Accent4 2 3" xfId="4128"/>
    <cellStyle name="40% - Accent4 20" xfId="580"/>
    <cellStyle name="40% - Accent4 20 2" xfId="4129"/>
    <cellStyle name="40% - Accent4 21" xfId="581"/>
    <cellStyle name="40% - Accent4 21 2" xfId="4130"/>
    <cellStyle name="40% - Accent4 22" xfId="582"/>
    <cellStyle name="40% - Accent4 22 2" xfId="4131"/>
    <cellStyle name="40% - Accent4 23" xfId="583"/>
    <cellStyle name="40% - Accent4 23 2" xfId="4132"/>
    <cellStyle name="40% - Accent4 24" xfId="584"/>
    <cellStyle name="40% - Accent4 24 2" xfId="4133"/>
    <cellStyle name="40% - Accent4 25" xfId="585"/>
    <cellStyle name="40% - Accent4 25 2" xfId="4134"/>
    <cellStyle name="40% - Accent4 26" xfId="586"/>
    <cellStyle name="40% - Accent4 26 2" xfId="4135"/>
    <cellStyle name="40% - Accent4 27" xfId="587"/>
    <cellStyle name="40% - Accent4 27 2" xfId="4136"/>
    <cellStyle name="40% - Accent4 28" xfId="588"/>
    <cellStyle name="40% - Accent4 28 2" xfId="4137"/>
    <cellStyle name="40% - Accent4 29" xfId="589"/>
    <cellStyle name="40% - Accent4 29 2" xfId="4138"/>
    <cellStyle name="40% - Accent4 3" xfId="590"/>
    <cellStyle name="40% - Accent4 3 2" xfId="4139"/>
    <cellStyle name="40% - Accent4 30" xfId="591"/>
    <cellStyle name="40% - Accent4 30 2" xfId="4140"/>
    <cellStyle name="40% - Accent4 31" xfId="592"/>
    <cellStyle name="40% - Accent4 31 2" xfId="4141"/>
    <cellStyle name="40% - Accent4 32" xfId="593"/>
    <cellStyle name="40% - Accent4 32 2" xfId="4142"/>
    <cellStyle name="40% - Accent4 33" xfId="594"/>
    <cellStyle name="40% - Accent4 33 2" xfId="4143"/>
    <cellStyle name="40% - Accent4 34" xfId="595"/>
    <cellStyle name="40% - Accent4 34 2" xfId="4144"/>
    <cellStyle name="40% - Accent4 35" xfId="596"/>
    <cellStyle name="40% - Accent4 35 2" xfId="4145"/>
    <cellStyle name="40% - Accent4 36" xfId="597"/>
    <cellStyle name="40% - Accent4 36 2" xfId="4146"/>
    <cellStyle name="40% - Accent4 37" xfId="598"/>
    <cellStyle name="40% - Accent4 37 2" xfId="4147"/>
    <cellStyle name="40% - Accent4 38" xfId="599"/>
    <cellStyle name="40% - Accent4 38 2" xfId="4148"/>
    <cellStyle name="40% - Accent4 39" xfId="600"/>
    <cellStyle name="40% - Accent4 39 2" xfId="4149"/>
    <cellStyle name="40% - Accent4 4" xfId="601"/>
    <cellStyle name="40% - Accent4 4 2" xfId="4150"/>
    <cellStyle name="40% - Accent4 40" xfId="602"/>
    <cellStyle name="40% - Accent4 40 2" xfId="4151"/>
    <cellStyle name="40% - Accent4 41" xfId="603"/>
    <cellStyle name="40% - Accent4 41 2" xfId="4152"/>
    <cellStyle name="40% - Accent4 42" xfId="604"/>
    <cellStyle name="40% - Accent4 42 2" xfId="4153"/>
    <cellStyle name="40% - Accent4 43" xfId="605"/>
    <cellStyle name="40% - Accent4 43 2" xfId="4154"/>
    <cellStyle name="40% - Accent4 44" xfId="606"/>
    <cellStyle name="40% - Accent4 44 2" xfId="4155"/>
    <cellStyle name="40% - Accent4 45" xfId="607"/>
    <cellStyle name="40% - Accent4 45 2" xfId="4156"/>
    <cellStyle name="40% - Accent4 46" xfId="608"/>
    <cellStyle name="40% - Accent4 46 2" xfId="4157"/>
    <cellStyle name="40% - Accent4 47" xfId="609"/>
    <cellStyle name="40% - Accent4 47 2" xfId="4158"/>
    <cellStyle name="40% - Accent4 48" xfId="610"/>
    <cellStyle name="40% - Accent4 48 2" xfId="4159"/>
    <cellStyle name="40% - Accent4 49" xfId="611"/>
    <cellStyle name="40% - Accent4 49 2" xfId="4160"/>
    <cellStyle name="40% - Accent4 5" xfId="612"/>
    <cellStyle name="40% - Accent4 5 2" xfId="4161"/>
    <cellStyle name="40% - Accent4 50" xfId="613"/>
    <cellStyle name="40% - Accent4 50 2" xfId="4162"/>
    <cellStyle name="40% - Accent4 51" xfId="614"/>
    <cellStyle name="40% - Accent4 51 2" xfId="4163"/>
    <cellStyle name="40% - Accent4 52" xfId="615"/>
    <cellStyle name="40% - Accent4 52 2" xfId="4164"/>
    <cellStyle name="40% - Accent4 53" xfId="616"/>
    <cellStyle name="40% - Accent4 53 2" xfId="4165"/>
    <cellStyle name="40% - Accent4 54" xfId="617"/>
    <cellStyle name="40% - Accent4 54 2" xfId="4166"/>
    <cellStyle name="40% - Accent4 55" xfId="618"/>
    <cellStyle name="40% - Accent4 55 2" xfId="4167"/>
    <cellStyle name="40% - Accent4 56" xfId="619"/>
    <cellStyle name="40% - Accent4 56 2" xfId="4168"/>
    <cellStyle name="40% - Accent4 57" xfId="620"/>
    <cellStyle name="40% - Accent4 57 2" xfId="4169"/>
    <cellStyle name="40% - Accent4 58" xfId="621"/>
    <cellStyle name="40% - Accent4 58 2" xfId="4170"/>
    <cellStyle name="40% - Accent4 59" xfId="622"/>
    <cellStyle name="40% - Accent4 59 2" xfId="4171"/>
    <cellStyle name="40% - Accent4 6" xfId="623"/>
    <cellStyle name="40% - Accent4 6 2" xfId="4172"/>
    <cellStyle name="40% - Accent4 60" xfId="4173"/>
    <cellStyle name="40% - Accent4 7" xfId="624"/>
    <cellStyle name="40% - Accent4 7 2" xfId="4174"/>
    <cellStyle name="40% - Accent4 8" xfId="625"/>
    <cellStyle name="40% - Accent4 8 2" xfId="4175"/>
    <cellStyle name="40% - Accent4 9" xfId="626"/>
    <cellStyle name="40% - Accent4 9 2" xfId="4176"/>
    <cellStyle name="40% - Accent5 10" xfId="627"/>
    <cellStyle name="40% - Accent5 10 2" xfId="4177"/>
    <cellStyle name="40% - Accent5 11" xfId="628"/>
    <cellStyle name="40% - Accent5 11 2" xfId="4178"/>
    <cellStyle name="40% - Accent5 12" xfId="629"/>
    <cellStyle name="40% - Accent5 12 2" xfId="4179"/>
    <cellStyle name="40% - Accent5 13" xfId="630"/>
    <cellStyle name="40% - Accent5 13 2" xfId="4180"/>
    <cellStyle name="40% - Accent5 14" xfId="631"/>
    <cellStyle name="40% - Accent5 14 2" xfId="4181"/>
    <cellStyle name="40% - Accent5 15" xfId="632"/>
    <cellStyle name="40% - Accent5 15 2" xfId="4182"/>
    <cellStyle name="40% - Accent5 16" xfId="633"/>
    <cellStyle name="40% - Accent5 16 2" xfId="4183"/>
    <cellStyle name="40% - Accent5 17" xfId="634"/>
    <cellStyle name="40% - Accent5 17 2" xfId="4184"/>
    <cellStyle name="40% - Accent5 18" xfId="635"/>
    <cellStyle name="40% - Accent5 18 2" xfId="4185"/>
    <cellStyle name="40% - Accent5 19" xfId="636"/>
    <cellStyle name="40% - Accent5 19 2" xfId="4186"/>
    <cellStyle name="40% - Accent5 2" xfId="637"/>
    <cellStyle name="40% - Accent5 2 2" xfId="638"/>
    <cellStyle name="40% - Accent5 2 2 2" xfId="4187"/>
    <cellStyle name="40% - Accent5 2 3" xfId="4188"/>
    <cellStyle name="40% - Accent5 20" xfId="639"/>
    <cellStyle name="40% - Accent5 20 2" xfId="4189"/>
    <cellStyle name="40% - Accent5 21" xfId="640"/>
    <cellStyle name="40% - Accent5 21 2" xfId="4190"/>
    <cellStyle name="40% - Accent5 22" xfId="641"/>
    <cellStyle name="40% - Accent5 22 2" xfId="4191"/>
    <cellStyle name="40% - Accent5 23" xfId="642"/>
    <cellStyle name="40% - Accent5 23 2" xfId="4192"/>
    <cellStyle name="40% - Accent5 24" xfId="643"/>
    <cellStyle name="40% - Accent5 24 2" xfId="4193"/>
    <cellStyle name="40% - Accent5 25" xfId="644"/>
    <cellStyle name="40% - Accent5 25 2" xfId="4194"/>
    <cellStyle name="40% - Accent5 26" xfId="645"/>
    <cellStyle name="40% - Accent5 26 2" xfId="4195"/>
    <cellStyle name="40% - Accent5 27" xfId="646"/>
    <cellStyle name="40% - Accent5 27 2" xfId="4196"/>
    <cellStyle name="40% - Accent5 28" xfId="647"/>
    <cellStyle name="40% - Accent5 28 2" xfId="4197"/>
    <cellStyle name="40% - Accent5 29" xfId="648"/>
    <cellStyle name="40% - Accent5 29 2" xfId="4198"/>
    <cellStyle name="40% - Accent5 3" xfId="649"/>
    <cellStyle name="40% - Accent5 3 2" xfId="4199"/>
    <cellStyle name="40% - Accent5 30" xfId="650"/>
    <cellStyle name="40% - Accent5 30 2" xfId="4200"/>
    <cellStyle name="40% - Accent5 31" xfId="651"/>
    <cellStyle name="40% - Accent5 31 2" xfId="4201"/>
    <cellStyle name="40% - Accent5 32" xfId="652"/>
    <cellStyle name="40% - Accent5 32 2" xfId="4202"/>
    <cellStyle name="40% - Accent5 33" xfId="653"/>
    <cellStyle name="40% - Accent5 33 2" xfId="4203"/>
    <cellStyle name="40% - Accent5 34" xfId="654"/>
    <cellStyle name="40% - Accent5 34 2" xfId="4204"/>
    <cellStyle name="40% - Accent5 35" xfId="655"/>
    <cellStyle name="40% - Accent5 35 2" xfId="4205"/>
    <cellStyle name="40% - Accent5 36" xfId="656"/>
    <cellStyle name="40% - Accent5 36 2" xfId="4206"/>
    <cellStyle name="40% - Accent5 37" xfId="657"/>
    <cellStyle name="40% - Accent5 37 2" xfId="4207"/>
    <cellStyle name="40% - Accent5 38" xfId="658"/>
    <cellStyle name="40% - Accent5 38 2" xfId="4208"/>
    <cellStyle name="40% - Accent5 39" xfId="659"/>
    <cellStyle name="40% - Accent5 39 2" xfId="4209"/>
    <cellStyle name="40% - Accent5 4" xfId="660"/>
    <cellStyle name="40% - Accent5 4 2" xfId="4210"/>
    <cellStyle name="40% - Accent5 40" xfId="661"/>
    <cellStyle name="40% - Accent5 40 2" xfId="4211"/>
    <cellStyle name="40% - Accent5 41" xfId="662"/>
    <cellStyle name="40% - Accent5 41 2" xfId="4212"/>
    <cellStyle name="40% - Accent5 42" xfId="663"/>
    <cellStyle name="40% - Accent5 42 2" xfId="4213"/>
    <cellStyle name="40% - Accent5 43" xfId="664"/>
    <cellStyle name="40% - Accent5 43 2" xfId="4214"/>
    <cellStyle name="40% - Accent5 44" xfId="665"/>
    <cellStyle name="40% - Accent5 44 2" xfId="4215"/>
    <cellStyle name="40% - Accent5 45" xfId="666"/>
    <cellStyle name="40% - Accent5 45 2" xfId="4216"/>
    <cellStyle name="40% - Accent5 46" xfId="667"/>
    <cellStyle name="40% - Accent5 46 2" xfId="4217"/>
    <cellStyle name="40% - Accent5 47" xfId="668"/>
    <cellStyle name="40% - Accent5 47 2" xfId="4218"/>
    <cellStyle name="40% - Accent5 48" xfId="669"/>
    <cellStyle name="40% - Accent5 48 2" xfId="4219"/>
    <cellStyle name="40% - Accent5 49" xfId="670"/>
    <cellStyle name="40% - Accent5 49 2" xfId="4220"/>
    <cellStyle name="40% - Accent5 5" xfId="671"/>
    <cellStyle name="40% - Accent5 5 2" xfId="4221"/>
    <cellStyle name="40% - Accent5 50" xfId="672"/>
    <cellStyle name="40% - Accent5 50 2" xfId="4222"/>
    <cellStyle name="40% - Accent5 51" xfId="673"/>
    <cellStyle name="40% - Accent5 51 2" xfId="4223"/>
    <cellStyle name="40% - Accent5 52" xfId="674"/>
    <cellStyle name="40% - Accent5 52 2" xfId="4224"/>
    <cellStyle name="40% - Accent5 53" xfId="675"/>
    <cellStyle name="40% - Accent5 53 2" xfId="4225"/>
    <cellStyle name="40% - Accent5 54" xfId="676"/>
    <cellStyle name="40% - Accent5 54 2" xfId="4226"/>
    <cellStyle name="40% - Accent5 55" xfId="677"/>
    <cellStyle name="40% - Accent5 55 2" xfId="4227"/>
    <cellStyle name="40% - Accent5 56" xfId="678"/>
    <cellStyle name="40% - Accent5 56 2" xfId="4228"/>
    <cellStyle name="40% - Accent5 57" xfId="679"/>
    <cellStyle name="40% - Accent5 57 2" xfId="4229"/>
    <cellStyle name="40% - Accent5 58" xfId="680"/>
    <cellStyle name="40% - Accent5 58 2" xfId="4230"/>
    <cellStyle name="40% - Accent5 59" xfId="681"/>
    <cellStyle name="40% - Accent5 59 2" xfId="4231"/>
    <cellStyle name="40% - Accent5 6" xfId="682"/>
    <cellStyle name="40% - Accent5 6 2" xfId="4232"/>
    <cellStyle name="40% - Accent5 60" xfId="4233"/>
    <cellStyle name="40% - Accent5 7" xfId="683"/>
    <cellStyle name="40% - Accent5 7 2" xfId="4234"/>
    <cellStyle name="40% - Accent5 8" xfId="684"/>
    <cellStyle name="40% - Accent5 8 2" xfId="4235"/>
    <cellStyle name="40% - Accent5 9" xfId="685"/>
    <cellStyle name="40% - Accent5 9 2" xfId="4236"/>
    <cellStyle name="40% - Accent6 10" xfId="686"/>
    <cellStyle name="40% - Accent6 10 2" xfId="4237"/>
    <cellStyle name="40% - Accent6 11" xfId="687"/>
    <cellStyle name="40% - Accent6 11 2" xfId="4238"/>
    <cellStyle name="40% - Accent6 12" xfId="688"/>
    <cellStyle name="40% - Accent6 12 2" xfId="4239"/>
    <cellStyle name="40% - Accent6 13" xfId="689"/>
    <cellStyle name="40% - Accent6 13 2" xfId="4240"/>
    <cellStyle name="40% - Accent6 14" xfId="690"/>
    <cellStyle name="40% - Accent6 14 2" xfId="4241"/>
    <cellStyle name="40% - Accent6 15" xfId="691"/>
    <cellStyle name="40% - Accent6 15 2" xfId="4242"/>
    <cellStyle name="40% - Accent6 16" xfId="692"/>
    <cellStyle name="40% - Accent6 16 2" xfId="4243"/>
    <cellStyle name="40% - Accent6 17" xfId="693"/>
    <cellStyle name="40% - Accent6 17 2" xfId="4244"/>
    <cellStyle name="40% - Accent6 18" xfId="694"/>
    <cellStyle name="40% - Accent6 18 2" xfId="4245"/>
    <cellStyle name="40% - Accent6 19" xfId="695"/>
    <cellStyle name="40% - Accent6 19 2" xfId="4246"/>
    <cellStyle name="40% - Accent6 2" xfId="696"/>
    <cellStyle name="40% - Accent6 2 2" xfId="697"/>
    <cellStyle name="40% - Accent6 2 2 2" xfId="4247"/>
    <cellStyle name="40% - Accent6 2 3" xfId="4248"/>
    <cellStyle name="40% - Accent6 20" xfId="698"/>
    <cellStyle name="40% - Accent6 20 2" xfId="4249"/>
    <cellStyle name="40% - Accent6 21" xfId="699"/>
    <cellStyle name="40% - Accent6 21 2" xfId="4250"/>
    <cellStyle name="40% - Accent6 22" xfId="700"/>
    <cellStyle name="40% - Accent6 22 2" xfId="4251"/>
    <cellStyle name="40% - Accent6 23" xfId="701"/>
    <cellStyle name="40% - Accent6 23 2" xfId="4252"/>
    <cellStyle name="40% - Accent6 24" xfId="702"/>
    <cellStyle name="40% - Accent6 24 2" xfId="4253"/>
    <cellStyle name="40% - Accent6 25" xfId="703"/>
    <cellStyle name="40% - Accent6 25 2" xfId="4254"/>
    <cellStyle name="40% - Accent6 26" xfId="704"/>
    <cellStyle name="40% - Accent6 26 2" xfId="4255"/>
    <cellStyle name="40% - Accent6 27" xfId="705"/>
    <cellStyle name="40% - Accent6 27 2" xfId="4256"/>
    <cellStyle name="40% - Accent6 28" xfId="706"/>
    <cellStyle name="40% - Accent6 28 2" xfId="4257"/>
    <cellStyle name="40% - Accent6 29" xfId="707"/>
    <cellStyle name="40% - Accent6 29 2" xfId="4258"/>
    <cellStyle name="40% - Accent6 3" xfId="708"/>
    <cellStyle name="40% - Accent6 3 2" xfId="4259"/>
    <cellStyle name="40% - Accent6 30" xfId="709"/>
    <cellStyle name="40% - Accent6 30 2" xfId="4260"/>
    <cellStyle name="40% - Accent6 31" xfId="710"/>
    <cellStyle name="40% - Accent6 31 2" xfId="4261"/>
    <cellStyle name="40% - Accent6 32" xfId="711"/>
    <cellStyle name="40% - Accent6 32 2" xfId="4262"/>
    <cellStyle name="40% - Accent6 33" xfId="712"/>
    <cellStyle name="40% - Accent6 33 2" xfId="4263"/>
    <cellStyle name="40% - Accent6 34" xfId="713"/>
    <cellStyle name="40% - Accent6 34 2" xfId="4264"/>
    <cellStyle name="40% - Accent6 35" xfId="714"/>
    <cellStyle name="40% - Accent6 35 2" xfId="4265"/>
    <cellStyle name="40% - Accent6 36" xfId="715"/>
    <cellStyle name="40% - Accent6 36 2" xfId="4266"/>
    <cellStyle name="40% - Accent6 37" xfId="716"/>
    <cellStyle name="40% - Accent6 37 2" xfId="4267"/>
    <cellStyle name="40% - Accent6 38" xfId="717"/>
    <cellStyle name="40% - Accent6 38 2" xfId="4268"/>
    <cellStyle name="40% - Accent6 39" xfId="718"/>
    <cellStyle name="40% - Accent6 39 2" xfId="4269"/>
    <cellStyle name="40% - Accent6 4" xfId="719"/>
    <cellStyle name="40% - Accent6 4 2" xfId="4270"/>
    <cellStyle name="40% - Accent6 40" xfId="720"/>
    <cellStyle name="40% - Accent6 40 2" xfId="4271"/>
    <cellStyle name="40% - Accent6 41" xfId="721"/>
    <cellStyle name="40% - Accent6 41 2" xfId="4272"/>
    <cellStyle name="40% - Accent6 42" xfId="722"/>
    <cellStyle name="40% - Accent6 42 2" xfId="4273"/>
    <cellStyle name="40% - Accent6 43" xfId="723"/>
    <cellStyle name="40% - Accent6 43 2" xfId="4274"/>
    <cellStyle name="40% - Accent6 44" xfId="724"/>
    <cellStyle name="40% - Accent6 44 2" xfId="4275"/>
    <cellStyle name="40% - Accent6 45" xfId="725"/>
    <cellStyle name="40% - Accent6 45 2" xfId="4276"/>
    <cellStyle name="40% - Accent6 46" xfId="726"/>
    <cellStyle name="40% - Accent6 46 2" xfId="4277"/>
    <cellStyle name="40% - Accent6 47" xfId="727"/>
    <cellStyle name="40% - Accent6 47 2" xfId="4278"/>
    <cellStyle name="40% - Accent6 48" xfId="728"/>
    <cellStyle name="40% - Accent6 48 2" xfId="4279"/>
    <cellStyle name="40% - Accent6 49" xfId="729"/>
    <cellStyle name="40% - Accent6 49 2" xfId="4280"/>
    <cellStyle name="40% - Accent6 5" xfId="730"/>
    <cellStyle name="40% - Accent6 5 2" xfId="4281"/>
    <cellStyle name="40% - Accent6 50" xfId="731"/>
    <cellStyle name="40% - Accent6 50 2" xfId="4282"/>
    <cellStyle name="40% - Accent6 51" xfId="732"/>
    <cellStyle name="40% - Accent6 51 2" xfId="4283"/>
    <cellStyle name="40% - Accent6 52" xfId="733"/>
    <cellStyle name="40% - Accent6 52 2" xfId="4284"/>
    <cellStyle name="40% - Accent6 53" xfId="734"/>
    <cellStyle name="40% - Accent6 53 2" xfId="4285"/>
    <cellStyle name="40% - Accent6 54" xfId="735"/>
    <cellStyle name="40% - Accent6 54 2" xfId="4286"/>
    <cellStyle name="40% - Accent6 55" xfId="736"/>
    <cellStyle name="40% - Accent6 55 2" xfId="4287"/>
    <cellStyle name="40% - Accent6 56" xfId="737"/>
    <cellStyle name="40% - Accent6 56 2" xfId="4288"/>
    <cellStyle name="40% - Accent6 57" xfId="738"/>
    <cellStyle name="40% - Accent6 57 2" xfId="4289"/>
    <cellStyle name="40% - Accent6 58" xfId="739"/>
    <cellStyle name="40% - Accent6 58 2" xfId="4290"/>
    <cellStyle name="40% - Accent6 59" xfId="740"/>
    <cellStyle name="40% - Accent6 59 2" xfId="4291"/>
    <cellStyle name="40% - Accent6 6" xfId="741"/>
    <cellStyle name="40% - Accent6 6 2" xfId="4292"/>
    <cellStyle name="40% - Accent6 60" xfId="4293"/>
    <cellStyle name="40% - Accent6 7" xfId="742"/>
    <cellStyle name="40% - Accent6 7 2" xfId="4294"/>
    <cellStyle name="40% - Accent6 8" xfId="743"/>
    <cellStyle name="40% - Accent6 8 2" xfId="4295"/>
    <cellStyle name="40% - Accent6 9" xfId="744"/>
    <cellStyle name="40% - Accent6 9 2" xfId="4296"/>
    <cellStyle name="60% - Accent1 10" xfId="745"/>
    <cellStyle name="60% - Accent1 10 2" xfId="4297"/>
    <cellStyle name="60% - Accent1 11" xfId="746"/>
    <cellStyle name="60% - Accent1 11 2" xfId="4298"/>
    <cellStyle name="60% - Accent1 12" xfId="747"/>
    <cellStyle name="60% - Accent1 12 2" xfId="4299"/>
    <cellStyle name="60% - Accent1 13" xfId="748"/>
    <cellStyle name="60% - Accent1 13 2" xfId="4300"/>
    <cellStyle name="60% - Accent1 14" xfId="749"/>
    <cellStyle name="60% - Accent1 14 2" xfId="4301"/>
    <cellStyle name="60% - Accent1 15" xfId="750"/>
    <cellStyle name="60% - Accent1 15 2" xfId="4302"/>
    <cellStyle name="60% - Accent1 16" xfId="751"/>
    <cellStyle name="60% - Accent1 16 2" xfId="4303"/>
    <cellStyle name="60% - Accent1 17" xfId="752"/>
    <cellStyle name="60% - Accent1 17 2" xfId="4304"/>
    <cellStyle name="60% - Accent1 18" xfId="753"/>
    <cellStyle name="60% - Accent1 18 2" xfId="4305"/>
    <cellStyle name="60% - Accent1 19" xfId="754"/>
    <cellStyle name="60% - Accent1 19 2" xfId="4306"/>
    <cellStyle name="60% - Accent1 2" xfId="755"/>
    <cellStyle name="60% - Accent1 2 2" xfId="756"/>
    <cellStyle name="60% - Accent1 2 2 2" xfId="4307"/>
    <cellStyle name="60% - Accent1 2 3" xfId="4308"/>
    <cellStyle name="60% - Accent1 20" xfId="757"/>
    <cellStyle name="60% - Accent1 20 2" xfId="4309"/>
    <cellStyle name="60% - Accent1 21" xfId="758"/>
    <cellStyle name="60% - Accent1 21 2" xfId="4310"/>
    <cellStyle name="60% - Accent1 22" xfId="759"/>
    <cellStyle name="60% - Accent1 22 2" xfId="4311"/>
    <cellStyle name="60% - Accent1 23" xfId="760"/>
    <cellStyle name="60% - Accent1 23 2" xfId="4312"/>
    <cellStyle name="60% - Accent1 24" xfId="761"/>
    <cellStyle name="60% - Accent1 24 2" xfId="4313"/>
    <cellStyle name="60% - Accent1 25" xfId="762"/>
    <cellStyle name="60% - Accent1 25 2" xfId="4314"/>
    <cellStyle name="60% - Accent1 26" xfId="763"/>
    <cellStyle name="60% - Accent1 26 2" xfId="4315"/>
    <cellStyle name="60% - Accent1 27" xfId="764"/>
    <cellStyle name="60% - Accent1 27 2" xfId="4316"/>
    <cellStyle name="60% - Accent1 28" xfId="765"/>
    <cellStyle name="60% - Accent1 28 2" xfId="4317"/>
    <cellStyle name="60% - Accent1 29" xfId="766"/>
    <cellStyle name="60% - Accent1 29 2" xfId="4318"/>
    <cellStyle name="60% - Accent1 3" xfId="767"/>
    <cellStyle name="60% - Accent1 3 2" xfId="4319"/>
    <cellStyle name="60% - Accent1 30" xfId="768"/>
    <cellStyle name="60% - Accent1 30 2" xfId="4320"/>
    <cellStyle name="60% - Accent1 31" xfId="769"/>
    <cellStyle name="60% - Accent1 31 2" xfId="4321"/>
    <cellStyle name="60% - Accent1 32" xfId="770"/>
    <cellStyle name="60% - Accent1 32 2" xfId="4322"/>
    <cellStyle name="60% - Accent1 33" xfId="771"/>
    <cellStyle name="60% - Accent1 33 2" xfId="4323"/>
    <cellStyle name="60% - Accent1 34" xfId="772"/>
    <cellStyle name="60% - Accent1 34 2" xfId="4324"/>
    <cellStyle name="60% - Accent1 35" xfId="773"/>
    <cellStyle name="60% - Accent1 35 2" xfId="4325"/>
    <cellStyle name="60% - Accent1 36" xfId="774"/>
    <cellStyle name="60% - Accent1 36 2" xfId="4326"/>
    <cellStyle name="60% - Accent1 37" xfId="775"/>
    <cellStyle name="60% - Accent1 37 2" xfId="4327"/>
    <cellStyle name="60% - Accent1 38" xfId="776"/>
    <cellStyle name="60% - Accent1 38 2" xfId="4328"/>
    <cellStyle name="60% - Accent1 39" xfId="777"/>
    <cellStyle name="60% - Accent1 39 2" xfId="4329"/>
    <cellStyle name="60% - Accent1 4" xfId="778"/>
    <cellStyle name="60% - Accent1 4 2" xfId="4330"/>
    <cellStyle name="60% - Accent1 40" xfId="779"/>
    <cellStyle name="60% - Accent1 40 2" xfId="4331"/>
    <cellStyle name="60% - Accent1 41" xfId="780"/>
    <cellStyle name="60% - Accent1 41 2" xfId="4332"/>
    <cellStyle name="60% - Accent1 42" xfId="781"/>
    <cellStyle name="60% - Accent1 42 2" xfId="4333"/>
    <cellStyle name="60% - Accent1 43" xfId="782"/>
    <cellStyle name="60% - Accent1 43 2" xfId="4334"/>
    <cellStyle name="60% - Accent1 44" xfId="783"/>
    <cellStyle name="60% - Accent1 44 2" xfId="4335"/>
    <cellStyle name="60% - Accent1 45" xfId="784"/>
    <cellStyle name="60% - Accent1 45 2" xfId="4336"/>
    <cellStyle name="60% - Accent1 46" xfId="785"/>
    <cellStyle name="60% - Accent1 46 2" xfId="4337"/>
    <cellStyle name="60% - Accent1 47" xfId="786"/>
    <cellStyle name="60% - Accent1 47 2" xfId="4338"/>
    <cellStyle name="60% - Accent1 48" xfId="787"/>
    <cellStyle name="60% - Accent1 48 2" xfId="4339"/>
    <cellStyle name="60% - Accent1 49" xfId="788"/>
    <cellStyle name="60% - Accent1 49 2" xfId="4340"/>
    <cellStyle name="60% - Accent1 5" xfId="789"/>
    <cellStyle name="60% - Accent1 5 2" xfId="4341"/>
    <cellStyle name="60% - Accent1 50" xfId="790"/>
    <cellStyle name="60% - Accent1 50 2" xfId="4342"/>
    <cellStyle name="60% - Accent1 51" xfId="791"/>
    <cellStyle name="60% - Accent1 51 2" xfId="4343"/>
    <cellStyle name="60% - Accent1 52" xfId="792"/>
    <cellStyle name="60% - Accent1 52 2" xfId="4344"/>
    <cellStyle name="60% - Accent1 53" xfId="793"/>
    <cellStyle name="60% - Accent1 53 2" xfId="4345"/>
    <cellStyle name="60% - Accent1 54" xfId="794"/>
    <cellStyle name="60% - Accent1 54 2" xfId="4346"/>
    <cellStyle name="60% - Accent1 55" xfId="795"/>
    <cellStyle name="60% - Accent1 55 2" xfId="4347"/>
    <cellStyle name="60% - Accent1 56" xfId="796"/>
    <cellStyle name="60% - Accent1 56 2" xfId="4348"/>
    <cellStyle name="60% - Accent1 57" xfId="797"/>
    <cellStyle name="60% - Accent1 57 2" xfId="4349"/>
    <cellStyle name="60% - Accent1 58" xfId="798"/>
    <cellStyle name="60% - Accent1 58 2" xfId="4350"/>
    <cellStyle name="60% - Accent1 59" xfId="799"/>
    <cellStyle name="60% - Accent1 59 2" xfId="4351"/>
    <cellStyle name="60% - Accent1 6" xfId="800"/>
    <cellStyle name="60% - Accent1 6 2" xfId="4352"/>
    <cellStyle name="60% - Accent1 60" xfId="4353"/>
    <cellStyle name="60% - Accent1 7" xfId="801"/>
    <cellStyle name="60% - Accent1 7 2" xfId="4354"/>
    <cellStyle name="60% - Accent1 8" xfId="802"/>
    <cellStyle name="60% - Accent1 8 2" xfId="4355"/>
    <cellStyle name="60% - Accent1 9" xfId="803"/>
    <cellStyle name="60% - Accent1 9 2" xfId="4356"/>
    <cellStyle name="60% - Accent2 10" xfId="804"/>
    <cellStyle name="60% - Accent2 10 2" xfId="4357"/>
    <cellStyle name="60% - Accent2 11" xfId="805"/>
    <cellStyle name="60% - Accent2 11 2" xfId="4358"/>
    <cellStyle name="60% - Accent2 12" xfId="806"/>
    <cellStyle name="60% - Accent2 12 2" xfId="4359"/>
    <cellStyle name="60% - Accent2 13" xfId="807"/>
    <cellStyle name="60% - Accent2 13 2" xfId="4360"/>
    <cellStyle name="60% - Accent2 14" xfId="808"/>
    <cellStyle name="60% - Accent2 14 2" xfId="4361"/>
    <cellStyle name="60% - Accent2 15" xfId="809"/>
    <cellStyle name="60% - Accent2 15 2" xfId="4362"/>
    <cellStyle name="60% - Accent2 16" xfId="810"/>
    <cellStyle name="60% - Accent2 16 2" xfId="4363"/>
    <cellStyle name="60% - Accent2 17" xfId="811"/>
    <cellStyle name="60% - Accent2 17 2" xfId="4364"/>
    <cellStyle name="60% - Accent2 18" xfId="812"/>
    <cellStyle name="60% - Accent2 18 2" xfId="4365"/>
    <cellStyle name="60% - Accent2 19" xfId="813"/>
    <cellStyle name="60% - Accent2 19 2" xfId="4366"/>
    <cellStyle name="60% - Accent2 2" xfId="814"/>
    <cellStyle name="60% - Accent2 2 2" xfId="815"/>
    <cellStyle name="60% - Accent2 2 2 2" xfId="4367"/>
    <cellStyle name="60% - Accent2 2 3" xfId="4368"/>
    <cellStyle name="60% - Accent2 20" xfId="816"/>
    <cellStyle name="60% - Accent2 20 2" xfId="4369"/>
    <cellStyle name="60% - Accent2 21" xfId="817"/>
    <cellStyle name="60% - Accent2 21 2" xfId="4370"/>
    <cellStyle name="60% - Accent2 22" xfId="818"/>
    <cellStyle name="60% - Accent2 22 2" xfId="4371"/>
    <cellStyle name="60% - Accent2 23" xfId="819"/>
    <cellStyle name="60% - Accent2 23 2" xfId="4372"/>
    <cellStyle name="60% - Accent2 24" xfId="820"/>
    <cellStyle name="60% - Accent2 24 2" xfId="4373"/>
    <cellStyle name="60% - Accent2 25" xfId="821"/>
    <cellStyle name="60% - Accent2 25 2" xfId="4374"/>
    <cellStyle name="60% - Accent2 26" xfId="822"/>
    <cellStyle name="60% - Accent2 26 2" xfId="4375"/>
    <cellStyle name="60% - Accent2 27" xfId="823"/>
    <cellStyle name="60% - Accent2 27 2" xfId="4376"/>
    <cellStyle name="60% - Accent2 28" xfId="824"/>
    <cellStyle name="60% - Accent2 28 2" xfId="4377"/>
    <cellStyle name="60% - Accent2 29" xfId="825"/>
    <cellStyle name="60% - Accent2 29 2" xfId="4378"/>
    <cellStyle name="60% - Accent2 3" xfId="826"/>
    <cellStyle name="60% - Accent2 3 2" xfId="4379"/>
    <cellStyle name="60% - Accent2 30" xfId="827"/>
    <cellStyle name="60% - Accent2 30 2" xfId="4380"/>
    <cellStyle name="60% - Accent2 31" xfId="828"/>
    <cellStyle name="60% - Accent2 31 2" xfId="4381"/>
    <cellStyle name="60% - Accent2 32" xfId="829"/>
    <cellStyle name="60% - Accent2 32 2" xfId="4382"/>
    <cellStyle name="60% - Accent2 33" xfId="830"/>
    <cellStyle name="60% - Accent2 33 2" xfId="4383"/>
    <cellStyle name="60% - Accent2 34" xfId="831"/>
    <cellStyle name="60% - Accent2 34 2" xfId="4384"/>
    <cellStyle name="60% - Accent2 35" xfId="832"/>
    <cellStyle name="60% - Accent2 35 2" xfId="4385"/>
    <cellStyle name="60% - Accent2 36" xfId="833"/>
    <cellStyle name="60% - Accent2 36 2" xfId="4386"/>
    <cellStyle name="60% - Accent2 37" xfId="834"/>
    <cellStyle name="60% - Accent2 37 2" xfId="4387"/>
    <cellStyle name="60% - Accent2 38" xfId="835"/>
    <cellStyle name="60% - Accent2 38 2" xfId="4388"/>
    <cellStyle name="60% - Accent2 39" xfId="836"/>
    <cellStyle name="60% - Accent2 39 2" xfId="4389"/>
    <cellStyle name="60% - Accent2 4" xfId="837"/>
    <cellStyle name="60% - Accent2 4 2" xfId="4390"/>
    <cellStyle name="60% - Accent2 40" xfId="838"/>
    <cellStyle name="60% - Accent2 40 2" xfId="4391"/>
    <cellStyle name="60% - Accent2 41" xfId="839"/>
    <cellStyle name="60% - Accent2 41 2" xfId="4392"/>
    <cellStyle name="60% - Accent2 42" xfId="840"/>
    <cellStyle name="60% - Accent2 42 2" xfId="4393"/>
    <cellStyle name="60% - Accent2 43" xfId="841"/>
    <cellStyle name="60% - Accent2 43 2" xfId="4394"/>
    <cellStyle name="60% - Accent2 44" xfId="842"/>
    <cellStyle name="60% - Accent2 44 2" xfId="4395"/>
    <cellStyle name="60% - Accent2 45" xfId="843"/>
    <cellStyle name="60% - Accent2 45 2" xfId="4396"/>
    <cellStyle name="60% - Accent2 46" xfId="844"/>
    <cellStyle name="60% - Accent2 46 2" xfId="4397"/>
    <cellStyle name="60% - Accent2 47" xfId="845"/>
    <cellStyle name="60% - Accent2 47 2" xfId="4398"/>
    <cellStyle name="60% - Accent2 48" xfId="846"/>
    <cellStyle name="60% - Accent2 48 2" xfId="4399"/>
    <cellStyle name="60% - Accent2 49" xfId="847"/>
    <cellStyle name="60% - Accent2 49 2" xfId="4400"/>
    <cellStyle name="60% - Accent2 5" xfId="848"/>
    <cellStyle name="60% - Accent2 5 2" xfId="4401"/>
    <cellStyle name="60% - Accent2 50" xfId="849"/>
    <cellStyle name="60% - Accent2 50 2" xfId="4402"/>
    <cellStyle name="60% - Accent2 51" xfId="850"/>
    <cellStyle name="60% - Accent2 51 2" xfId="4403"/>
    <cellStyle name="60% - Accent2 52" xfId="851"/>
    <cellStyle name="60% - Accent2 52 2" xfId="4404"/>
    <cellStyle name="60% - Accent2 53" xfId="852"/>
    <cellStyle name="60% - Accent2 53 2" xfId="4405"/>
    <cellStyle name="60% - Accent2 54" xfId="853"/>
    <cellStyle name="60% - Accent2 54 2" xfId="4406"/>
    <cellStyle name="60% - Accent2 55" xfId="854"/>
    <cellStyle name="60% - Accent2 55 2" xfId="4407"/>
    <cellStyle name="60% - Accent2 56" xfId="855"/>
    <cellStyle name="60% - Accent2 56 2" xfId="4408"/>
    <cellStyle name="60% - Accent2 57" xfId="856"/>
    <cellStyle name="60% - Accent2 57 2" xfId="4409"/>
    <cellStyle name="60% - Accent2 58" xfId="857"/>
    <cellStyle name="60% - Accent2 58 2" xfId="4410"/>
    <cellStyle name="60% - Accent2 59" xfId="858"/>
    <cellStyle name="60% - Accent2 59 2" xfId="4411"/>
    <cellStyle name="60% - Accent2 6" xfId="859"/>
    <cellStyle name="60% - Accent2 6 2" xfId="4412"/>
    <cellStyle name="60% - Accent2 60" xfId="4413"/>
    <cellStyle name="60% - Accent2 7" xfId="860"/>
    <cellStyle name="60% - Accent2 7 2" xfId="4414"/>
    <cellStyle name="60% - Accent2 8" xfId="861"/>
    <cellStyle name="60% - Accent2 8 2" xfId="4415"/>
    <cellStyle name="60% - Accent2 9" xfId="862"/>
    <cellStyle name="60% - Accent2 9 2" xfId="4416"/>
    <cellStyle name="60% - Accent3 10" xfId="863"/>
    <cellStyle name="60% - Accent3 10 2" xfId="4417"/>
    <cellStyle name="60% - Accent3 11" xfId="864"/>
    <cellStyle name="60% - Accent3 11 2" xfId="4418"/>
    <cellStyle name="60% - Accent3 12" xfId="865"/>
    <cellStyle name="60% - Accent3 12 2" xfId="4419"/>
    <cellStyle name="60% - Accent3 13" xfId="866"/>
    <cellStyle name="60% - Accent3 13 2" xfId="4420"/>
    <cellStyle name="60% - Accent3 14" xfId="867"/>
    <cellStyle name="60% - Accent3 14 2" xfId="4421"/>
    <cellStyle name="60% - Accent3 15" xfId="868"/>
    <cellStyle name="60% - Accent3 15 2" xfId="4422"/>
    <cellStyle name="60% - Accent3 16" xfId="869"/>
    <cellStyle name="60% - Accent3 16 2" xfId="4423"/>
    <cellStyle name="60% - Accent3 17" xfId="870"/>
    <cellStyle name="60% - Accent3 17 2" xfId="4424"/>
    <cellStyle name="60% - Accent3 18" xfId="871"/>
    <cellStyle name="60% - Accent3 18 2" xfId="4425"/>
    <cellStyle name="60% - Accent3 19" xfId="872"/>
    <cellStyle name="60% - Accent3 19 2" xfId="4426"/>
    <cellStyle name="60% - Accent3 2" xfId="873"/>
    <cellStyle name="60% - Accent3 2 2" xfId="874"/>
    <cellStyle name="60% - Accent3 2 2 2" xfId="4427"/>
    <cellStyle name="60% - Accent3 2 3" xfId="4428"/>
    <cellStyle name="60% - Accent3 20" xfId="875"/>
    <cellStyle name="60% - Accent3 20 2" xfId="4429"/>
    <cellStyle name="60% - Accent3 21" xfId="876"/>
    <cellStyle name="60% - Accent3 21 2" xfId="4430"/>
    <cellStyle name="60% - Accent3 22" xfId="877"/>
    <cellStyle name="60% - Accent3 22 2" xfId="4431"/>
    <cellStyle name="60% - Accent3 23" xfId="878"/>
    <cellStyle name="60% - Accent3 23 2" xfId="4432"/>
    <cellStyle name="60% - Accent3 24" xfId="879"/>
    <cellStyle name="60% - Accent3 24 2" xfId="4433"/>
    <cellStyle name="60% - Accent3 25" xfId="880"/>
    <cellStyle name="60% - Accent3 25 2" xfId="4434"/>
    <cellStyle name="60% - Accent3 26" xfId="881"/>
    <cellStyle name="60% - Accent3 26 2" xfId="4435"/>
    <cellStyle name="60% - Accent3 27" xfId="882"/>
    <cellStyle name="60% - Accent3 27 2" xfId="4436"/>
    <cellStyle name="60% - Accent3 28" xfId="883"/>
    <cellStyle name="60% - Accent3 28 2" xfId="4437"/>
    <cellStyle name="60% - Accent3 29" xfId="884"/>
    <cellStyle name="60% - Accent3 29 2" xfId="4438"/>
    <cellStyle name="60% - Accent3 3" xfId="885"/>
    <cellStyle name="60% - Accent3 3 2" xfId="4439"/>
    <cellStyle name="60% - Accent3 30" xfId="886"/>
    <cellStyle name="60% - Accent3 30 2" xfId="4440"/>
    <cellStyle name="60% - Accent3 31" xfId="887"/>
    <cellStyle name="60% - Accent3 31 2" xfId="4441"/>
    <cellStyle name="60% - Accent3 32" xfId="888"/>
    <cellStyle name="60% - Accent3 32 2" xfId="4442"/>
    <cellStyle name="60% - Accent3 33" xfId="889"/>
    <cellStyle name="60% - Accent3 33 2" xfId="4443"/>
    <cellStyle name="60% - Accent3 34" xfId="890"/>
    <cellStyle name="60% - Accent3 34 2" xfId="4444"/>
    <cellStyle name="60% - Accent3 35" xfId="891"/>
    <cellStyle name="60% - Accent3 35 2" xfId="4445"/>
    <cellStyle name="60% - Accent3 36" xfId="892"/>
    <cellStyle name="60% - Accent3 36 2" xfId="4446"/>
    <cellStyle name="60% - Accent3 37" xfId="893"/>
    <cellStyle name="60% - Accent3 37 2" xfId="4447"/>
    <cellStyle name="60% - Accent3 38" xfId="894"/>
    <cellStyle name="60% - Accent3 38 2" xfId="4448"/>
    <cellStyle name="60% - Accent3 39" xfId="895"/>
    <cellStyle name="60% - Accent3 39 2" xfId="4449"/>
    <cellStyle name="60% - Accent3 4" xfId="896"/>
    <cellStyle name="60% - Accent3 4 2" xfId="4450"/>
    <cellStyle name="60% - Accent3 40" xfId="897"/>
    <cellStyle name="60% - Accent3 40 2" xfId="4451"/>
    <cellStyle name="60% - Accent3 41" xfId="898"/>
    <cellStyle name="60% - Accent3 41 2" xfId="4452"/>
    <cellStyle name="60% - Accent3 42" xfId="899"/>
    <cellStyle name="60% - Accent3 42 2" xfId="4453"/>
    <cellStyle name="60% - Accent3 43" xfId="900"/>
    <cellStyle name="60% - Accent3 43 2" xfId="4454"/>
    <cellStyle name="60% - Accent3 44" xfId="901"/>
    <cellStyle name="60% - Accent3 44 2" xfId="4455"/>
    <cellStyle name="60% - Accent3 45" xfId="902"/>
    <cellStyle name="60% - Accent3 45 2" xfId="4456"/>
    <cellStyle name="60% - Accent3 46" xfId="903"/>
    <cellStyle name="60% - Accent3 46 2" xfId="4457"/>
    <cellStyle name="60% - Accent3 47" xfId="904"/>
    <cellStyle name="60% - Accent3 47 2" xfId="4458"/>
    <cellStyle name="60% - Accent3 48" xfId="905"/>
    <cellStyle name="60% - Accent3 48 2" xfId="4459"/>
    <cellStyle name="60% - Accent3 49" xfId="906"/>
    <cellStyle name="60% - Accent3 49 2" xfId="4460"/>
    <cellStyle name="60% - Accent3 5" xfId="907"/>
    <cellStyle name="60% - Accent3 5 2" xfId="4461"/>
    <cellStyle name="60% - Accent3 50" xfId="908"/>
    <cellStyle name="60% - Accent3 50 2" xfId="4462"/>
    <cellStyle name="60% - Accent3 51" xfId="909"/>
    <cellStyle name="60% - Accent3 51 2" xfId="4463"/>
    <cellStyle name="60% - Accent3 52" xfId="910"/>
    <cellStyle name="60% - Accent3 52 2" xfId="4464"/>
    <cellStyle name="60% - Accent3 53" xfId="911"/>
    <cellStyle name="60% - Accent3 53 2" xfId="4465"/>
    <cellStyle name="60% - Accent3 54" xfId="912"/>
    <cellStyle name="60% - Accent3 54 2" xfId="4466"/>
    <cellStyle name="60% - Accent3 55" xfId="913"/>
    <cellStyle name="60% - Accent3 55 2" xfId="4467"/>
    <cellStyle name="60% - Accent3 56" xfId="914"/>
    <cellStyle name="60% - Accent3 56 2" xfId="4468"/>
    <cellStyle name="60% - Accent3 57" xfId="915"/>
    <cellStyle name="60% - Accent3 57 2" xfId="4469"/>
    <cellStyle name="60% - Accent3 58" xfId="916"/>
    <cellStyle name="60% - Accent3 58 2" xfId="4470"/>
    <cellStyle name="60% - Accent3 59" xfId="917"/>
    <cellStyle name="60% - Accent3 59 2" xfId="4471"/>
    <cellStyle name="60% - Accent3 6" xfId="918"/>
    <cellStyle name="60% - Accent3 6 2" xfId="4472"/>
    <cellStyle name="60% - Accent3 60" xfId="4473"/>
    <cellStyle name="60% - Accent3 7" xfId="919"/>
    <cellStyle name="60% - Accent3 7 2" xfId="4474"/>
    <cellStyle name="60% - Accent3 8" xfId="920"/>
    <cellStyle name="60% - Accent3 8 2" xfId="4475"/>
    <cellStyle name="60% - Accent3 9" xfId="921"/>
    <cellStyle name="60% - Accent3 9 2" xfId="4476"/>
    <cellStyle name="60% - Accent4 10" xfId="922"/>
    <cellStyle name="60% - Accent4 10 2" xfId="4477"/>
    <cellStyle name="60% - Accent4 11" xfId="923"/>
    <cellStyle name="60% - Accent4 11 2" xfId="4478"/>
    <cellStyle name="60% - Accent4 12" xfId="924"/>
    <cellStyle name="60% - Accent4 12 2" xfId="4479"/>
    <cellStyle name="60% - Accent4 13" xfId="925"/>
    <cellStyle name="60% - Accent4 13 2" xfId="4480"/>
    <cellStyle name="60% - Accent4 14" xfId="926"/>
    <cellStyle name="60% - Accent4 14 2" xfId="4481"/>
    <cellStyle name="60% - Accent4 15" xfId="927"/>
    <cellStyle name="60% - Accent4 15 2" xfId="4482"/>
    <cellStyle name="60% - Accent4 16" xfId="928"/>
    <cellStyle name="60% - Accent4 16 2" xfId="4483"/>
    <cellStyle name="60% - Accent4 17" xfId="929"/>
    <cellStyle name="60% - Accent4 17 2" xfId="4484"/>
    <cellStyle name="60% - Accent4 18" xfId="930"/>
    <cellStyle name="60% - Accent4 18 2" xfId="4485"/>
    <cellStyle name="60% - Accent4 19" xfId="931"/>
    <cellStyle name="60% - Accent4 19 2" xfId="4486"/>
    <cellStyle name="60% - Accent4 2" xfId="932"/>
    <cellStyle name="60% - Accent4 2 2" xfId="933"/>
    <cellStyle name="60% - Accent4 2 2 2" xfId="4487"/>
    <cellStyle name="60% - Accent4 2 3" xfId="4488"/>
    <cellStyle name="60% - Accent4 20" xfId="934"/>
    <cellStyle name="60% - Accent4 20 2" xfId="4489"/>
    <cellStyle name="60% - Accent4 21" xfId="935"/>
    <cellStyle name="60% - Accent4 21 2" xfId="4490"/>
    <cellStyle name="60% - Accent4 22" xfId="936"/>
    <cellStyle name="60% - Accent4 22 2" xfId="4491"/>
    <cellStyle name="60% - Accent4 23" xfId="937"/>
    <cellStyle name="60% - Accent4 23 2" xfId="4492"/>
    <cellStyle name="60% - Accent4 24" xfId="938"/>
    <cellStyle name="60% - Accent4 24 2" xfId="4493"/>
    <cellStyle name="60% - Accent4 25" xfId="939"/>
    <cellStyle name="60% - Accent4 25 2" xfId="4494"/>
    <cellStyle name="60% - Accent4 26" xfId="940"/>
    <cellStyle name="60% - Accent4 26 2" xfId="4495"/>
    <cellStyle name="60% - Accent4 27" xfId="941"/>
    <cellStyle name="60% - Accent4 27 2" xfId="4496"/>
    <cellStyle name="60% - Accent4 28" xfId="942"/>
    <cellStyle name="60% - Accent4 28 2" xfId="4497"/>
    <cellStyle name="60% - Accent4 29" xfId="943"/>
    <cellStyle name="60% - Accent4 29 2" xfId="4498"/>
    <cellStyle name="60% - Accent4 3" xfId="944"/>
    <cellStyle name="60% - Accent4 3 2" xfId="4499"/>
    <cellStyle name="60% - Accent4 30" xfId="945"/>
    <cellStyle name="60% - Accent4 30 2" xfId="4500"/>
    <cellStyle name="60% - Accent4 31" xfId="946"/>
    <cellStyle name="60% - Accent4 31 2" xfId="4501"/>
    <cellStyle name="60% - Accent4 32" xfId="947"/>
    <cellStyle name="60% - Accent4 32 2" xfId="4502"/>
    <cellStyle name="60% - Accent4 33" xfId="948"/>
    <cellStyle name="60% - Accent4 33 2" xfId="4503"/>
    <cellStyle name="60% - Accent4 34" xfId="949"/>
    <cellStyle name="60% - Accent4 34 2" xfId="4504"/>
    <cellStyle name="60% - Accent4 35" xfId="950"/>
    <cellStyle name="60% - Accent4 35 2" xfId="4505"/>
    <cellStyle name="60% - Accent4 36" xfId="951"/>
    <cellStyle name="60% - Accent4 36 2" xfId="4506"/>
    <cellStyle name="60% - Accent4 37" xfId="952"/>
    <cellStyle name="60% - Accent4 37 2" xfId="4507"/>
    <cellStyle name="60% - Accent4 38" xfId="953"/>
    <cellStyle name="60% - Accent4 38 2" xfId="4508"/>
    <cellStyle name="60% - Accent4 39" xfId="954"/>
    <cellStyle name="60% - Accent4 39 2" xfId="4509"/>
    <cellStyle name="60% - Accent4 4" xfId="955"/>
    <cellStyle name="60% - Accent4 4 2" xfId="4510"/>
    <cellStyle name="60% - Accent4 40" xfId="956"/>
    <cellStyle name="60% - Accent4 40 2" xfId="4511"/>
    <cellStyle name="60% - Accent4 41" xfId="957"/>
    <cellStyle name="60% - Accent4 41 2" xfId="4512"/>
    <cellStyle name="60% - Accent4 42" xfId="958"/>
    <cellStyle name="60% - Accent4 42 2" xfId="4513"/>
    <cellStyle name="60% - Accent4 43" xfId="959"/>
    <cellStyle name="60% - Accent4 43 2" xfId="4514"/>
    <cellStyle name="60% - Accent4 44" xfId="960"/>
    <cellStyle name="60% - Accent4 44 2" xfId="4515"/>
    <cellStyle name="60% - Accent4 45" xfId="961"/>
    <cellStyle name="60% - Accent4 45 2" xfId="4516"/>
    <cellStyle name="60% - Accent4 46" xfId="962"/>
    <cellStyle name="60% - Accent4 46 2" xfId="4517"/>
    <cellStyle name="60% - Accent4 47" xfId="963"/>
    <cellStyle name="60% - Accent4 47 2" xfId="4518"/>
    <cellStyle name="60% - Accent4 48" xfId="964"/>
    <cellStyle name="60% - Accent4 48 2" xfId="4519"/>
    <cellStyle name="60% - Accent4 49" xfId="965"/>
    <cellStyle name="60% - Accent4 49 2" xfId="4520"/>
    <cellStyle name="60% - Accent4 5" xfId="966"/>
    <cellStyle name="60% - Accent4 5 2" xfId="4521"/>
    <cellStyle name="60% - Accent4 50" xfId="967"/>
    <cellStyle name="60% - Accent4 50 2" xfId="4522"/>
    <cellStyle name="60% - Accent4 51" xfId="968"/>
    <cellStyle name="60% - Accent4 51 2" xfId="4523"/>
    <cellStyle name="60% - Accent4 52" xfId="969"/>
    <cellStyle name="60% - Accent4 52 2" xfId="4524"/>
    <cellStyle name="60% - Accent4 53" xfId="970"/>
    <cellStyle name="60% - Accent4 53 2" xfId="4525"/>
    <cellStyle name="60% - Accent4 54" xfId="971"/>
    <cellStyle name="60% - Accent4 54 2" xfId="4526"/>
    <cellStyle name="60% - Accent4 55" xfId="972"/>
    <cellStyle name="60% - Accent4 55 2" xfId="4527"/>
    <cellStyle name="60% - Accent4 56" xfId="973"/>
    <cellStyle name="60% - Accent4 56 2" xfId="4528"/>
    <cellStyle name="60% - Accent4 57" xfId="974"/>
    <cellStyle name="60% - Accent4 57 2" xfId="4529"/>
    <cellStyle name="60% - Accent4 58" xfId="975"/>
    <cellStyle name="60% - Accent4 58 2" xfId="4530"/>
    <cellStyle name="60% - Accent4 59" xfId="976"/>
    <cellStyle name="60% - Accent4 59 2" xfId="4531"/>
    <cellStyle name="60% - Accent4 6" xfId="977"/>
    <cellStyle name="60% - Accent4 6 2" xfId="4532"/>
    <cellStyle name="60% - Accent4 60" xfId="4533"/>
    <cellStyle name="60% - Accent4 7" xfId="978"/>
    <cellStyle name="60% - Accent4 7 2" xfId="4534"/>
    <cellStyle name="60% - Accent4 8" xfId="979"/>
    <cellStyle name="60% - Accent4 8 2" xfId="4535"/>
    <cellStyle name="60% - Accent4 9" xfId="980"/>
    <cellStyle name="60% - Accent4 9 2" xfId="4536"/>
    <cellStyle name="60% - Accent5 10" xfId="981"/>
    <cellStyle name="60% - Accent5 10 2" xfId="4537"/>
    <cellStyle name="60% - Accent5 11" xfId="982"/>
    <cellStyle name="60% - Accent5 11 2" xfId="4538"/>
    <cellStyle name="60% - Accent5 12" xfId="983"/>
    <cellStyle name="60% - Accent5 12 2" xfId="4539"/>
    <cellStyle name="60% - Accent5 13" xfId="984"/>
    <cellStyle name="60% - Accent5 13 2" xfId="4540"/>
    <cellStyle name="60% - Accent5 14" xfId="985"/>
    <cellStyle name="60% - Accent5 14 2" xfId="4541"/>
    <cellStyle name="60% - Accent5 15" xfId="986"/>
    <cellStyle name="60% - Accent5 15 2" xfId="4542"/>
    <cellStyle name="60% - Accent5 16" xfId="987"/>
    <cellStyle name="60% - Accent5 16 2" xfId="4543"/>
    <cellStyle name="60% - Accent5 17" xfId="988"/>
    <cellStyle name="60% - Accent5 17 2" xfId="4544"/>
    <cellStyle name="60% - Accent5 18" xfId="989"/>
    <cellStyle name="60% - Accent5 18 2" xfId="4545"/>
    <cellStyle name="60% - Accent5 19" xfId="990"/>
    <cellStyle name="60% - Accent5 19 2" xfId="4546"/>
    <cellStyle name="60% - Accent5 2" xfId="991"/>
    <cellStyle name="60% - Accent5 2 2" xfId="992"/>
    <cellStyle name="60% - Accent5 2 2 2" xfId="4547"/>
    <cellStyle name="60% - Accent5 2 3" xfId="4548"/>
    <cellStyle name="60% - Accent5 20" xfId="993"/>
    <cellStyle name="60% - Accent5 20 2" xfId="4549"/>
    <cellStyle name="60% - Accent5 21" xfId="994"/>
    <cellStyle name="60% - Accent5 21 2" xfId="4550"/>
    <cellStyle name="60% - Accent5 22" xfId="995"/>
    <cellStyle name="60% - Accent5 22 2" xfId="4551"/>
    <cellStyle name="60% - Accent5 23" xfId="996"/>
    <cellStyle name="60% - Accent5 23 2" xfId="4552"/>
    <cellStyle name="60% - Accent5 24" xfId="997"/>
    <cellStyle name="60% - Accent5 24 2" xfId="4553"/>
    <cellStyle name="60% - Accent5 25" xfId="998"/>
    <cellStyle name="60% - Accent5 25 2" xfId="4554"/>
    <cellStyle name="60% - Accent5 26" xfId="999"/>
    <cellStyle name="60% - Accent5 26 2" xfId="4555"/>
    <cellStyle name="60% - Accent5 27" xfId="1000"/>
    <cellStyle name="60% - Accent5 27 2" xfId="4556"/>
    <cellStyle name="60% - Accent5 28" xfId="1001"/>
    <cellStyle name="60% - Accent5 28 2" xfId="4557"/>
    <cellStyle name="60% - Accent5 29" xfId="1002"/>
    <cellStyle name="60% - Accent5 29 2" xfId="4558"/>
    <cellStyle name="60% - Accent5 3" xfId="1003"/>
    <cellStyle name="60% - Accent5 3 2" xfId="4559"/>
    <cellStyle name="60% - Accent5 30" xfId="1004"/>
    <cellStyle name="60% - Accent5 30 2" xfId="4560"/>
    <cellStyle name="60% - Accent5 31" xfId="1005"/>
    <cellStyle name="60% - Accent5 31 2" xfId="4561"/>
    <cellStyle name="60% - Accent5 32" xfId="1006"/>
    <cellStyle name="60% - Accent5 32 2" xfId="4562"/>
    <cellStyle name="60% - Accent5 33" xfId="1007"/>
    <cellStyle name="60% - Accent5 33 2" xfId="4563"/>
    <cellStyle name="60% - Accent5 34" xfId="1008"/>
    <cellStyle name="60% - Accent5 34 2" xfId="4564"/>
    <cellStyle name="60% - Accent5 35" xfId="1009"/>
    <cellStyle name="60% - Accent5 35 2" xfId="4565"/>
    <cellStyle name="60% - Accent5 36" xfId="1010"/>
    <cellStyle name="60% - Accent5 36 2" xfId="4566"/>
    <cellStyle name="60% - Accent5 37" xfId="1011"/>
    <cellStyle name="60% - Accent5 37 2" xfId="4567"/>
    <cellStyle name="60% - Accent5 38" xfId="1012"/>
    <cellStyle name="60% - Accent5 38 2" xfId="4568"/>
    <cellStyle name="60% - Accent5 39" xfId="1013"/>
    <cellStyle name="60% - Accent5 39 2" xfId="4569"/>
    <cellStyle name="60% - Accent5 4" xfId="1014"/>
    <cellStyle name="60% - Accent5 4 2" xfId="4570"/>
    <cellStyle name="60% - Accent5 40" xfId="1015"/>
    <cellStyle name="60% - Accent5 40 2" xfId="4571"/>
    <cellStyle name="60% - Accent5 41" xfId="1016"/>
    <cellStyle name="60% - Accent5 41 2" xfId="4572"/>
    <cellStyle name="60% - Accent5 42" xfId="1017"/>
    <cellStyle name="60% - Accent5 42 2" xfId="4573"/>
    <cellStyle name="60% - Accent5 43" xfId="1018"/>
    <cellStyle name="60% - Accent5 43 2" xfId="4574"/>
    <cellStyle name="60% - Accent5 44" xfId="1019"/>
    <cellStyle name="60% - Accent5 44 2" xfId="4575"/>
    <cellStyle name="60% - Accent5 45" xfId="1020"/>
    <cellStyle name="60% - Accent5 45 2" xfId="4576"/>
    <cellStyle name="60% - Accent5 46" xfId="1021"/>
    <cellStyle name="60% - Accent5 46 2" xfId="4577"/>
    <cellStyle name="60% - Accent5 47" xfId="1022"/>
    <cellStyle name="60% - Accent5 47 2" xfId="4578"/>
    <cellStyle name="60% - Accent5 48" xfId="1023"/>
    <cellStyle name="60% - Accent5 48 2" xfId="4579"/>
    <cellStyle name="60% - Accent5 49" xfId="1024"/>
    <cellStyle name="60% - Accent5 49 2" xfId="4580"/>
    <cellStyle name="60% - Accent5 5" xfId="1025"/>
    <cellStyle name="60% - Accent5 5 2" xfId="4581"/>
    <cellStyle name="60% - Accent5 50" xfId="1026"/>
    <cellStyle name="60% - Accent5 50 2" xfId="4582"/>
    <cellStyle name="60% - Accent5 51" xfId="1027"/>
    <cellStyle name="60% - Accent5 51 2" xfId="4583"/>
    <cellStyle name="60% - Accent5 52" xfId="1028"/>
    <cellStyle name="60% - Accent5 52 2" xfId="4584"/>
    <cellStyle name="60% - Accent5 53" xfId="1029"/>
    <cellStyle name="60% - Accent5 53 2" xfId="4585"/>
    <cellStyle name="60% - Accent5 54" xfId="1030"/>
    <cellStyle name="60% - Accent5 54 2" xfId="4586"/>
    <cellStyle name="60% - Accent5 55" xfId="1031"/>
    <cellStyle name="60% - Accent5 55 2" xfId="4587"/>
    <cellStyle name="60% - Accent5 56" xfId="1032"/>
    <cellStyle name="60% - Accent5 56 2" xfId="4588"/>
    <cellStyle name="60% - Accent5 57" xfId="1033"/>
    <cellStyle name="60% - Accent5 57 2" xfId="4589"/>
    <cellStyle name="60% - Accent5 58" xfId="1034"/>
    <cellStyle name="60% - Accent5 58 2" xfId="4590"/>
    <cellStyle name="60% - Accent5 59" xfId="1035"/>
    <cellStyle name="60% - Accent5 59 2" xfId="4591"/>
    <cellStyle name="60% - Accent5 6" xfId="1036"/>
    <cellStyle name="60% - Accent5 6 2" xfId="4592"/>
    <cellStyle name="60% - Accent5 60" xfId="4593"/>
    <cellStyle name="60% - Accent5 7" xfId="1037"/>
    <cellStyle name="60% - Accent5 7 2" xfId="4594"/>
    <cellStyle name="60% - Accent5 8" xfId="1038"/>
    <cellStyle name="60% - Accent5 8 2" xfId="4595"/>
    <cellStyle name="60% - Accent5 9" xfId="1039"/>
    <cellStyle name="60% - Accent5 9 2" xfId="4596"/>
    <cellStyle name="60% - Accent6 10" xfId="1040"/>
    <cellStyle name="60% - Accent6 10 2" xfId="4597"/>
    <cellStyle name="60% - Accent6 11" xfId="1041"/>
    <cellStyle name="60% - Accent6 11 2" xfId="4598"/>
    <cellStyle name="60% - Accent6 12" xfId="1042"/>
    <cellStyle name="60% - Accent6 12 2" xfId="4599"/>
    <cellStyle name="60% - Accent6 13" xfId="1043"/>
    <cellStyle name="60% - Accent6 13 2" xfId="4600"/>
    <cellStyle name="60% - Accent6 14" xfId="1044"/>
    <cellStyle name="60% - Accent6 14 2" xfId="4601"/>
    <cellStyle name="60% - Accent6 15" xfId="1045"/>
    <cellStyle name="60% - Accent6 15 2" xfId="4602"/>
    <cellStyle name="60% - Accent6 16" xfId="1046"/>
    <cellStyle name="60% - Accent6 16 2" xfId="4603"/>
    <cellStyle name="60% - Accent6 17" xfId="1047"/>
    <cellStyle name="60% - Accent6 17 2" xfId="4604"/>
    <cellStyle name="60% - Accent6 18" xfId="1048"/>
    <cellStyle name="60% - Accent6 18 2" xfId="4605"/>
    <cellStyle name="60% - Accent6 19" xfId="1049"/>
    <cellStyle name="60% - Accent6 19 2" xfId="4606"/>
    <cellStyle name="60% - Accent6 2" xfId="1050"/>
    <cellStyle name="60% - Accent6 2 2" xfId="1051"/>
    <cellStyle name="60% - Accent6 2 2 2" xfId="4607"/>
    <cellStyle name="60% - Accent6 2 3" xfId="4608"/>
    <cellStyle name="60% - Accent6 20" xfId="1052"/>
    <cellStyle name="60% - Accent6 20 2" xfId="4609"/>
    <cellStyle name="60% - Accent6 21" xfId="1053"/>
    <cellStyle name="60% - Accent6 21 2" xfId="4610"/>
    <cellStyle name="60% - Accent6 22" xfId="1054"/>
    <cellStyle name="60% - Accent6 22 2" xfId="4611"/>
    <cellStyle name="60% - Accent6 23" xfId="1055"/>
    <cellStyle name="60% - Accent6 23 2" xfId="4612"/>
    <cellStyle name="60% - Accent6 24" xfId="1056"/>
    <cellStyle name="60% - Accent6 24 2" xfId="4613"/>
    <cellStyle name="60% - Accent6 25" xfId="1057"/>
    <cellStyle name="60% - Accent6 25 2" xfId="4614"/>
    <cellStyle name="60% - Accent6 26" xfId="1058"/>
    <cellStyle name="60% - Accent6 26 2" xfId="4615"/>
    <cellStyle name="60% - Accent6 27" xfId="1059"/>
    <cellStyle name="60% - Accent6 27 2" xfId="4616"/>
    <cellStyle name="60% - Accent6 28" xfId="1060"/>
    <cellStyle name="60% - Accent6 28 2" xfId="4617"/>
    <cellStyle name="60% - Accent6 29" xfId="1061"/>
    <cellStyle name="60% - Accent6 29 2" xfId="4618"/>
    <cellStyle name="60% - Accent6 3" xfId="1062"/>
    <cellStyle name="60% - Accent6 3 2" xfId="4619"/>
    <cellStyle name="60% - Accent6 30" xfId="1063"/>
    <cellStyle name="60% - Accent6 30 2" xfId="4620"/>
    <cellStyle name="60% - Accent6 31" xfId="1064"/>
    <cellStyle name="60% - Accent6 31 2" xfId="4621"/>
    <cellStyle name="60% - Accent6 32" xfId="1065"/>
    <cellStyle name="60% - Accent6 32 2" xfId="4622"/>
    <cellStyle name="60% - Accent6 33" xfId="1066"/>
    <cellStyle name="60% - Accent6 33 2" xfId="4623"/>
    <cellStyle name="60% - Accent6 34" xfId="1067"/>
    <cellStyle name="60% - Accent6 34 2" xfId="4624"/>
    <cellStyle name="60% - Accent6 35" xfId="1068"/>
    <cellStyle name="60% - Accent6 35 2" xfId="4625"/>
    <cellStyle name="60% - Accent6 36" xfId="1069"/>
    <cellStyle name="60% - Accent6 36 2" xfId="4626"/>
    <cellStyle name="60% - Accent6 37" xfId="1070"/>
    <cellStyle name="60% - Accent6 37 2" xfId="4627"/>
    <cellStyle name="60% - Accent6 38" xfId="1071"/>
    <cellStyle name="60% - Accent6 38 2" xfId="4628"/>
    <cellStyle name="60% - Accent6 39" xfId="1072"/>
    <cellStyle name="60% - Accent6 39 2" xfId="4629"/>
    <cellStyle name="60% - Accent6 4" xfId="1073"/>
    <cellStyle name="60% - Accent6 4 2" xfId="4630"/>
    <cellStyle name="60% - Accent6 40" xfId="1074"/>
    <cellStyle name="60% - Accent6 40 2" xfId="4631"/>
    <cellStyle name="60% - Accent6 41" xfId="1075"/>
    <cellStyle name="60% - Accent6 41 2" xfId="4632"/>
    <cellStyle name="60% - Accent6 42" xfId="1076"/>
    <cellStyle name="60% - Accent6 42 2" xfId="4633"/>
    <cellStyle name="60% - Accent6 43" xfId="1077"/>
    <cellStyle name="60% - Accent6 43 2" xfId="4634"/>
    <cellStyle name="60% - Accent6 44" xfId="1078"/>
    <cellStyle name="60% - Accent6 44 2" xfId="4635"/>
    <cellStyle name="60% - Accent6 45" xfId="1079"/>
    <cellStyle name="60% - Accent6 45 2" xfId="4636"/>
    <cellStyle name="60% - Accent6 46" xfId="1080"/>
    <cellStyle name="60% - Accent6 46 2" xfId="4637"/>
    <cellStyle name="60% - Accent6 47" xfId="1081"/>
    <cellStyle name="60% - Accent6 47 2" xfId="4638"/>
    <cellStyle name="60% - Accent6 48" xfId="1082"/>
    <cellStyle name="60% - Accent6 48 2" xfId="4639"/>
    <cellStyle name="60% - Accent6 49" xfId="1083"/>
    <cellStyle name="60% - Accent6 49 2" xfId="4640"/>
    <cellStyle name="60% - Accent6 5" xfId="1084"/>
    <cellStyle name="60% - Accent6 5 2" xfId="4641"/>
    <cellStyle name="60% - Accent6 50" xfId="1085"/>
    <cellStyle name="60% - Accent6 50 2" xfId="4642"/>
    <cellStyle name="60% - Accent6 51" xfId="1086"/>
    <cellStyle name="60% - Accent6 51 2" xfId="4643"/>
    <cellStyle name="60% - Accent6 52" xfId="1087"/>
    <cellStyle name="60% - Accent6 52 2" xfId="4644"/>
    <cellStyle name="60% - Accent6 53" xfId="1088"/>
    <cellStyle name="60% - Accent6 53 2" xfId="4645"/>
    <cellStyle name="60% - Accent6 54" xfId="1089"/>
    <cellStyle name="60% - Accent6 54 2" xfId="4646"/>
    <cellStyle name="60% - Accent6 55" xfId="1090"/>
    <cellStyle name="60% - Accent6 55 2" xfId="4647"/>
    <cellStyle name="60% - Accent6 56" xfId="1091"/>
    <cellStyle name="60% - Accent6 56 2" xfId="4648"/>
    <cellStyle name="60% - Accent6 57" xfId="1092"/>
    <cellStyle name="60% - Accent6 57 2" xfId="4649"/>
    <cellStyle name="60% - Accent6 58" xfId="1093"/>
    <cellStyle name="60% - Accent6 58 2" xfId="4650"/>
    <cellStyle name="60% - Accent6 59" xfId="1094"/>
    <cellStyle name="60% - Accent6 59 2" xfId="4651"/>
    <cellStyle name="60% - Accent6 6" xfId="1095"/>
    <cellStyle name="60% - Accent6 6 2" xfId="4652"/>
    <cellStyle name="60% - Accent6 60" xfId="4653"/>
    <cellStyle name="60% - Accent6 7" xfId="1096"/>
    <cellStyle name="60% - Accent6 7 2" xfId="4654"/>
    <cellStyle name="60% - Accent6 8" xfId="1097"/>
    <cellStyle name="60% - Accent6 8 2" xfId="4655"/>
    <cellStyle name="60% - Accent6 9" xfId="1098"/>
    <cellStyle name="60% - Accent6 9 2" xfId="4656"/>
    <cellStyle name="Accent1 10" xfId="1099"/>
    <cellStyle name="Accent1 10 2" xfId="4657"/>
    <cellStyle name="Accent1 11" xfId="1100"/>
    <cellStyle name="Accent1 11 2" xfId="4658"/>
    <cellStyle name="Accent1 12" xfId="1101"/>
    <cellStyle name="Accent1 12 2" xfId="4659"/>
    <cellStyle name="Accent1 13" xfId="1102"/>
    <cellStyle name="Accent1 13 2" xfId="4660"/>
    <cellStyle name="Accent1 14" xfId="1103"/>
    <cellStyle name="Accent1 14 2" xfId="4661"/>
    <cellStyle name="Accent1 15" xfId="1104"/>
    <cellStyle name="Accent1 15 2" xfId="4662"/>
    <cellStyle name="Accent1 16" xfId="1105"/>
    <cellStyle name="Accent1 16 2" xfId="4663"/>
    <cellStyle name="Accent1 17" xfId="1106"/>
    <cellStyle name="Accent1 17 2" xfId="4664"/>
    <cellStyle name="Accent1 18" xfId="1107"/>
    <cellStyle name="Accent1 18 2" xfId="4665"/>
    <cellStyle name="Accent1 19" xfId="1108"/>
    <cellStyle name="Accent1 19 2" xfId="4666"/>
    <cellStyle name="Accent1 2" xfId="1109"/>
    <cellStyle name="Accent1 2 2" xfId="1110"/>
    <cellStyle name="Accent1 2 2 2" xfId="4667"/>
    <cellStyle name="Accent1 2 3" xfId="4668"/>
    <cellStyle name="Accent1 20" xfId="1111"/>
    <cellStyle name="Accent1 20 2" xfId="4669"/>
    <cellStyle name="Accent1 21" xfId="1112"/>
    <cellStyle name="Accent1 21 2" xfId="4670"/>
    <cellStyle name="Accent1 22" xfId="1113"/>
    <cellStyle name="Accent1 22 2" xfId="4671"/>
    <cellStyle name="Accent1 23" xfId="1114"/>
    <cellStyle name="Accent1 23 2" xfId="4672"/>
    <cellStyle name="Accent1 24" xfId="1115"/>
    <cellStyle name="Accent1 24 2" xfId="4673"/>
    <cellStyle name="Accent1 25" xfId="1116"/>
    <cellStyle name="Accent1 25 2" xfId="4674"/>
    <cellStyle name="Accent1 26" xfId="1117"/>
    <cellStyle name="Accent1 26 2" xfId="4675"/>
    <cellStyle name="Accent1 27" xfId="1118"/>
    <cellStyle name="Accent1 27 2" xfId="4676"/>
    <cellStyle name="Accent1 28" xfId="1119"/>
    <cellStyle name="Accent1 28 2" xfId="4677"/>
    <cellStyle name="Accent1 29" xfId="1120"/>
    <cellStyle name="Accent1 29 2" xfId="4678"/>
    <cellStyle name="Accent1 3" xfId="1121"/>
    <cellStyle name="Accent1 3 2" xfId="4679"/>
    <cellStyle name="Accent1 30" xfId="1122"/>
    <cellStyle name="Accent1 30 2" xfId="4680"/>
    <cellStyle name="Accent1 31" xfId="1123"/>
    <cellStyle name="Accent1 31 2" xfId="4681"/>
    <cellStyle name="Accent1 32" xfId="1124"/>
    <cellStyle name="Accent1 32 2" xfId="4682"/>
    <cellStyle name="Accent1 33" xfId="1125"/>
    <cellStyle name="Accent1 33 2" xfId="4683"/>
    <cellStyle name="Accent1 34" xfId="1126"/>
    <cellStyle name="Accent1 34 2" xfId="4684"/>
    <cellStyle name="Accent1 35" xfId="1127"/>
    <cellStyle name="Accent1 35 2" xfId="4685"/>
    <cellStyle name="Accent1 36" xfId="1128"/>
    <cellStyle name="Accent1 36 2" xfId="4686"/>
    <cellStyle name="Accent1 37" xfId="1129"/>
    <cellStyle name="Accent1 37 2" xfId="4687"/>
    <cellStyle name="Accent1 38" xfId="1130"/>
    <cellStyle name="Accent1 38 2" xfId="4688"/>
    <cellStyle name="Accent1 39" xfId="1131"/>
    <cellStyle name="Accent1 39 2" xfId="4689"/>
    <cellStyle name="Accent1 4" xfId="1132"/>
    <cellStyle name="Accent1 4 2" xfId="4690"/>
    <cellStyle name="Accent1 40" xfId="1133"/>
    <cellStyle name="Accent1 40 2" xfId="4691"/>
    <cellStyle name="Accent1 41" xfId="1134"/>
    <cellStyle name="Accent1 41 2" xfId="4692"/>
    <cellStyle name="Accent1 42" xfId="1135"/>
    <cellStyle name="Accent1 42 2" xfId="4693"/>
    <cellStyle name="Accent1 43" xfId="1136"/>
    <cellStyle name="Accent1 43 2" xfId="4694"/>
    <cellStyle name="Accent1 44" xfId="1137"/>
    <cellStyle name="Accent1 44 2" xfId="4695"/>
    <cellStyle name="Accent1 45" xfId="1138"/>
    <cellStyle name="Accent1 45 2" xfId="4696"/>
    <cellStyle name="Accent1 46" xfId="1139"/>
    <cellStyle name="Accent1 46 2" xfId="4697"/>
    <cellStyle name="Accent1 47" xfId="1140"/>
    <cellStyle name="Accent1 47 2" xfId="4698"/>
    <cellStyle name="Accent1 48" xfId="1141"/>
    <cellStyle name="Accent1 48 2" xfId="4699"/>
    <cellStyle name="Accent1 49" xfId="1142"/>
    <cellStyle name="Accent1 49 2" xfId="4700"/>
    <cellStyle name="Accent1 5" xfId="1143"/>
    <cellStyle name="Accent1 5 2" xfId="4701"/>
    <cellStyle name="Accent1 50" xfId="1144"/>
    <cellStyle name="Accent1 50 2" xfId="4702"/>
    <cellStyle name="Accent1 51" xfId="1145"/>
    <cellStyle name="Accent1 51 2" xfId="4703"/>
    <cellStyle name="Accent1 52" xfId="1146"/>
    <cellStyle name="Accent1 52 2" xfId="4704"/>
    <cellStyle name="Accent1 53" xfId="1147"/>
    <cellStyle name="Accent1 53 2" xfId="4705"/>
    <cellStyle name="Accent1 54" xfId="1148"/>
    <cellStyle name="Accent1 54 2" xfId="4706"/>
    <cellStyle name="Accent1 55" xfId="1149"/>
    <cellStyle name="Accent1 55 2" xfId="4707"/>
    <cellStyle name="Accent1 56" xfId="1150"/>
    <cellStyle name="Accent1 56 2" xfId="4708"/>
    <cellStyle name="Accent1 57" xfId="1151"/>
    <cellStyle name="Accent1 57 2" xfId="4709"/>
    <cellStyle name="Accent1 58" xfId="1152"/>
    <cellStyle name="Accent1 58 2" xfId="4710"/>
    <cellStyle name="Accent1 59" xfId="1153"/>
    <cellStyle name="Accent1 59 2" xfId="4711"/>
    <cellStyle name="Accent1 6" xfId="1154"/>
    <cellStyle name="Accent1 6 2" xfId="4712"/>
    <cellStyle name="Accent1 60" xfId="4713"/>
    <cellStyle name="Accent1 7" xfId="1155"/>
    <cellStyle name="Accent1 7 2" xfId="4714"/>
    <cellStyle name="Accent1 8" xfId="1156"/>
    <cellStyle name="Accent1 8 2" xfId="4715"/>
    <cellStyle name="Accent1 9" xfId="1157"/>
    <cellStyle name="Accent1 9 2" xfId="4716"/>
    <cellStyle name="Accent2 10" xfId="1158"/>
    <cellStyle name="Accent2 10 2" xfId="4717"/>
    <cellStyle name="Accent2 11" xfId="1159"/>
    <cellStyle name="Accent2 11 2" xfId="4718"/>
    <cellStyle name="Accent2 12" xfId="1160"/>
    <cellStyle name="Accent2 12 2" xfId="4719"/>
    <cellStyle name="Accent2 13" xfId="1161"/>
    <cellStyle name="Accent2 13 2" xfId="4720"/>
    <cellStyle name="Accent2 14" xfId="1162"/>
    <cellStyle name="Accent2 14 2" xfId="4721"/>
    <cellStyle name="Accent2 15" xfId="1163"/>
    <cellStyle name="Accent2 15 2" xfId="4722"/>
    <cellStyle name="Accent2 16" xfId="1164"/>
    <cellStyle name="Accent2 16 2" xfId="4723"/>
    <cellStyle name="Accent2 17" xfId="1165"/>
    <cellStyle name="Accent2 17 2" xfId="4724"/>
    <cellStyle name="Accent2 18" xfId="1166"/>
    <cellStyle name="Accent2 18 2" xfId="4725"/>
    <cellStyle name="Accent2 19" xfId="1167"/>
    <cellStyle name="Accent2 19 2" xfId="4726"/>
    <cellStyle name="Accent2 2" xfId="1168"/>
    <cellStyle name="Accent2 2 2" xfId="1169"/>
    <cellStyle name="Accent2 2 2 2" xfId="4727"/>
    <cellStyle name="Accent2 2 3" xfId="4728"/>
    <cellStyle name="Accent2 20" xfId="1170"/>
    <cellStyle name="Accent2 20 2" xfId="4729"/>
    <cellStyle name="Accent2 21" xfId="1171"/>
    <cellStyle name="Accent2 21 2" xfId="4730"/>
    <cellStyle name="Accent2 22" xfId="1172"/>
    <cellStyle name="Accent2 22 2" xfId="4731"/>
    <cellStyle name="Accent2 23" xfId="1173"/>
    <cellStyle name="Accent2 23 2" xfId="4732"/>
    <cellStyle name="Accent2 24" xfId="1174"/>
    <cellStyle name="Accent2 24 2" xfId="4733"/>
    <cellStyle name="Accent2 25" xfId="1175"/>
    <cellStyle name="Accent2 25 2" xfId="4734"/>
    <cellStyle name="Accent2 26" xfId="1176"/>
    <cellStyle name="Accent2 26 2" xfId="4735"/>
    <cellStyle name="Accent2 27" xfId="1177"/>
    <cellStyle name="Accent2 27 2" xfId="4736"/>
    <cellStyle name="Accent2 28" xfId="1178"/>
    <cellStyle name="Accent2 28 2" xfId="4737"/>
    <cellStyle name="Accent2 29" xfId="1179"/>
    <cellStyle name="Accent2 29 2" xfId="4738"/>
    <cellStyle name="Accent2 3" xfId="1180"/>
    <cellStyle name="Accent2 3 2" xfId="4739"/>
    <cellStyle name="Accent2 30" xfId="1181"/>
    <cellStyle name="Accent2 30 2" xfId="4740"/>
    <cellStyle name="Accent2 31" xfId="1182"/>
    <cellStyle name="Accent2 31 2" xfId="4741"/>
    <cellStyle name="Accent2 32" xfId="1183"/>
    <cellStyle name="Accent2 32 2" xfId="4742"/>
    <cellStyle name="Accent2 33" xfId="1184"/>
    <cellStyle name="Accent2 33 2" xfId="4743"/>
    <cellStyle name="Accent2 34" xfId="1185"/>
    <cellStyle name="Accent2 34 2" xfId="4744"/>
    <cellStyle name="Accent2 35" xfId="1186"/>
    <cellStyle name="Accent2 35 2" xfId="4745"/>
    <cellStyle name="Accent2 36" xfId="1187"/>
    <cellStyle name="Accent2 36 2" xfId="4746"/>
    <cellStyle name="Accent2 37" xfId="1188"/>
    <cellStyle name="Accent2 37 2" xfId="4747"/>
    <cellStyle name="Accent2 38" xfId="1189"/>
    <cellStyle name="Accent2 38 2" xfId="4748"/>
    <cellStyle name="Accent2 39" xfId="1190"/>
    <cellStyle name="Accent2 39 2" xfId="4749"/>
    <cellStyle name="Accent2 4" xfId="1191"/>
    <cellStyle name="Accent2 4 2" xfId="4750"/>
    <cellStyle name="Accent2 40" xfId="1192"/>
    <cellStyle name="Accent2 40 2" xfId="4751"/>
    <cellStyle name="Accent2 41" xfId="1193"/>
    <cellStyle name="Accent2 41 2" xfId="4752"/>
    <cellStyle name="Accent2 42" xfId="1194"/>
    <cellStyle name="Accent2 42 2" xfId="4753"/>
    <cellStyle name="Accent2 43" xfId="1195"/>
    <cellStyle name="Accent2 43 2" xfId="4754"/>
    <cellStyle name="Accent2 44" xfId="1196"/>
    <cellStyle name="Accent2 44 2" xfId="4755"/>
    <cellStyle name="Accent2 45" xfId="1197"/>
    <cellStyle name="Accent2 45 2" xfId="4756"/>
    <cellStyle name="Accent2 46" xfId="1198"/>
    <cellStyle name="Accent2 46 2" xfId="4757"/>
    <cellStyle name="Accent2 47" xfId="1199"/>
    <cellStyle name="Accent2 47 2" xfId="4758"/>
    <cellStyle name="Accent2 48" xfId="1200"/>
    <cellStyle name="Accent2 48 2" xfId="4759"/>
    <cellStyle name="Accent2 49" xfId="1201"/>
    <cellStyle name="Accent2 49 2" xfId="4760"/>
    <cellStyle name="Accent2 5" xfId="1202"/>
    <cellStyle name="Accent2 5 2" xfId="4761"/>
    <cellStyle name="Accent2 50" xfId="1203"/>
    <cellStyle name="Accent2 50 2" xfId="4762"/>
    <cellStyle name="Accent2 51" xfId="1204"/>
    <cellStyle name="Accent2 51 2" xfId="4763"/>
    <cellStyle name="Accent2 52" xfId="1205"/>
    <cellStyle name="Accent2 52 2" xfId="4764"/>
    <cellStyle name="Accent2 53" xfId="1206"/>
    <cellStyle name="Accent2 53 2" xfId="4765"/>
    <cellStyle name="Accent2 54" xfId="1207"/>
    <cellStyle name="Accent2 54 2" xfId="4766"/>
    <cellStyle name="Accent2 55" xfId="1208"/>
    <cellStyle name="Accent2 55 2" xfId="4767"/>
    <cellStyle name="Accent2 56" xfId="1209"/>
    <cellStyle name="Accent2 56 2" xfId="4768"/>
    <cellStyle name="Accent2 57" xfId="1210"/>
    <cellStyle name="Accent2 57 2" xfId="4769"/>
    <cellStyle name="Accent2 58" xfId="1211"/>
    <cellStyle name="Accent2 58 2" xfId="4770"/>
    <cellStyle name="Accent2 59" xfId="1212"/>
    <cellStyle name="Accent2 59 2" xfId="4771"/>
    <cellStyle name="Accent2 6" xfId="1213"/>
    <cellStyle name="Accent2 6 2" xfId="4772"/>
    <cellStyle name="Accent2 60" xfId="4773"/>
    <cellStyle name="Accent2 7" xfId="1214"/>
    <cellStyle name="Accent2 7 2" xfId="4774"/>
    <cellStyle name="Accent2 8" xfId="1215"/>
    <cellStyle name="Accent2 8 2" xfId="4775"/>
    <cellStyle name="Accent2 9" xfId="1216"/>
    <cellStyle name="Accent2 9 2" xfId="4776"/>
    <cellStyle name="Accent3 10" xfId="1217"/>
    <cellStyle name="Accent3 10 2" xfId="4777"/>
    <cellStyle name="Accent3 11" xfId="1218"/>
    <cellStyle name="Accent3 11 2" xfId="4778"/>
    <cellStyle name="Accent3 12" xfId="1219"/>
    <cellStyle name="Accent3 12 2" xfId="4779"/>
    <cellStyle name="Accent3 13" xfId="1220"/>
    <cellStyle name="Accent3 13 2" xfId="4780"/>
    <cellStyle name="Accent3 14" xfId="1221"/>
    <cellStyle name="Accent3 14 2" xfId="4781"/>
    <cellStyle name="Accent3 15" xfId="1222"/>
    <cellStyle name="Accent3 15 2" xfId="4782"/>
    <cellStyle name="Accent3 16" xfId="1223"/>
    <cellStyle name="Accent3 16 2" xfId="4783"/>
    <cellStyle name="Accent3 17" xfId="1224"/>
    <cellStyle name="Accent3 17 2" xfId="4784"/>
    <cellStyle name="Accent3 18" xfId="1225"/>
    <cellStyle name="Accent3 18 2" xfId="4785"/>
    <cellStyle name="Accent3 19" xfId="1226"/>
    <cellStyle name="Accent3 19 2" xfId="4786"/>
    <cellStyle name="Accent3 2" xfId="1227"/>
    <cellStyle name="Accent3 2 2" xfId="1228"/>
    <cellStyle name="Accent3 2 2 2" xfId="4787"/>
    <cellStyle name="Accent3 2 3" xfId="4788"/>
    <cellStyle name="Accent3 20" xfId="1229"/>
    <cellStyle name="Accent3 20 2" xfId="4789"/>
    <cellStyle name="Accent3 21" xfId="1230"/>
    <cellStyle name="Accent3 21 2" xfId="4790"/>
    <cellStyle name="Accent3 22" xfId="1231"/>
    <cellStyle name="Accent3 22 2" xfId="4791"/>
    <cellStyle name="Accent3 23" xfId="1232"/>
    <cellStyle name="Accent3 23 2" xfId="4792"/>
    <cellStyle name="Accent3 24" xfId="1233"/>
    <cellStyle name="Accent3 24 2" xfId="4793"/>
    <cellStyle name="Accent3 25" xfId="1234"/>
    <cellStyle name="Accent3 25 2" xfId="4794"/>
    <cellStyle name="Accent3 26" xfId="1235"/>
    <cellStyle name="Accent3 26 2" xfId="4795"/>
    <cellStyle name="Accent3 27" xfId="1236"/>
    <cellStyle name="Accent3 27 2" xfId="4796"/>
    <cellStyle name="Accent3 28" xfId="1237"/>
    <cellStyle name="Accent3 28 2" xfId="4797"/>
    <cellStyle name="Accent3 29" xfId="1238"/>
    <cellStyle name="Accent3 29 2" xfId="4798"/>
    <cellStyle name="Accent3 3" xfId="1239"/>
    <cellStyle name="Accent3 3 2" xfId="4799"/>
    <cellStyle name="Accent3 30" xfId="1240"/>
    <cellStyle name="Accent3 30 2" xfId="4800"/>
    <cellStyle name="Accent3 31" xfId="1241"/>
    <cellStyle name="Accent3 31 2" xfId="4801"/>
    <cellStyle name="Accent3 32" xfId="1242"/>
    <cellStyle name="Accent3 32 2" xfId="4802"/>
    <cellStyle name="Accent3 33" xfId="1243"/>
    <cellStyle name="Accent3 33 2" xfId="4803"/>
    <cellStyle name="Accent3 34" xfId="1244"/>
    <cellStyle name="Accent3 34 2" xfId="4804"/>
    <cellStyle name="Accent3 35" xfId="1245"/>
    <cellStyle name="Accent3 35 2" xfId="4805"/>
    <cellStyle name="Accent3 36" xfId="1246"/>
    <cellStyle name="Accent3 36 2" xfId="4806"/>
    <cellStyle name="Accent3 37" xfId="1247"/>
    <cellStyle name="Accent3 37 2" xfId="4807"/>
    <cellStyle name="Accent3 38" xfId="1248"/>
    <cellStyle name="Accent3 38 2" xfId="4808"/>
    <cellStyle name="Accent3 39" xfId="1249"/>
    <cellStyle name="Accent3 39 2" xfId="4809"/>
    <cellStyle name="Accent3 4" xfId="1250"/>
    <cellStyle name="Accent3 4 2" xfId="4810"/>
    <cellStyle name="Accent3 40" xfId="1251"/>
    <cellStyle name="Accent3 40 2" xfId="4811"/>
    <cellStyle name="Accent3 41" xfId="1252"/>
    <cellStyle name="Accent3 41 2" xfId="4812"/>
    <cellStyle name="Accent3 42" xfId="1253"/>
    <cellStyle name="Accent3 42 2" xfId="4813"/>
    <cellStyle name="Accent3 43" xfId="1254"/>
    <cellStyle name="Accent3 43 2" xfId="4814"/>
    <cellStyle name="Accent3 44" xfId="1255"/>
    <cellStyle name="Accent3 44 2" xfId="4815"/>
    <cellStyle name="Accent3 45" xfId="1256"/>
    <cellStyle name="Accent3 45 2" xfId="4816"/>
    <cellStyle name="Accent3 46" xfId="1257"/>
    <cellStyle name="Accent3 46 2" xfId="4817"/>
    <cellStyle name="Accent3 47" xfId="1258"/>
    <cellStyle name="Accent3 47 2" xfId="4818"/>
    <cellStyle name="Accent3 48" xfId="1259"/>
    <cellStyle name="Accent3 48 2" xfId="4819"/>
    <cellStyle name="Accent3 49" xfId="1260"/>
    <cellStyle name="Accent3 49 2" xfId="4820"/>
    <cellStyle name="Accent3 5" xfId="1261"/>
    <cellStyle name="Accent3 5 2" xfId="4821"/>
    <cellStyle name="Accent3 50" xfId="1262"/>
    <cellStyle name="Accent3 50 2" xfId="4822"/>
    <cellStyle name="Accent3 51" xfId="1263"/>
    <cellStyle name="Accent3 51 2" xfId="4823"/>
    <cellStyle name="Accent3 52" xfId="1264"/>
    <cellStyle name="Accent3 52 2" xfId="4824"/>
    <cellStyle name="Accent3 53" xfId="1265"/>
    <cellStyle name="Accent3 53 2" xfId="4825"/>
    <cellStyle name="Accent3 54" xfId="1266"/>
    <cellStyle name="Accent3 54 2" xfId="4826"/>
    <cellStyle name="Accent3 55" xfId="1267"/>
    <cellStyle name="Accent3 55 2" xfId="4827"/>
    <cellStyle name="Accent3 56" xfId="1268"/>
    <cellStyle name="Accent3 56 2" xfId="4828"/>
    <cellStyle name="Accent3 57" xfId="1269"/>
    <cellStyle name="Accent3 57 2" xfId="4829"/>
    <cellStyle name="Accent3 58" xfId="1270"/>
    <cellStyle name="Accent3 58 2" xfId="4830"/>
    <cellStyle name="Accent3 59" xfId="1271"/>
    <cellStyle name="Accent3 59 2" xfId="4831"/>
    <cellStyle name="Accent3 6" xfId="1272"/>
    <cellStyle name="Accent3 6 2" xfId="4832"/>
    <cellStyle name="Accent3 60" xfId="4833"/>
    <cellStyle name="Accent3 7" xfId="1273"/>
    <cellStyle name="Accent3 7 2" xfId="4834"/>
    <cellStyle name="Accent3 8" xfId="1274"/>
    <cellStyle name="Accent3 8 2" xfId="4835"/>
    <cellStyle name="Accent3 9" xfId="1275"/>
    <cellStyle name="Accent3 9 2" xfId="4836"/>
    <cellStyle name="Accent4 10" xfId="1276"/>
    <cellStyle name="Accent4 10 2" xfId="4837"/>
    <cellStyle name="Accent4 11" xfId="1277"/>
    <cellStyle name="Accent4 11 2" xfId="4838"/>
    <cellStyle name="Accent4 12" xfId="1278"/>
    <cellStyle name="Accent4 12 2" xfId="4839"/>
    <cellStyle name="Accent4 13" xfId="1279"/>
    <cellStyle name="Accent4 13 2" xfId="4840"/>
    <cellStyle name="Accent4 14" xfId="1280"/>
    <cellStyle name="Accent4 14 2" xfId="4841"/>
    <cellStyle name="Accent4 15" xfId="1281"/>
    <cellStyle name="Accent4 15 2" xfId="4842"/>
    <cellStyle name="Accent4 16" xfId="1282"/>
    <cellStyle name="Accent4 16 2" xfId="4843"/>
    <cellStyle name="Accent4 17" xfId="1283"/>
    <cellStyle name="Accent4 17 2" xfId="4844"/>
    <cellStyle name="Accent4 18" xfId="1284"/>
    <cellStyle name="Accent4 18 2" xfId="4845"/>
    <cellStyle name="Accent4 19" xfId="1285"/>
    <cellStyle name="Accent4 19 2" xfId="4846"/>
    <cellStyle name="Accent4 2" xfId="1286"/>
    <cellStyle name="Accent4 2 2" xfId="1287"/>
    <cellStyle name="Accent4 2 2 2" xfId="4847"/>
    <cellStyle name="Accent4 2 3" xfId="4848"/>
    <cellStyle name="Accent4 20" xfId="1288"/>
    <cellStyle name="Accent4 20 2" xfId="4849"/>
    <cellStyle name="Accent4 21" xfId="1289"/>
    <cellStyle name="Accent4 21 2" xfId="4850"/>
    <cellStyle name="Accent4 22" xfId="1290"/>
    <cellStyle name="Accent4 22 2" xfId="4851"/>
    <cellStyle name="Accent4 23" xfId="1291"/>
    <cellStyle name="Accent4 23 2" xfId="4852"/>
    <cellStyle name="Accent4 24" xfId="1292"/>
    <cellStyle name="Accent4 24 2" xfId="4853"/>
    <cellStyle name="Accent4 25" xfId="1293"/>
    <cellStyle name="Accent4 25 2" xfId="4854"/>
    <cellStyle name="Accent4 26" xfId="1294"/>
    <cellStyle name="Accent4 26 2" xfId="4855"/>
    <cellStyle name="Accent4 27" xfId="1295"/>
    <cellStyle name="Accent4 27 2" xfId="4856"/>
    <cellStyle name="Accent4 28" xfId="1296"/>
    <cellStyle name="Accent4 28 2" xfId="4857"/>
    <cellStyle name="Accent4 29" xfId="1297"/>
    <cellStyle name="Accent4 29 2" xfId="4858"/>
    <cellStyle name="Accent4 3" xfId="1298"/>
    <cellStyle name="Accent4 3 2" xfId="4859"/>
    <cellStyle name="Accent4 30" xfId="1299"/>
    <cellStyle name="Accent4 30 2" xfId="4860"/>
    <cellStyle name="Accent4 31" xfId="1300"/>
    <cellStyle name="Accent4 31 2" xfId="4861"/>
    <cellStyle name="Accent4 32" xfId="1301"/>
    <cellStyle name="Accent4 32 2" xfId="4862"/>
    <cellStyle name="Accent4 33" xfId="1302"/>
    <cellStyle name="Accent4 33 2" xfId="4863"/>
    <cellStyle name="Accent4 34" xfId="1303"/>
    <cellStyle name="Accent4 34 2" xfId="4864"/>
    <cellStyle name="Accent4 35" xfId="1304"/>
    <cellStyle name="Accent4 35 2" xfId="4865"/>
    <cellStyle name="Accent4 36" xfId="1305"/>
    <cellStyle name="Accent4 36 2" xfId="4866"/>
    <cellStyle name="Accent4 37" xfId="1306"/>
    <cellStyle name="Accent4 37 2" xfId="4867"/>
    <cellStyle name="Accent4 38" xfId="1307"/>
    <cellStyle name="Accent4 38 2" xfId="4868"/>
    <cellStyle name="Accent4 39" xfId="1308"/>
    <cellStyle name="Accent4 39 2" xfId="4869"/>
    <cellStyle name="Accent4 4" xfId="1309"/>
    <cellStyle name="Accent4 4 2" xfId="4870"/>
    <cellStyle name="Accent4 40" xfId="1310"/>
    <cellStyle name="Accent4 40 2" xfId="4871"/>
    <cellStyle name="Accent4 41" xfId="1311"/>
    <cellStyle name="Accent4 41 2" xfId="4872"/>
    <cellStyle name="Accent4 42" xfId="1312"/>
    <cellStyle name="Accent4 42 2" xfId="4873"/>
    <cellStyle name="Accent4 43" xfId="1313"/>
    <cellStyle name="Accent4 43 2" xfId="4874"/>
    <cellStyle name="Accent4 44" xfId="1314"/>
    <cellStyle name="Accent4 44 2" xfId="4875"/>
    <cellStyle name="Accent4 45" xfId="1315"/>
    <cellStyle name="Accent4 45 2" xfId="4876"/>
    <cellStyle name="Accent4 46" xfId="1316"/>
    <cellStyle name="Accent4 46 2" xfId="4877"/>
    <cellStyle name="Accent4 47" xfId="1317"/>
    <cellStyle name="Accent4 47 2" xfId="4878"/>
    <cellStyle name="Accent4 48" xfId="1318"/>
    <cellStyle name="Accent4 48 2" xfId="4879"/>
    <cellStyle name="Accent4 49" xfId="1319"/>
    <cellStyle name="Accent4 49 2" xfId="4880"/>
    <cellStyle name="Accent4 5" xfId="1320"/>
    <cellStyle name="Accent4 5 2" xfId="4881"/>
    <cellStyle name="Accent4 50" xfId="1321"/>
    <cellStyle name="Accent4 50 2" xfId="4882"/>
    <cellStyle name="Accent4 51" xfId="1322"/>
    <cellStyle name="Accent4 51 2" xfId="4883"/>
    <cellStyle name="Accent4 52" xfId="1323"/>
    <cellStyle name="Accent4 52 2" xfId="4884"/>
    <cellStyle name="Accent4 53" xfId="1324"/>
    <cellStyle name="Accent4 53 2" xfId="4885"/>
    <cellStyle name="Accent4 54" xfId="1325"/>
    <cellStyle name="Accent4 54 2" xfId="4886"/>
    <cellStyle name="Accent4 55" xfId="1326"/>
    <cellStyle name="Accent4 55 2" xfId="4887"/>
    <cellStyle name="Accent4 56" xfId="1327"/>
    <cellStyle name="Accent4 56 2" xfId="4888"/>
    <cellStyle name="Accent4 57" xfId="1328"/>
    <cellStyle name="Accent4 57 2" xfId="4889"/>
    <cellStyle name="Accent4 58" xfId="1329"/>
    <cellStyle name="Accent4 58 2" xfId="4890"/>
    <cellStyle name="Accent4 59" xfId="1330"/>
    <cellStyle name="Accent4 59 2" xfId="4891"/>
    <cellStyle name="Accent4 6" xfId="1331"/>
    <cellStyle name="Accent4 6 2" xfId="4892"/>
    <cellStyle name="Accent4 60" xfId="4893"/>
    <cellStyle name="Accent4 7" xfId="1332"/>
    <cellStyle name="Accent4 7 2" xfId="4894"/>
    <cellStyle name="Accent4 8" xfId="1333"/>
    <cellStyle name="Accent4 8 2" xfId="4895"/>
    <cellStyle name="Accent4 9" xfId="1334"/>
    <cellStyle name="Accent4 9 2" xfId="4896"/>
    <cellStyle name="Accent5 10" xfId="1335"/>
    <cellStyle name="Accent5 10 2" xfId="4897"/>
    <cellStyle name="Accent5 11" xfId="1336"/>
    <cellStyle name="Accent5 11 2" xfId="4898"/>
    <cellStyle name="Accent5 12" xfId="1337"/>
    <cellStyle name="Accent5 12 2" xfId="4899"/>
    <cellStyle name="Accent5 13" xfId="1338"/>
    <cellStyle name="Accent5 13 2" xfId="4900"/>
    <cellStyle name="Accent5 14" xfId="1339"/>
    <cellStyle name="Accent5 14 2" xfId="4901"/>
    <cellStyle name="Accent5 15" xfId="1340"/>
    <cellStyle name="Accent5 15 2" xfId="4902"/>
    <cellStyle name="Accent5 16" xfId="1341"/>
    <cellStyle name="Accent5 16 2" xfId="4903"/>
    <cellStyle name="Accent5 17" xfId="1342"/>
    <cellStyle name="Accent5 17 2" xfId="4904"/>
    <cellStyle name="Accent5 18" xfId="1343"/>
    <cellStyle name="Accent5 18 2" xfId="4905"/>
    <cellStyle name="Accent5 19" xfId="1344"/>
    <cellStyle name="Accent5 19 2" xfId="4906"/>
    <cellStyle name="Accent5 2" xfId="1345"/>
    <cellStyle name="Accent5 2 2" xfId="1346"/>
    <cellStyle name="Accent5 2 2 2" xfId="4907"/>
    <cellStyle name="Accent5 2 3" xfId="4908"/>
    <cellStyle name="Accent5 20" xfId="1347"/>
    <cellStyle name="Accent5 20 2" xfId="4909"/>
    <cellStyle name="Accent5 21" xfId="1348"/>
    <cellStyle name="Accent5 21 2" xfId="4910"/>
    <cellStyle name="Accent5 22" xfId="1349"/>
    <cellStyle name="Accent5 22 2" xfId="4911"/>
    <cellStyle name="Accent5 23" xfId="1350"/>
    <cellStyle name="Accent5 23 2" xfId="4912"/>
    <cellStyle name="Accent5 24" xfId="1351"/>
    <cellStyle name="Accent5 24 2" xfId="4913"/>
    <cellStyle name="Accent5 25" xfId="1352"/>
    <cellStyle name="Accent5 25 2" xfId="4914"/>
    <cellStyle name="Accent5 26" xfId="1353"/>
    <cellStyle name="Accent5 26 2" xfId="4915"/>
    <cellStyle name="Accent5 27" xfId="1354"/>
    <cellStyle name="Accent5 27 2" xfId="4916"/>
    <cellStyle name="Accent5 28" xfId="1355"/>
    <cellStyle name="Accent5 28 2" xfId="4917"/>
    <cellStyle name="Accent5 29" xfId="1356"/>
    <cellStyle name="Accent5 29 2" xfId="4918"/>
    <cellStyle name="Accent5 3" xfId="1357"/>
    <cellStyle name="Accent5 3 2" xfId="4919"/>
    <cellStyle name="Accent5 30" xfId="1358"/>
    <cellStyle name="Accent5 30 2" xfId="4920"/>
    <cellStyle name="Accent5 31" xfId="1359"/>
    <cellStyle name="Accent5 31 2" xfId="4921"/>
    <cellStyle name="Accent5 32" xfId="1360"/>
    <cellStyle name="Accent5 32 2" xfId="4922"/>
    <cellStyle name="Accent5 33" xfId="1361"/>
    <cellStyle name="Accent5 33 2" xfId="4923"/>
    <cellStyle name="Accent5 34" xfId="1362"/>
    <cellStyle name="Accent5 34 2" xfId="4924"/>
    <cellStyle name="Accent5 35" xfId="1363"/>
    <cellStyle name="Accent5 35 2" xfId="4925"/>
    <cellStyle name="Accent5 36" xfId="1364"/>
    <cellStyle name="Accent5 36 2" xfId="4926"/>
    <cellStyle name="Accent5 37" xfId="1365"/>
    <cellStyle name="Accent5 37 2" xfId="4927"/>
    <cellStyle name="Accent5 38" xfId="1366"/>
    <cellStyle name="Accent5 38 2" xfId="4928"/>
    <cellStyle name="Accent5 39" xfId="1367"/>
    <cellStyle name="Accent5 39 2" xfId="4929"/>
    <cellStyle name="Accent5 4" xfId="1368"/>
    <cellStyle name="Accent5 4 2" xfId="4930"/>
    <cellStyle name="Accent5 40" xfId="1369"/>
    <cellStyle name="Accent5 40 2" xfId="4931"/>
    <cellStyle name="Accent5 41" xfId="1370"/>
    <cellStyle name="Accent5 41 2" xfId="4932"/>
    <cellStyle name="Accent5 42" xfId="1371"/>
    <cellStyle name="Accent5 42 2" xfId="4933"/>
    <cellStyle name="Accent5 43" xfId="1372"/>
    <cellStyle name="Accent5 43 2" xfId="4934"/>
    <cellStyle name="Accent5 44" xfId="1373"/>
    <cellStyle name="Accent5 44 2" xfId="4935"/>
    <cellStyle name="Accent5 45" xfId="1374"/>
    <cellStyle name="Accent5 45 2" xfId="4936"/>
    <cellStyle name="Accent5 46" xfId="1375"/>
    <cellStyle name="Accent5 46 2" xfId="4937"/>
    <cellStyle name="Accent5 47" xfId="1376"/>
    <cellStyle name="Accent5 47 2" xfId="4938"/>
    <cellStyle name="Accent5 48" xfId="1377"/>
    <cellStyle name="Accent5 48 2" xfId="4939"/>
    <cellStyle name="Accent5 49" xfId="1378"/>
    <cellStyle name="Accent5 49 2" xfId="4940"/>
    <cellStyle name="Accent5 5" xfId="1379"/>
    <cellStyle name="Accent5 5 2" xfId="4941"/>
    <cellStyle name="Accent5 50" xfId="1380"/>
    <cellStyle name="Accent5 50 2" xfId="4942"/>
    <cellStyle name="Accent5 51" xfId="1381"/>
    <cellStyle name="Accent5 51 2" xfId="4943"/>
    <cellStyle name="Accent5 52" xfId="1382"/>
    <cellStyle name="Accent5 52 2" xfId="4944"/>
    <cellStyle name="Accent5 53" xfId="1383"/>
    <cellStyle name="Accent5 53 2" xfId="4945"/>
    <cellStyle name="Accent5 54" xfId="1384"/>
    <cellStyle name="Accent5 54 2" xfId="4946"/>
    <cellStyle name="Accent5 55" xfId="1385"/>
    <cellStyle name="Accent5 55 2" xfId="4947"/>
    <cellStyle name="Accent5 56" xfId="1386"/>
    <cellStyle name="Accent5 56 2" xfId="4948"/>
    <cellStyle name="Accent5 57" xfId="1387"/>
    <cellStyle name="Accent5 57 2" xfId="4949"/>
    <cellStyle name="Accent5 58" xfId="1388"/>
    <cellStyle name="Accent5 58 2" xfId="4950"/>
    <cellStyle name="Accent5 59" xfId="1389"/>
    <cellStyle name="Accent5 59 2" xfId="4951"/>
    <cellStyle name="Accent5 6" xfId="1390"/>
    <cellStyle name="Accent5 6 2" xfId="4952"/>
    <cellStyle name="Accent5 60" xfId="4953"/>
    <cellStyle name="Accent5 7" xfId="1391"/>
    <cellStyle name="Accent5 7 2" xfId="4954"/>
    <cellStyle name="Accent5 8" xfId="1392"/>
    <cellStyle name="Accent5 8 2" xfId="4955"/>
    <cellStyle name="Accent5 9" xfId="1393"/>
    <cellStyle name="Accent5 9 2" xfId="4956"/>
    <cellStyle name="Accent6 10" xfId="1394"/>
    <cellStyle name="Accent6 10 2" xfId="4957"/>
    <cellStyle name="Accent6 11" xfId="1395"/>
    <cellStyle name="Accent6 11 2" xfId="4958"/>
    <cellStyle name="Accent6 12" xfId="1396"/>
    <cellStyle name="Accent6 12 2" xfId="4959"/>
    <cellStyle name="Accent6 13" xfId="1397"/>
    <cellStyle name="Accent6 13 2" xfId="4960"/>
    <cellStyle name="Accent6 14" xfId="1398"/>
    <cellStyle name="Accent6 14 2" xfId="4961"/>
    <cellStyle name="Accent6 15" xfId="1399"/>
    <cellStyle name="Accent6 15 2" xfId="4962"/>
    <cellStyle name="Accent6 16" xfId="1400"/>
    <cellStyle name="Accent6 16 2" xfId="4963"/>
    <cellStyle name="Accent6 17" xfId="1401"/>
    <cellStyle name="Accent6 17 2" xfId="4964"/>
    <cellStyle name="Accent6 18" xfId="1402"/>
    <cellStyle name="Accent6 18 2" xfId="4965"/>
    <cellStyle name="Accent6 19" xfId="1403"/>
    <cellStyle name="Accent6 19 2" xfId="4966"/>
    <cellStyle name="Accent6 2" xfId="1404"/>
    <cellStyle name="Accent6 2 2" xfId="1405"/>
    <cellStyle name="Accent6 2 2 2" xfId="4967"/>
    <cellStyle name="Accent6 2 3" xfId="4968"/>
    <cellStyle name="Accent6 20" xfId="1406"/>
    <cellStyle name="Accent6 20 2" xfId="4969"/>
    <cellStyle name="Accent6 21" xfId="1407"/>
    <cellStyle name="Accent6 21 2" xfId="4970"/>
    <cellStyle name="Accent6 22" xfId="1408"/>
    <cellStyle name="Accent6 22 2" xfId="4971"/>
    <cellStyle name="Accent6 23" xfId="1409"/>
    <cellStyle name="Accent6 23 2" xfId="4972"/>
    <cellStyle name="Accent6 24" xfId="1410"/>
    <cellStyle name="Accent6 24 2" xfId="4973"/>
    <cellStyle name="Accent6 25" xfId="1411"/>
    <cellStyle name="Accent6 25 2" xfId="4974"/>
    <cellStyle name="Accent6 26" xfId="1412"/>
    <cellStyle name="Accent6 26 2" xfId="4975"/>
    <cellStyle name="Accent6 27" xfId="1413"/>
    <cellStyle name="Accent6 27 2" xfId="4976"/>
    <cellStyle name="Accent6 28" xfId="1414"/>
    <cellStyle name="Accent6 28 2" xfId="4977"/>
    <cellStyle name="Accent6 29" xfId="1415"/>
    <cellStyle name="Accent6 29 2" xfId="4978"/>
    <cellStyle name="Accent6 3" xfId="1416"/>
    <cellStyle name="Accent6 3 2" xfId="4979"/>
    <cellStyle name="Accent6 30" xfId="1417"/>
    <cellStyle name="Accent6 30 2" xfId="4980"/>
    <cellStyle name="Accent6 31" xfId="1418"/>
    <cellStyle name="Accent6 31 2" xfId="4981"/>
    <cellStyle name="Accent6 32" xfId="1419"/>
    <cellStyle name="Accent6 32 2" xfId="4982"/>
    <cellStyle name="Accent6 33" xfId="1420"/>
    <cellStyle name="Accent6 33 2" xfId="4983"/>
    <cellStyle name="Accent6 34" xfId="1421"/>
    <cellStyle name="Accent6 34 2" xfId="4984"/>
    <cellStyle name="Accent6 35" xfId="1422"/>
    <cellStyle name="Accent6 35 2" xfId="4985"/>
    <cellStyle name="Accent6 36" xfId="1423"/>
    <cellStyle name="Accent6 36 2" xfId="4986"/>
    <cellStyle name="Accent6 37" xfId="1424"/>
    <cellStyle name="Accent6 37 2" xfId="4987"/>
    <cellStyle name="Accent6 38" xfId="1425"/>
    <cellStyle name="Accent6 38 2" xfId="4988"/>
    <cellStyle name="Accent6 39" xfId="1426"/>
    <cellStyle name="Accent6 39 2" xfId="4989"/>
    <cellStyle name="Accent6 4" xfId="1427"/>
    <cellStyle name="Accent6 4 2" xfId="4990"/>
    <cellStyle name="Accent6 40" xfId="1428"/>
    <cellStyle name="Accent6 40 2" xfId="4991"/>
    <cellStyle name="Accent6 41" xfId="1429"/>
    <cellStyle name="Accent6 41 2" xfId="4992"/>
    <cellStyle name="Accent6 42" xfId="1430"/>
    <cellStyle name="Accent6 42 2" xfId="4993"/>
    <cellStyle name="Accent6 43" xfId="1431"/>
    <cellStyle name="Accent6 43 2" xfId="4994"/>
    <cellStyle name="Accent6 44" xfId="1432"/>
    <cellStyle name="Accent6 44 2" xfId="4995"/>
    <cellStyle name="Accent6 45" xfId="1433"/>
    <cellStyle name="Accent6 45 2" xfId="4996"/>
    <cellStyle name="Accent6 46" xfId="1434"/>
    <cellStyle name="Accent6 46 2" xfId="4997"/>
    <cellStyle name="Accent6 47" xfId="1435"/>
    <cellStyle name="Accent6 47 2" xfId="4998"/>
    <cellStyle name="Accent6 48" xfId="1436"/>
    <cellStyle name="Accent6 48 2" xfId="4999"/>
    <cellStyle name="Accent6 49" xfId="1437"/>
    <cellStyle name="Accent6 49 2" xfId="5000"/>
    <cellStyle name="Accent6 5" xfId="1438"/>
    <cellStyle name="Accent6 5 2" xfId="5001"/>
    <cellStyle name="Accent6 50" xfId="1439"/>
    <cellStyle name="Accent6 50 2" xfId="5002"/>
    <cellStyle name="Accent6 51" xfId="1440"/>
    <cellStyle name="Accent6 51 2" xfId="5003"/>
    <cellStyle name="Accent6 52" xfId="1441"/>
    <cellStyle name="Accent6 52 2" xfId="5004"/>
    <cellStyle name="Accent6 53" xfId="1442"/>
    <cellStyle name="Accent6 53 2" xfId="5005"/>
    <cellStyle name="Accent6 54" xfId="1443"/>
    <cellStyle name="Accent6 54 2" xfId="5006"/>
    <cellStyle name="Accent6 55" xfId="1444"/>
    <cellStyle name="Accent6 55 2" xfId="5007"/>
    <cellStyle name="Accent6 56" xfId="1445"/>
    <cellStyle name="Accent6 56 2" xfId="5008"/>
    <cellStyle name="Accent6 57" xfId="1446"/>
    <cellStyle name="Accent6 57 2" xfId="5009"/>
    <cellStyle name="Accent6 58" xfId="1447"/>
    <cellStyle name="Accent6 58 2" xfId="5010"/>
    <cellStyle name="Accent6 59" xfId="1448"/>
    <cellStyle name="Accent6 59 2" xfId="5011"/>
    <cellStyle name="Accent6 6" xfId="1449"/>
    <cellStyle name="Accent6 6 2" xfId="5012"/>
    <cellStyle name="Accent6 60" xfId="5013"/>
    <cellStyle name="Accent6 7" xfId="1450"/>
    <cellStyle name="Accent6 7 2" xfId="5014"/>
    <cellStyle name="Accent6 8" xfId="1451"/>
    <cellStyle name="Accent6 8 2" xfId="5015"/>
    <cellStyle name="Accent6 9" xfId="1452"/>
    <cellStyle name="Accent6 9 2" xfId="5016"/>
    <cellStyle name="ÅëÈ­ [0]_¿ì¹°Åë" xfId="16725"/>
    <cellStyle name="AeE­ [0]_INQUIRY ¿µ¾÷AßAø " xfId="16726"/>
    <cellStyle name="ÅëÈ­_¿ì¹°Åë" xfId="16727"/>
    <cellStyle name="AeE­_INQUIRY ¿µ¾÷AßAø " xfId="16728"/>
    <cellStyle name="args.style" xfId="16729"/>
    <cellStyle name="ÄÞ¸¶ [0]_¿ì¹°Åë" xfId="16730"/>
    <cellStyle name="AÞ¸¶ [0]_INQUIRY ¿?¾÷AßAø " xfId="16731"/>
    <cellStyle name="ÄÞ¸¶_¿ì¹°Åë" xfId="16732"/>
    <cellStyle name="AÞ¸¶_INQUIRY ¿?¾÷AßAø " xfId="16733"/>
    <cellStyle name="ÄÞ¸¶_L601CPT" xfId="16734"/>
    <cellStyle name="AutoFormat Options" xfId="16735"/>
    <cellStyle name="Bad 10" xfId="1453"/>
    <cellStyle name="Bad 10 2" xfId="5017"/>
    <cellStyle name="Bad 11" xfId="1454"/>
    <cellStyle name="Bad 11 2" xfId="5018"/>
    <cellStyle name="Bad 12" xfId="1455"/>
    <cellStyle name="Bad 12 2" xfId="5019"/>
    <cellStyle name="Bad 13" xfId="1456"/>
    <cellStyle name="Bad 13 2" xfId="5020"/>
    <cellStyle name="Bad 14" xfId="1457"/>
    <cellStyle name="Bad 14 2" xfId="5021"/>
    <cellStyle name="Bad 15" xfId="1458"/>
    <cellStyle name="Bad 15 2" xfId="5022"/>
    <cellStyle name="Bad 16" xfId="1459"/>
    <cellStyle name="Bad 16 2" xfId="5023"/>
    <cellStyle name="Bad 17" xfId="1460"/>
    <cellStyle name="Bad 17 2" xfId="5024"/>
    <cellStyle name="Bad 18" xfId="1461"/>
    <cellStyle name="Bad 18 2" xfId="5025"/>
    <cellStyle name="Bad 19" xfId="1462"/>
    <cellStyle name="Bad 19 2" xfId="5026"/>
    <cellStyle name="Bad 2" xfId="1463"/>
    <cellStyle name="Bad 2 2" xfId="1464"/>
    <cellStyle name="Bad 2 2 2" xfId="5027"/>
    <cellStyle name="Bad 2 3" xfId="5028"/>
    <cellStyle name="Bad 20" xfId="1465"/>
    <cellStyle name="Bad 20 2" xfId="5029"/>
    <cellStyle name="Bad 21" xfId="1466"/>
    <cellStyle name="Bad 21 2" xfId="5030"/>
    <cellStyle name="Bad 22" xfId="1467"/>
    <cellStyle name="Bad 22 2" xfId="5031"/>
    <cellStyle name="Bad 23" xfId="1468"/>
    <cellStyle name="Bad 23 2" xfId="5032"/>
    <cellStyle name="Bad 24" xfId="1469"/>
    <cellStyle name="Bad 24 2" xfId="5033"/>
    <cellStyle name="Bad 25" xfId="1470"/>
    <cellStyle name="Bad 25 2" xfId="5034"/>
    <cellStyle name="Bad 26" xfId="1471"/>
    <cellStyle name="Bad 26 2" xfId="5035"/>
    <cellStyle name="Bad 27" xfId="1472"/>
    <cellStyle name="Bad 27 2" xfId="5036"/>
    <cellStyle name="Bad 28" xfId="1473"/>
    <cellStyle name="Bad 28 2" xfId="5037"/>
    <cellStyle name="Bad 29" xfId="1474"/>
    <cellStyle name="Bad 29 2" xfId="5038"/>
    <cellStyle name="Bad 3" xfId="1475"/>
    <cellStyle name="Bad 3 2" xfId="5039"/>
    <cellStyle name="Bad 30" xfId="1476"/>
    <cellStyle name="Bad 30 2" xfId="5040"/>
    <cellStyle name="Bad 31" xfId="1477"/>
    <cellStyle name="Bad 31 2" xfId="5041"/>
    <cellStyle name="Bad 32" xfId="1478"/>
    <cellStyle name="Bad 32 2" xfId="5042"/>
    <cellStyle name="Bad 33" xfId="1479"/>
    <cellStyle name="Bad 33 2" xfId="5043"/>
    <cellStyle name="Bad 34" xfId="1480"/>
    <cellStyle name="Bad 34 2" xfId="5044"/>
    <cellStyle name="Bad 35" xfId="1481"/>
    <cellStyle name="Bad 35 2" xfId="5045"/>
    <cellStyle name="Bad 36" xfId="1482"/>
    <cellStyle name="Bad 36 2" xfId="5046"/>
    <cellStyle name="Bad 37" xfId="1483"/>
    <cellStyle name="Bad 37 2" xfId="5047"/>
    <cellStyle name="Bad 38" xfId="1484"/>
    <cellStyle name="Bad 38 2" xfId="5048"/>
    <cellStyle name="Bad 39" xfId="1485"/>
    <cellStyle name="Bad 39 2" xfId="5049"/>
    <cellStyle name="Bad 4" xfId="1486"/>
    <cellStyle name="Bad 4 2" xfId="5050"/>
    <cellStyle name="Bad 40" xfId="1487"/>
    <cellStyle name="Bad 40 2" xfId="5051"/>
    <cellStyle name="Bad 41" xfId="1488"/>
    <cellStyle name="Bad 41 2" xfId="5052"/>
    <cellStyle name="Bad 42" xfId="1489"/>
    <cellStyle name="Bad 42 2" xfId="5053"/>
    <cellStyle name="Bad 43" xfId="1490"/>
    <cellStyle name="Bad 43 2" xfId="5054"/>
    <cellStyle name="Bad 44" xfId="1491"/>
    <cellStyle name="Bad 44 2" xfId="5055"/>
    <cellStyle name="Bad 45" xfId="1492"/>
    <cellStyle name="Bad 45 2" xfId="5056"/>
    <cellStyle name="Bad 46" xfId="1493"/>
    <cellStyle name="Bad 46 2" xfId="5057"/>
    <cellStyle name="Bad 47" xfId="1494"/>
    <cellStyle name="Bad 47 2" xfId="5058"/>
    <cellStyle name="Bad 48" xfId="1495"/>
    <cellStyle name="Bad 48 2" xfId="5059"/>
    <cellStyle name="Bad 49" xfId="1496"/>
    <cellStyle name="Bad 49 2" xfId="5060"/>
    <cellStyle name="Bad 5" xfId="1497"/>
    <cellStyle name="Bad 5 2" xfId="5061"/>
    <cellStyle name="Bad 50" xfId="1498"/>
    <cellStyle name="Bad 50 2" xfId="5062"/>
    <cellStyle name="Bad 51" xfId="1499"/>
    <cellStyle name="Bad 51 2" xfId="5063"/>
    <cellStyle name="Bad 52" xfId="1500"/>
    <cellStyle name="Bad 52 2" xfId="5064"/>
    <cellStyle name="Bad 53" xfId="1501"/>
    <cellStyle name="Bad 53 2" xfId="5065"/>
    <cellStyle name="Bad 54" xfId="1502"/>
    <cellStyle name="Bad 54 2" xfId="5066"/>
    <cellStyle name="Bad 55" xfId="1503"/>
    <cellStyle name="Bad 55 2" xfId="5067"/>
    <cellStyle name="Bad 56" xfId="1504"/>
    <cellStyle name="Bad 56 2" xfId="5068"/>
    <cellStyle name="Bad 57" xfId="1505"/>
    <cellStyle name="Bad 57 2" xfId="5069"/>
    <cellStyle name="Bad 58" xfId="1506"/>
    <cellStyle name="Bad 58 2" xfId="5070"/>
    <cellStyle name="Bad 59" xfId="1507"/>
    <cellStyle name="Bad 59 2" xfId="5071"/>
    <cellStyle name="Bad 6" xfId="1508"/>
    <cellStyle name="Bad 6 2" xfId="5072"/>
    <cellStyle name="Bad 60" xfId="5073"/>
    <cellStyle name="Bad 7" xfId="1509"/>
    <cellStyle name="Bad 7 2" xfId="5074"/>
    <cellStyle name="Bad 8" xfId="1510"/>
    <cellStyle name="Bad 8 2" xfId="5075"/>
    <cellStyle name="Bad 9" xfId="1511"/>
    <cellStyle name="Bad 9 2" xfId="5076"/>
    <cellStyle name="C?AØ_¿?¾÷CoE² " xfId="16736"/>
    <cellStyle name="Ç¥ÁØ_#2(M17)_1" xfId="16737"/>
    <cellStyle name="C￥AØ_¿μ¾÷CoE² " xfId="16738"/>
    <cellStyle name="Calc Currency (0)" xfId="16739"/>
    <cellStyle name="Calc Currency (2)" xfId="16740"/>
    <cellStyle name="Calc Percent (0)" xfId="16741"/>
    <cellStyle name="Calc Percent (1)" xfId="16742"/>
    <cellStyle name="Calc Percent (2)" xfId="16743"/>
    <cellStyle name="Calc Units (0)" xfId="16744"/>
    <cellStyle name="Calc Units (1)" xfId="16745"/>
    <cellStyle name="Calc Units (2)" xfId="16746"/>
    <cellStyle name="Calculation 10" xfId="1512"/>
    <cellStyle name="Calculation 10 10" xfId="5077"/>
    <cellStyle name="Calculation 10 11" xfId="5078"/>
    <cellStyle name="Calculation 10 12" xfId="5079"/>
    <cellStyle name="Calculation 10 13" xfId="5080"/>
    <cellStyle name="Calculation 10 14" xfId="5081"/>
    <cellStyle name="Calculation 10 15" xfId="5082"/>
    <cellStyle name="Calculation 10 16" xfId="5083"/>
    <cellStyle name="Calculation 10 17" xfId="5084"/>
    <cellStyle name="Calculation 10 18" xfId="5085"/>
    <cellStyle name="Calculation 10 19" xfId="5086"/>
    <cellStyle name="Calculation 10 2" xfId="5087"/>
    <cellStyle name="Calculation 10 20" xfId="5088"/>
    <cellStyle name="Calculation 10 21" xfId="5089"/>
    <cellStyle name="Calculation 10 3" xfId="5090"/>
    <cellStyle name="Calculation 10 4" xfId="5091"/>
    <cellStyle name="Calculation 10 5" xfId="5092"/>
    <cellStyle name="Calculation 10 6" xfId="5093"/>
    <cellStyle name="Calculation 10 7" xfId="5094"/>
    <cellStyle name="Calculation 10 8" xfId="5095"/>
    <cellStyle name="Calculation 10 9" xfId="5096"/>
    <cellStyle name="Calculation 11" xfId="1513"/>
    <cellStyle name="Calculation 11 10" xfId="5097"/>
    <cellStyle name="Calculation 11 11" xfId="5098"/>
    <cellStyle name="Calculation 11 12" xfId="5099"/>
    <cellStyle name="Calculation 11 13" xfId="5100"/>
    <cellStyle name="Calculation 11 14" xfId="5101"/>
    <cellStyle name="Calculation 11 15" xfId="5102"/>
    <cellStyle name="Calculation 11 16" xfId="5103"/>
    <cellStyle name="Calculation 11 17" xfId="5104"/>
    <cellStyle name="Calculation 11 18" xfId="5105"/>
    <cellStyle name="Calculation 11 19" xfId="5106"/>
    <cellStyle name="Calculation 11 2" xfId="5107"/>
    <cellStyle name="Calculation 11 20" xfId="5108"/>
    <cellStyle name="Calculation 11 21" xfId="5109"/>
    <cellStyle name="Calculation 11 3" xfId="5110"/>
    <cellStyle name="Calculation 11 4" xfId="5111"/>
    <cellStyle name="Calculation 11 5" xfId="5112"/>
    <cellStyle name="Calculation 11 6" xfId="5113"/>
    <cellStyle name="Calculation 11 7" xfId="5114"/>
    <cellStyle name="Calculation 11 8" xfId="5115"/>
    <cellStyle name="Calculation 11 9" xfId="5116"/>
    <cellStyle name="Calculation 12" xfId="1514"/>
    <cellStyle name="Calculation 12 10" xfId="5117"/>
    <cellStyle name="Calculation 12 11" xfId="5118"/>
    <cellStyle name="Calculation 12 12" xfId="5119"/>
    <cellStyle name="Calculation 12 13" xfId="5120"/>
    <cellStyle name="Calculation 12 14" xfId="5121"/>
    <cellStyle name="Calculation 12 15" xfId="5122"/>
    <cellStyle name="Calculation 12 16" xfId="5123"/>
    <cellStyle name="Calculation 12 17" xfId="5124"/>
    <cellStyle name="Calculation 12 18" xfId="5125"/>
    <cellStyle name="Calculation 12 19" xfId="5126"/>
    <cellStyle name="Calculation 12 2" xfId="5127"/>
    <cellStyle name="Calculation 12 20" xfId="5128"/>
    <cellStyle name="Calculation 12 21" xfId="5129"/>
    <cellStyle name="Calculation 12 3" xfId="5130"/>
    <cellStyle name="Calculation 12 4" xfId="5131"/>
    <cellStyle name="Calculation 12 5" xfId="5132"/>
    <cellStyle name="Calculation 12 6" xfId="5133"/>
    <cellStyle name="Calculation 12 7" xfId="5134"/>
    <cellStyle name="Calculation 12 8" xfId="5135"/>
    <cellStyle name="Calculation 12 9" xfId="5136"/>
    <cellStyle name="Calculation 13" xfId="1515"/>
    <cellStyle name="Calculation 13 10" xfId="5137"/>
    <cellStyle name="Calculation 13 11" xfId="5138"/>
    <cellStyle name="Calculation 13 12" xfId="5139"/>
    <cellStyle name="Calculation 13 13" xfId="5140"/>
    <cellStyle name="Calculation 13 14" xfId="5141"/>
    <cellStyle name="Calculation 13 15" xfId="5142"/>
    <cellStyle name="Calculation 13 16" xfId="5143"/>
    <cellStyle name="Calculation 13 17" xfId="5144"/>
    <cellStyle name="Calculation 13 18" xfId="5145"/>
    <cellStyle name="Calculation 13 19" xfId="5146"/>
    <cellStyle name="Calculation 13 2" xfId="5147"/>
    <cellStyle name="Calculation 13 20" xfId="5148"/>
    <cellStyle name="Calculation 13 21" xfId="5149"/>
    <cellStyle name="Calculation 13 3" xfId="5150"/>
    <cellStyle name="Calculation 13 4" xfId="5151"/>
    <cellStyle name="Calculation 13 5" xfId="5152"/>
    <cellStyle name="Calculation 13 6" xfId="5153"/>
    <cellStyle name="Calculation 13 7" xfId="5154"/>
    <cellStyle name="Calculation 13 8" xfId="5155"/>
    <cellStyle name="Calculation 13 9" xfId="5156"/>
    <cellStyle name="Calculation 14" xfId="1516"/>
    <cellStyle name="Calculation 14 10" xfId="5157"/>
    <cellStyle name="Calculation 14 11" xfId="5158"/>
    <cellStyle name="Calculation 14 12" xfId="5159"/>
    <cellStyle name="Calculation 14 13" xfId="5160"/>
    <cellStyle name="Calculation 14 14" xfId="5161"/>
    <cellStyle name="Calculation 14 15" xfId="5162"/>
    <cellStyle name="Calculation 14 16" xfId="5163"/>
    <cellStyle name="Calculation 14 17" xfId="5164"/>
    <cellStyle name="Calculation 14 18" xfId="5165"/>
    <cellStyle name="Calculation 14 19" xfId="5166"/>
    <cellStyle name="Calculation 14 2" xfId="5167"/>
    <cellStyle name="Calculation 14 20" xfId="5168"/>
    <cellStyle name="Calculation 14 21" xfId="5169"/>
    <cellStyle name="Calculation 14 3" xfId="5170"/>
    <cellStyle name="Calculation 14 4" xfId="5171"/>
    <cellStyle name="Calculation 14 5" xfId="5172"/>
    <cellStyle name="Calculation 14 6" xfId="5173"/>
    <cellStyle name="Calculation 14 7" xfId="5174"/>
    <cellStyle name="Calculation 14 8" xfId="5175"/>
    <cellStyle name="Calculation 14 9" xfId="5176"/>
    <cellStyle name="Calculation 15" xfId="1517"/>
    <cellStyle name="Calculation 15 10" xfId="5177"/>
    <cellStyle name="Calculation 15 11" xfId="5178"/>
    <cellStyle name="Calculation 15 12" xfId="5179"/>
    <cellStyle name="Calculation 15 13" xfId="5180"/>
    <cellStyle name="Calculation 15 14" xfId="5181"/>
    <cellStyle name="Calculation 15 15" xfId="5182"/>
    <cellStyle name="Calculation 15 16" xfId="5183"/>
    <cellStyle name="Calculation 15 17" xfId="5184"/>
    <cellStyle name="Calculation 15 18" xfId="5185"/>
    <cellStyle name="Calculation 15 19" xfId="5186"/>
    <cellStyle name="Calculation 15 2" xfId="5187"/>
    <cellStyle name="Calculation 15 20" xfId="5188"/>
    <cellStyle name="Calculation 15 21" xfId="5189"/>
    <cellStyle name="Calculation 15 3" xfId="5190"/>
    <cellStyle name="Calculation 15 4" xfId="5191"/>
    <cellStyle name="Calculation 15 5" xfId="5192"/>
    <cellStyle name="Calculation 15 6" xfId="5193"/>
    <cellStyle name="Calculation 15 7" xfId="5194"/>
    <cellStyle name="Calculation 15 8" xfId="5195"/>
    <cellStyle name="Calculation 15 9" xfId="5196"/>
    <cellStyle name="Calculation 16" xfId="1518"/>
    <cellStyle name="Calculation 16 10" xfId="5197"/>
    <cellStyle name="Calculation 16 11" xfId="5198"/>
    <cellStyle name="Calculation 16 12" xfId="5199"/>
    <cellStyle name="Calculation 16 13" xfId="5200"/>
    <cellStyle name="Calculation 16 14" xfId="5201"/>
    <cellStyle name="Calculation 16 15" xfId="5202"/>
    <cellStyle name="Calculation 16 16" xfId="5203"/>
    <cellStyle name="Calculation 16 17" xfId="5204"/>
    <cellStyle name="Calculation 16 18" xfId="5205"/>
    <cellStyle name="Calculation 16 19" xfId="5206"/>
    <cellStyle name="Calculation 16 2" xfId="5207"/>
    <cellStyle name="Calculation 16 20" xfId="5208"/>
    <cellStyle name="Calculation 16 21" xfId="5209"/>
    <cellStyle name="Calculation 16 3" xfId="5210"/>
    <cellStyle name="Calculation 16 4" xfId="5211"/>
    <cellStyle name="Calculation 16 5" xfId="5212"/>
    <cellStyle name="Calculation 16 6" xfId="5213"/>
    <cellStyle name="Calculation 16 7" xfId="5214"/>
    <cellStyle name="Calculation 16 8" xfId="5215"/>
    <cellStyle name="Calculation 16 9" xfId="5216"/>
    <cellStyle name="Calculation 17" xfId="1519"/>
    <cellStyle name="Calculation 17 10" xfId="5217"/>
    <cellStyle name="Calculation 17 11" xfId="5218"/>
    <cellStyle name="Calculation 17 12" xfId="5219"/>
    <cellStyle name="Calculation 17 13" xfId="5220"/>
    <cellStyle name="Calculation 17 14" xfId="5221"/>
    <cellStyle name="Calculation 17 15" xfId="5222"/>
    <cellStyle name="Calculation 17 16" xfId="5223"/>
    <cellStyle name="Calculation 17 17" xfId="5224"/>
    <cellStyle name="Calculation 17 18" xfId="5225"/>
    <cellStyle name="Calculation 17 19" xfId="5226"/>
    <cellStyle name="Calculation 17 2" xfId="5227"/>
    <cellStyle name="Calculation 17 20" xfId="5228"/>
    <cellStyle name="Calculation 17 21" xfId="5229"/>
    <cellStyle name="Calculation 17 3" xfId="5230"/>
    <cellStyle name="Calculation 17 4" xfId="5231"/>
    <cellStyle name="Calculation 17 5" xfId="5232"/>
    <cellStyle name="Calculation 17 6" xfId="5233"/>
    <cellStyle name="Calculation 17 7" xfId="5234"/>
    <cellStyle name="Calculation 17 8" xfId="5235"/>
    <cellStyle name="Calculation 17 9" xfId="5236"/>
    <cellStyle name="Calculation 18" xfId="1520"/>
    <cellStyle name="Calculation 18 10" xfId="5237"/>
    <cellStyle name="Calculation 18 11" xfId="5238"/>
    <cellStyle name="Calculation 18 12" xfId="5239"/>
    <cellStyle name="Calculation 18 13" xfId="5240"/>
    <cellStyle name="Calculation 18 14" xfId="5241"/>
    <cellStyle name="Calculation 18 15" xfId="5242"/>
    <cellStyle name="Calculation 18 16" xfId="5243"/>
    <cellStyle name="Calculation 18 17" xfId="5244"/>
    <cellStyle name="Calculation 18 18" xfId="5245"/>
    <cellStyle name="Calculation 18 19" xfId="5246"/>
    <cellStyle name="Calculation 18 2" xfId="5247"/>
    <cellStyle name="Calculation 18 20" xfId="5248"/>
    <cellStyle name="Calculation 18 21" xfId="5249"/>
    <cellStyle name="Calculation 18 3" xfId="5250"/>
    <cellStyle name="Calculation 18 4" xfId="5251"/>
    <cellStyle name="Calculation 18 5" xfId="5252"/>
    <cellStyle name="Calculation 18 6" xfId="5253"/>
    <cellStyle name="Calculation 18 7" xfId="5254"/>
    <cellStyle name="Calculation 18 8" xfId="5255"/>
    <cellStyle name="Calculation 18 9" xfId="5256"/>
    <cellStyle name="Calculation 19" xfId="1521"/>
    <cellStyle name="Calculation 19 10" xfId="5257"/>
    <cellStyle name="Calculation 19 11" xfId="5258"/>
    <cellStyle name="Calculation 19 12" xfId="5259"/>
    <cellStyle name="Calculation 19 13" xfId="5260"/>
    <cellStyle name="Calculation 19 14" xfId="5261"/>
    <cellStyle name="Calculation 19 15" xfId="5262"/>
    <cellStyle name="Calculation 19 16" xfId="5263"/>
    <cellStyle name="Calculation 19 17" xfId="5264"/>
    <cellStyle name="Calculation 19 18" xfId="5265"/>
    <cellStyle name="Calculation 19 19" xfId="5266"/>
    <cellStyle name="Calculation 19 2" xfId="5267"/>
    <cellStyle name="Calculation 19 20" xfId="5268"/>
    <cellStyle name="Calculation 19 21" xfId="5269"/>
    <cellStyle name="Calculation 19 3" xfId="5270"/>
    <cellStyle name="Calculation 19 4" xfId="5271"/>
    <cellStyle name="Calculation 19 5" xfId="5272"/>
    <cellStyle name="Calculation 19 6" xfId="5273"/>
    <cellStyle name="Calculation 19 7" xfId="5274"/>
    <cellStyle name="Calculation 19 8" xfId="5275"/>
    <cellStyle name="Calculation 19 9" xfId="5276"/>
    <cellStyle name="Calculation 2" xfId="1522"/>
    <cellStyle name="Calculation 2 10" xfId="5277"/>
    <cellStyle name="Calculation 2 11" xfId="5278"/>
    <cellStyle name="Calculation 2 12" xfId="5279"/>
    <cellStyle name="Calculation 2 13" xfId="5280"/>
    <cellStyle name="Calculation 2 14" xfId="5281"/>
    <cellStyle name="Calculation 2 15" xfId="5282"/>
    <cellStyle name="Calculation 2 16" xfId="5283"/>
    <cellStyle name="Calculation 2 17" xfId="5284"/>
    <cellStyle name="Calculation 2 18" xfId="5285"/>
    <cellStyle name="Calculation 2 19" xfId="5286"/>
    <cellStyle name="Calculation 2 2" xfId="1523"/>
    <cellStyle name="Calculation 2 2 10" xfId="5287"/>
    <cellStyle name="Calculation 2 2 11" xfId="5288"/>
    <cellStyle name="Calculation 2 2 12" xfId="5289"/>
    <cellStyle name="Calculation 2 2 13" xfId="5290"/>
    <cellStyle name="Calculation 2 2 14" xfId="5291"/>
    <cellStyle name="Calculation 2 2 15" xfId="5292"/>
    <cellStyle name="Calculation 2 2 16" xfId="5293"/>
    <cellStyle name="Calculation 2 2 17" xfId="5294"/>
    <cellStyle name="Calculation 2 2 18" xfId="5295"/>
    <cellStyle name="Calculation 2 2 19" xfId="5296"/>
    <cellStyle name="Calculation 2 2 2" xfId="5297"/>
    <cellStyle name="Calculation 2 2 20" xfId="5298"/>
    <cellStyle name="Calculation 2 2 21" xfId="5299"/>
    <cellStyle name="Calculation 2 2 3" xfId="5300"/>
    <cellStyle name="Calculation 2 2 4" xfId="5301"/>
    <cellStyle name="Calculation 2 2 5" xfId="5302"/>
    <cellStyle name="Calculation 2 2 6" xfId="5303"/>
    <cellStyle name="Calculation 2 2 7" xfId="5304"/>
    <cellStyle name="Calculation 2 2 8" xfId="5305"/>
    <cellStyle name="Calculation 2 2 9" xfId="5306"/>
    <cellStyle name="Calculation 2 20" xfId="5307"/>
    <cellStyle name="Calculation 2 21" xfId="5308"/>
    <cellStyle name="Calculation 2 22" xfId="5309"/>
    <cellStyle name="Calculation 2 3" xfId="5310"/>
    <cellStyle name="Calculation 2 4" xfId="5311"/>
    <cellStyle name="Calculation 2 5" xfId="5312"/>
    <cellStyle name="Calculation 2 6" xfId="5313"/>
    <cellStyle name="Calculation 2 7" xfId="5314"/>
    <cellStyle name="Calculation 2 8" xfId="5315"/>
    <cellStyle name="Calculation 2 9" xfId="5316"/>
    <cellStyle name="Calculation 20" xfId="1524"/>
    <cellStyle name="Calculation 20 10" xfId="5317"/>
    <cellStyle name="Calculation 20 11" xfId="5318"/>
    <cellStyle name="Calculation 20 12" xfId="5319"/>
    <cellStyle name="Calculation 20 13" xfId="5320"/>
    <cellStyle name="Calculation 20 14" xfId="5321"/>
    <cellStyle name="Calculation 20 15" xfId="5322"/>
    <cellStyle name="Calculation 20 16" xfId="5323"/>
    <cellStyle name="Calculation 20 17" xfId="5324"/>
    <cellStyle name="Calculation 20 18" xfId="5325"/>
    <cellStyle name="Calculation 20 19" xfId="5326"/>
    <cellStyle name="Calculation 20 2" xfId="5327"/>
    <cellStyle name="Calculation 20 20" xfId="5328"/>
    <cellStyle name="Calculation 20 21" xfId="5329"/>
    <cellStyle name="Calculation 20 3" xfId="5330"/>
    <cellStyle name="Calculation 20 4" xfId="5331"/>
    <cellStyle name="Calculation 20 5" xfId="5332"/>
    <cellStyle name="Calculation 20 6" xfId="5333"/>
    <cellStyle name="Calculation 20 7" xfId="5334"/>
    <cellStyle name="Calculation 20 8" xfId="5335"/>
    <cellStyle name="Calculation 20 9" xfId="5336"/>
    <cellStyle name="Calculation 21" xfId="1525"/>
    <cellStyle name="Calculation 21 10" xfId="5337"/>
    <cellStyle name="Calculation 21 11" xfId="5338"/>
    <cellStyle name="Calculation 21 12" xfId="5339"/>
    <cellStyle name="Calculation 21 13" xfId="5340"/>
    <cellStyle name="Calculation 21 14" xfId="5341"/>
    <cellStyle name="Calculation 21 15" xfId="5342"/>
    <cellStyle name="Calculation 21 16" xfId="5343"/>
    <cellStyle name="Calculation 21 17" xfId="5344"/>
    <cellStyle name="Calculation 21 18" xfId="5345"/>
    <cellStyle name="Calculation 21 19" xfId="5346"/>
    <cellStyle name="Calculation 21 2" xfId="5347"/>
    <cellStyle name="Calculation 21 20" xfId="5348"/>
    <cellStyle name="Calculation 21 21" xfId="5349"/>
    <cellStyle name="Calculation 21 3" xfId="5350"/>
    <cellStyle name="Calculation 21 4" xfId="5351"/>
    <cellStyle name="Calculation 21 5" xfId="5352"/>
    <cellStyle name="Calculation 21 6" xfId="5353"/>
    <cellStyle name="Calculation 21 7" xfId="5354"/>
    <cellStyle name="Calculation 21 8" xfId="5355"/>
    <cellStyle name="Calculation 21 9" xfId="5356"/>
    <cellStyle name="Calculation 22" xfId="1526"/>
    <cellStyle name="Calculation 22 10" xfId="5357"/>
    <cellStyle name="Calculation 22 11" xfId="5358"/>
    <cellStyle name="Calculation 22 12" xfId="5359"/>
    <cellStyle name="Calculation 22 13" xfId="5360"/>
    <cellStyle name="Calculation 22 14" xfId="5361"/>
    <cellStyle name="Calculation 22 15" xfId="5362"/>
    <cellStyle name="Calculation 22 16" xfId="5363"/>
    <cellStyle name="Calculation 22 17" xfId="5364"/>
    <cellStyle name="Calculation 22 18" xfId="5365"/>
    <cellStyle name="Calculation 22 19" xfId="5366"/>
    <cellStyle name="Calculation 22 2" xfId="5367"/>
    <cellStyle name="Calculation 22 20" xfId="5368"/>
    <cellStyle name="Calculation 22 21" xfId="5369"/>
    <cellStyle name="Calculation 22 3" xfId="5370"/>
    <cellStyle name="Calculation 22 4" xfId="5371"/>
    <cellStyle name="Calculation 22 5" xfId="5372"/>
    <cellStyle name="Calculation 22 6" xfId="5373"/>
    <cellStyle name="Calculation 22 7" xfId="5374"/>
    <cellStyle name="Calculation 22 8" xfId="5375"/>
    <cellStyle name="Calculation 22 9" xfId="5376"/>
    <cellStyle name="Calculation 23" xfId="1527"/>
    <cellStyle name="Calculation 23 10" xfId="5377"/>
    <cellStyle name="Calculation 23 11" xfId="5378"/>
    <cellStyle name="Calculation 23 12" xfId="5379"/>
    <cellStyle name="Calculation 23 13" xfId="5380"/>
    <cellStyle name="Calculation 23 14" xfId="5381"/>
    <cellStyle name="Calculation 23 15" xfId="5382"/>
    <cellStyle name="Calculation 23 16" xfId="5383"/>
    <cellStyle name="Calculation 23 17" xfId="5384"/>
    <cellStyle name="Calculation 23 18" xfId="5385"/>
    <cellStyle name="Calculation 23 19" xfId="5386"/>
    <cellStyle name="Calculation 23 2" xfId="5387"/>
    <cellStyle name="Calculation 23 20" xfId="5388"/>
    <cellStyle name="Calculation 23 21" xfId="5389"/>
    <cellStyle name="Calculation 23 3" xfId="5390"/>
    <cellStyle name="Calculation 23 4" xfId="5391"/>
    <cellStyle name="Calculation 23 5" xfId="5392"/>
    <cellStyle name="Calculation 23 6" xfId="5393"/>
    <cellStyle name="Calculation 23 7" xfId="5394"/>
    <cellStyle name="Calculation 23 8" xfId="5395"/>
    <cellStyle name="Calculation 23 9" xfId="5396"/>
    <cellStyle name="Calculation 24" xfId="1528"/>
    <cellStyle name="Calculation 24 10" xfId="5397"/>
    <cellStyle name="Calculation 24 11" xfId="5398"/>
    <cellStyle name="Calculation 24 12" xfId="5399"/>
    <cellStyle name="Calculation 24 13" xfId="5400"/>
    <cellStyle name="Calculation 24 14" xfId="5401"/>
    <cellStyle name="Calculation 24 15" xfId="5402"/>
    <cellStyle name="Calculation 24 16" xfId="5403"/>
    <cellStyle name="Calculation 24 17" xfId="5404"/>
    <cellStyle name="Calculation 24 18" xfId="5405"/>
    <cellStyle name="Calculation 24 19" xfId="5406"/>
    <cellStyle name="Calculation 24 2" xfId="5407"/>
    <cellStyle name="Calculation 24 20" xfId="5408"/>
    <cellStyle name="Calculation 24 21" xfId="5409"/>
    <cellStyle name="Calculation 24 3" xfId="5410"/>
    <cellStyle name="Calculation 24 4" xfId="5411"/>
    <cellStyle name="Calculation 24 5" xfId="5412"/>
    <cellStyle name="Calculation 24 6" xfId="5413"/>
    <cellStyle name="Calculation 24 7" xfId="5414"/>
    <cellStyle name="Calculation 24 8" xfId="5415"/>
    <cellStyle name="Calculation 24 9" xfId="5416"/>
    <cellStyle name="Calculation 25" xfId="1529"/>
    <cellStyle name="Calculation 25 10" xfId="5417"/>
    <cellStyle name="Calculation 25 11" xfId="5418"/>
    <cellStyle name="Calculation 25 12" xfId="5419"/>
    <cellStyle name="Calculation 25 13" xfId="5420"/>
    <cellStyle name="Calculation 25 14" xfId="5421"/>
    <cellStyle name="Calculation 25 15" xfId="5422"/>
    <cellStyle name="Calculation 25 16" xfId="5423"/>
    <cellStyle name="Calculation 25 17" xfId="5424"/>
    <cellStyle name="Calculation 25 18" xfId="5425"/>
    <cellStyle name="Calculation 25 19" xfId="5426"/>
    <cellStyle name="Calculation 25 2" xfId="5427"/>
    <cellStyle name="Calculation 25 20" xfId="5428"/>
    <cellStyle name="Calculation 25 21" xfId="5429"/>
    <cellStyle name="Calculation 25 3" xfId="5430"/>
    <cellStyle name="Calculation 25 4" xfId="5431"/>
    <cellStyle name="Calculation 25 5" xfId="5432"/>
    <cellStyle name="Calculation 25 6" xfId="5433"/>
    <cellStyle name="Calculation 25 7" xfId="5434"/>
    <cellStyle name="Calculation 25 8" xfId="5435"/>
    <cellStyle name="Calculation 25 9" xfId="5436"/>
    <cellStyle name="Calculation 26" xfId="1530"/>
    <cellStyle name="Calculation 26 10" xfId="5437"/>
    <cellStyle name="Calculation 26 11" xfId="5438"/>
    <cellStyle name="Calculation 26 12" xfId="5439"/>
    <cellStyle name="Calculation 26 13" xfId="5440"/>
    <cellStyle name="Calculation 26 14" xfId="5441"/>
    <cellStyle name="Calculation 26 15" xfId="5442"/>
    <cellStyle name="Calculation 26 16" xfId="5443"/>
    <cellStyle name="Calculation 26 17" xfId="5444"/>
    <cellStyle name="Calculation 26 18" xfId="5445"/>
    <cellStyle name="Calculation 26 19" xfId="5446"/>
    <cellStyle name="Calculation 26 2" xfId="5447"/>
    <cellStyle name="Calculation 26 20" xfId="5448"/>
    <cellStyle name="Calculation 26 21" xfId="5449"/>
    <cellStyle name="Calculation 26 3" xfId="5450"/>
    <cellStyle name="Calculation 26 4" xfId="5451"/>
    <cellStyle name="Calculation 26 5" xfId="5452"/>
    <cellStyle name="Calculation 26 6" xfId="5453"/>
    <cellStyle name="Calculation 26 7" xfId="5454"/>
    <cellStyle name="Calculation 26 8" xfId="5455"/>
    <cellStyle name="Calculation 26 9" xfId="5456"/>
    <cellStyle name="Calculation 27" xfId="1531"/>
    <cellStyle name="Calculation 27 10" xfId="5457"/>
    <cellStyle name="Calculation 27 11" xfId="5458"/>
    <cellStyle name="Calculation 27 12" xfId="5459"/>
    <cellStyle name="Calculation 27 13" xfId="5460"/>
    <cellStyle name="Calculation 27 14" xfId="5461"/>
    <cellStyle name="Calculation 27 15" xfId="5462"/>
    <cellStyle name="Calculation 27 16" xfId="5463"/>
    <cellStyle name="Calculation 27 17" xfId="5464"/>
    <cellStyle name="Calculation 27 18" xfId="5465"/>
    <cellStyle name="Calculation 27 19" xfId="5466"/>
    <cellStyle name="Calculation 27 2" xfId="5467"/>
    <cellStyle name="Calculation 27 20" xfId="5468"/>
    <cellStyle name="Calculation 27 21" xfId="5469"/>
    <cellStyle name="Calculation 27 3" xfId="5470"/>
    <cellStyle name="Calculation 27 4" xfId="5471"/>
    <cellStyle name="Calculation 27 5" xfId="5472"/>
    <cellStyle name="Calculation 27 6" xfId="5473"/>
    <cellStyle name="Calculation 27 7" xfId="5474"/>
    <cellStyle name="Calculation 27 8" xfId="5475"/>
    <cellStyle name="Calculation 27 9" xfId="5476"/>
    <cellStyle name="Calculation 28" xfId="1532"/>
    <cellStyle name="Calculation 28 10" xfId="5477"/>
    <cellStyle name="Calculation 28 11" xfId="5478"/>
    <cellStyle name="Calculation 28 12" xfId="5479"/>
    <cellStyle name="Calculation 28 13" xfId="5480"/>
    <cellStyle name="Calculation 28 14" xfId="5481"/>
    <cellStyle name="Calculation 28 15" xfId="5482"/>
    <cellStyle name="Calculation 28 16" xfId="5483"/>
    <cellStyle name="Calculation 28 17" xfId="5484"/>
    <cellStyle name="Calculation 28 18" xfId="5485"/>
    <cellStyle name="Calculation 28 19" xfId="5486"/>
    <cellStyle name="Calculation 28 2" xfId="5487"/>
    <cellStyle name="Calculation 28 20" xfId="5488"/>
    <cellStyle name="Calculation 28 21" xfId="5489"/>
    <cellStyle name="Calculation 28 3" xfId="5490"/>
    <cellStyle name="Calculation 28 4" xfId="5491"/>
    <cellStyle name="Calculation 28 5" xfId="5492"/>
    <cellStyle name="Calculation 28 6" xfId="5493"/>
    <cellStyle name="Calculation 28 7" xfId="5494"/>
    <cellStyle name="Calculation 28 8" xfId="5495"/>
    <cellStyle name="Calculation 28 9" xfId="5496"/>
    <cellStyle name="Calculation 29" xfId="1533"/>
    <cellStyle name="Calculation 29 10" xfId="5497"/>
    <cellStyle name="Calculation 29 11" xfId="5498"/>
    <cellStyle name="Calculation 29 12" xfId="5499"/>
    <cellStyle name="Calculation 29 13" xfId="5500"/>
    <cellStyle name="Calculation 29 14" xfId="5501"/>
    <cellStyle name="Calculation 29 15" xfId="5502"/>
    <cellStyle name="Calculation 29 16" xfId="5503"/>
    <cellStyle name="Calculation 29 17" xfId="5504"/>
    <cellStyle name="Calculation 29 18" xfId="5505"/>
    <cellStyle name="Calculation 29 19" xfId="5506"/>
    <cellStyle name="Calculation 29 2" xfId="5507"/>
    <cellStyle name="Calculation 29 20" xfId="5508"/>
    <cellStyle name="Calculation 29 21" xfId="5509"/>
    <cellStyle name="Calculation 29 3" xfId="5510"/>
    <cellStyle name="Calculation 29 4" xfId="5511"/>
    <cellStyle name="Calculation 29 5" xfId="5512"/>
    <cellStyle name="Calculation 29 6" xfId="5513"/>
    <cellStyle name="Calculation 29 7" xfId="5514"/>
    <cellStyle name="Calculation 29 8" xfId="5515"/>
    <cellStyle name="Calculation 29 9" xfId="5516"/>
    <cellStyle name="Calculation 3" xfId="1534"/>
    <cellStyle name="Calculation 3 10" xfId="5517"/>
    <cellStyle name="Calculation 3 11" xfId="5518"/>
    <cellStyle name="Calculation 3 12" xfId="5519"/>
    <cellStyle name="Calculation 3 13" xfId="5520"/>
    <cellStyle name="Calculation 3 14" xfId="5521"/>
    <cellStyle name="Calculation 3 15" xfId="5522"/>
    <cellStyle name="Calculation 3 16" xfId="5523"/>
    <cellStyle name="Calculation 3 17" xfId="5524"/>
    <cellStyle name="Calculation 3 18" xfId="5525"/>
    <cellStyle name="Calculation 3 19" xfId="5526"/>
    <cellStyle name="Calculation 3 2" xfId="5527"/>
    <cellStyle name="Calculation 3 20" xfId="5528"/>
    <cellStyle name="Calculation 3 21" xfId="5529"/>
    <cellStyle name="Calculation 3 3" xfId="5530"/>
    <cellStyle name="Calculation 3 4" xfId="5531"/>
    <cellStyle name="Calculation 3 5" xfId="5532"/>
    <cellStyle name="Calculation 3 6" xfId="5533"/>
    <cellStyle name="Calculation 3 7" xfId="5534"/>
    <cellStyle name="Calculation 3 8" xfId="5535"/>
    <cellStyle name="Calculation 3 9" xfId="5536"/>
    <cellStyle name="Calculation 30" xfId="1535"/>
    <cellStyle name="Calculation 30 10" xfId="5537"/>
    <cellStyle name="Calculation 30 11" xfId="5538"/>
    <cellStyle name="Calculation 30 12" xfId="5539"/>
    <cellStyle name="Calculation 30 13" xfId="5540"/>
    <cellStyle name="Calculation 30 14" xfId="5541"/>
    <cellStyle name="Calculation 30 15" xfId="5542"/>
    <cellStyle name="Calculation 30 16" xfId="5543"/>
    <cellStyle name="Calculation 30 17" xfId="5544"/>
    <cellStyle name="Calculation 30 18" xfId="5545"/>
    <cellStyle name="Calculation 30 19" xfId="5546"/>
    <cellStyle name="Calculation 30 2" xfId="5547"/>
    <cellStyle name="Calculation 30 20" xfId="5548"/>
    <cellStyle name="Calculation 30 21" xfId="5549"/>
    <cellStyle name="Calculation 30 3" xfId="5550"/>
    <cellStyle name="Calculation 30 4" xfId="5551"/>
    <cellStyle name="Calculation 30 5" xfId="5552"/>
    <cellStyle name="Calculation 30 6" xfId="5553"/>
    <cellStyle name="Calculation 30 7" xfId="5554"/>
    <cellStyle name="Calculation 30 8" xfId="5555"/>
    <cellStyle name="Calculation 30 9" xfId="5556"/>
    <cellStyle name="Calculation 31" xfId="1536"/>
    <cellStyle name="Calculation 31 10" xfId="5557"/>
    <cellStyle name="Calculation 31 11" xfId="5558"/>
    <cellStyle name="Calculation 31 12" xfId="5559"/>
    <cellStyle name="Calculation 31 13" xfId="5560"/>
    <cellStyle name="Calculation 31 14" xfId="5561"/>
    <cellStyle name="Calculation 31 15" xfId="5562"/>
    <cellStyle name="Calculation 31 16" xfId="5563"/>
    <cellStyle name="Calculation 31 17" xfId="5564"/>
    <cellStyle name="Calculation 31 18" xfId="5565"/>
    <cellStyle name="Calculation 31 19" xfId="5566"/>
    <cellStyle name="Calculation 31 2" xfId="5567"/>
    <cellStyle name="Calculation 31 20" xfId="5568"/>
    <cellStyle name="Calculation 31 21" xfId="5569"/>
    <cellStyle name="Calculation 31 3" xfId="5570"/>
    <cellStyle name="Calculation 31 4" xfId="5571"/>
    <cellStyle name="Calculation 31 5" xfId="5572"/>
    <cellStyle name="Calculation 31 6" xfId="5573"/>
    <cellStyle name="Calculation 31 7" xfId="5574"/>
    <cellStyle name="Calculation 31 8" xfId="5575"/>
    <cellStyle name="Calculation 31 9" xfId="5576"/>
    <cellStyle name="Calculation 32" xfId="1537"/>
    <cellStyle name="Calculation 32 10" xfId="5577"/>
    <cellStyle name="Calculation 32 11" xfId="5578"/>
    <cellStyle name="Calculation 32 12" xfId="5579"/>
    <cellStyle name="Calculation 32 13" xfId="5580"/>
    <cellStyle name="Calculation 32 14" xfId="5581"/>
    <cellStyle name="Calculation 32 15" xfId="5582"/>
    <cellStyle name="Calculation 32 16" xfId="5583"/>
    <cellStyle name="Calculation 32 17" xfId="5584"/>
    <cellStyle name="Calculation 32 18" xfId="5585"/>
    <cellStyle name="Calculation 32 19" xfId="5586"/>
    <cellStyle name="Calculation 32 2" xfId="5587"/>
    <cellStyle name="Calculation 32 20" xfId="5588"/>
    <cellStyle name="Calculation 32 21" xfId="5589"/>
    <cellStyle name="Calculation 32 3" xfId="5590"/>
    <cellStyle name="Calculation 32 4" xfId="5591"/>
    <cellStyle name="Calculation 32 5" xfId="5592"/>
    <cellStyle name="Calculation 32 6" xfId="5593"/>
    <cellStyle name="Calculation 32 7" xfId="5594"/>
    <cellStyle name="Calculation 32 8" xfId="5595"/>
    <cellStyle name="Calculation 32 9" xfId="5596"/>
    <cellStyle name="Calculation 33" xfId="1538"/>
    <cellStyle name="Calculation 33 10" xfId="5597"/>
    <cellStyle name="Calculation 33 11" xfId="5598"/>
    <cellStyle name="Calculation 33 12" xfId="5599"/>
    <cellStyle name="Calculation 33 13" xfId="5600"/>
    <cellStyle name="Calculation 33 14" xfId="5601"/>
    <cellStyle name="Calculation 33 15" xfId="5602"/>
    <cellStyle name="Calculation 33 16" xfId="5603"/>
    <cellStyle name="Calculation 33 17" xfId="5604"/>
    <cellStyle name="Calculation 33 18" xfId="5605"/>
    <cellStyle name="Calculation 33 19" xfId="5606"/>
    <cellStyle name="Calculation 33 2" xfId="5607"/>
    <cellStyle name="Calculation 33 20" xfId="5608"/>
    <cellStyle name="Calculation 33 21" xfId="5609"/>
    <cellStyle name="Calculation 33 3" xfId="5610"/>
    <cellStyle name="Calculation 33 4" xfId="5611"/>
    <cellStyle name="Calculation 33 5" xfId="5612"/>
    <cellStyle name="Calculation 33 6" xfId="5613"/>
    <cellStyle name="Calculation 33 7" xfId="5614"/>
    <cellStyle name="Calculation 33 8" xfId="5615"/>
    <cellStyle name="Calculation 33 9" xfId="5616"/>
    <cellStyle name="Calculation 34" xfId="1539"/>
    <cellStyle name="Calculation 34 10" xfId="5617"/>
    <cellStyle name="Calculation 34 11" xfId="5618"/>
    <cellStyle name="Calculation 34 12" xfId="5619"/>
    <cellStyle name="Calculation 34 13" xfId="5620"/>
    <cellStyle name="Calculation 34 14" xfId="5621"/>
    <cellStyle name="Calculation 34 15" xfId="5622"/>
    <cellStyle name="Calculation 34 16" xfId="5623"/>
    <cellStyle name="Calculation 34 17" xfId="5624"/>
    <cellStyle name="Calculation 34 18" xfId="5625"/>
    <cellStyle name="Calculation 34 19" xfId="5626"/>
    <cellStyle name="Calculation 34 2" xfId="5627"/>
    <cellStyle name="Calculation 34 20" xfId="5628"/>
    <cellStyle name="Calculation 34 21" xfId="5629"/>
    <cellStyle name="Calculation 34 3" xfId="5630"/>
    <cellStyle name="Calculation 34 4" xfId="5631"/>
    <cellStyle name="Calculation 34 5" xfId="5632"/>
    <cellStyle name="Calculation 34 6" xfId="5633"/>
    <cellStyle name="Calculation 34 7" xfId="5634"/>
    <cellStyle name="Calculation 34 8" xfId="5635"/>
    <cellStyle name="Calculation 34 9" xfId="5636"/>
    <cellStyle name="Calculation 35" xfId="1540"/>
    <cellStyle name="Calculation 35 10" xfId="5637"/>
    <cellStyle name="Calculation 35 11" xfId="5638"/>
    <cellStyle name="Calculation 35 12" xfId="5639"/>
    <cellStyle name="Calculation 35 13" xfId="5640"/>
    <cellStyle name="Calculation 35 14" xfId="5641"/>
    <cellStyle name="Calculation 35 15" xfId="5642"/>
    <cellStyle name="Calculation 35 16" xfId="5643"/>
    <cellStyle name="Calculation 35 17" xfId="5644"/>
    <cellStyle name="Calculation 35 18" xfId="5645"/>
    <cellStyle name="Calculation 35 19" xfId="5646"/>
    <cellStyle name="Calculation 35 2" xfId="5647"/>
    <cellStyle name="Calculation 35 20" xfId="5648"/>
    <cellStyle name="Calculation 35 21" xfId="5649"/>
    <cellStyle name="Calculation 35 3" xfId="5650"/>
    <cellStyle name="Calculation 35 4" xfId="5651"/>
    <cellStyle name="Calculation 35 5" xfId="5652"/>
    <cellStyle name="Calculation 35 6" xfId="5653"/>
    <cellStyle name="Calculation 35 7" xfId="5654"/>
    <cellStyle name="Calculation 35 8" xfId="5655"/>
    <cellStyle name="Calculation 35 9" xfId="5656"/>
    <cellStyle name="Calculation 36" xfId="1541"/>
    <cellStyle name="Calculation 36 10" xfId="5657"/>
    <cellStyle name="Calculation 36 11" xfId="5658"/>
    <cellStyle name="Calculation 36 12" xfId="5659"/>
    <cellStyle name="Calculation 36 13" xfId="5660"/>
    <cellStyle name="Calculation 36 14" xfId="5661"/>
    <cellStyle name="Calculation 36 15" xfId="5662"/>
    <cellStyle name="Calculation 36 16" xfId="5663"/>
    <cellStyle name="Calculation 36 17" xfId="5664"/>
    <cellStyle name="Calculation 36 18" xfId="5665"/>
    <cellStyle name="Calculation 36 19" xfId="5666"/>
    <cellStyle name="Calculation 36 2" xfId="5667"/>
    <cellStyle name="Calculation 36 20" xfId="5668"/>
    <cellStyle name="Calculation 36 21" xfId="5669"/>
    <cellStyle name="Calculation 36 3" xfId="5670"/>
    <cellStyle name="Calculation 36 4" xfId="5671"/>
    <cellStyle name="Calculation 36 5" xfId="5672"/>
    <cellStyle name="Calculation 36 6" xfId="5673"/>
    <cellStyle name="Calculation 36 7" xfId="5674"/>
    <cellStyle name="Calculation 36 8" xfId="5675"/>
    <cellStyle name="Calculation 36 9" xfId="5676"/>
    <cellStyle name="Calculation 37" xfId="1542"/>
    <cellStyle name="Calculation 37 10" xfId="5677"/>
    <cellStyle name="Calculation 37 11" xfId="5678"/>
    <cellStyle name="Calculation 37 12" xfId="5679"/>
    <cellStyle name="Calculation 37 13" xfId="5680"/>
    <cellStyle name="Calculation 37 14" xfId="5681"/>
    <cellStyle name="Calculation 37 15" xfId="5682"/>
    <cellStyle name="Calculation 37 16" xfId="5683"/>
    <cellStyle name="Calculation 37 17" xfId="5684"/>
    <cellStyle name="Calculation 37 18" xfId="5685"/>
    <cellStyle name="Calculation 37 19" xfId="5686"/>
    <cellStyle name="Calculation 37 2" xfId="5687"/>
    <cellStyle name="Calculation 37 20" xfId="5688"/>
    <cellStyle name="Calculation 37 21" xfId="5689"/>
    <cellStyle name="Calculation 37 3" xfId="5690"/>
    <cellStyle name="Calculation 37 4" xfId="5691"/>
    <cellStyle name="Calculation 37 5" xfId="5692"/>
    <cellStyle name="Calculation 37 6" xfId="5693"/>
    <cellStyle name="Calculation 37 7" xfId="5694"/>
    <cellStyle name="Calculation 37 8" xfId="5695"/>
    <cellStyle name="Calculation 37 9" xfId="5696"/>
    <cellStyle name="Calculation 38" xfId="1543"/>
    <cellStyle name="Calculation 38 10" xfId="5697"/>
    <cellStyle name="Calculation 38 11" xfId="5698"/>
    <cellStyle name="Calculation 38 12" xfId="5699"/>
    <cellStyle name="Calculation 38 13" xfId="5700"/>
    <cellStyle name="Calculation 38 14" xfId="5701"/>
    <cellStyle name="Calculation 38 15" xfId="5702"/>
    <cellStyle name="Calculation 38 16" xfId="5703"/>
    <cellStyle name="Calculation 38 17" xfId="5704"/>
    <cellStyle name="Calculation 38 18" xfId="5705"/>
    <cellStyle name="Calculation 38 19" xfId="5706"/>
    <cellStyle name="Calculation 38 2" xfId="5707"/>
    <cellStyle name="Calculation 38 20" xfId="5708"/>
    <cellStyle name="Calculation 38 21" xfId="5709"/>
    <cellStyle name="Calculation 38 3" xfId="5710"/>
    <cellStyle name="Calculation 38 4" xfId="5711"/>
    <cellStyle name="Calculation 38 5" xfId="5712"/>
    <cellStyle name="Calculation 38 6" xfId="5713"/>
    <cellStyle name="Calculation 38 7" xfId="5714"/>
    <cellStyle name="Calculation 38 8" xfId="5715"/>
    <cellStyle name="Calculation 38 9" xfId="5716"/>
    <cellStyle name="Calculation 39" xfId="1544"/>
    <cellStyle name="Calculation 39 10" xfId="5717"/>
    <cellStyle name="Calculation 39 11" xfId="5718"/>
    <cellStyle name="Calculation 39 12" xfId="5719"/>
    <cellStyle name="Calculation 39 13" xfId="5720"/>
    <cellStyle name="Calculation 39 14" xfId="5721"/>
    <cellStyle name="Calculation 39 15" xfId="5722"/>
    <cellStyle name="Calculation 39 16" xfId="5723"/>
    <cellStyle name="Calculation 39 17" xfId="5724"/>
    <cellStyle name="Calculation 39 18" xfId="5725"/>
    <cellStyle name="Calculation 39 19" xfId="5726"/>
    <cellStyle name="Calculation 39 2" xfId="5727"/>
    <cellStyle name="Calculation 39 20" xfId="5728"/>
    <cellStyle name="Calculation 39 21" xfId="5729"/>
    <cellStyle name="Calculation 39 3" xfId="5730"/>
    <cellStyle name="Calculation 39 4" xfId="5731"/>
    <cellStyle name="Calculation 39 5" xfId="5732"/>
    <cellStyle name="Calculation 39 6" xfId="5733"/>
    <cellStyle name="Calculation 39 7" xfId="5734"/>
    <cellStyle name="Calculation 39 8" xfId="5735"/>
    <cellStyle name="Calculation 39 9" xfId="5736"/>
    <cellStyle name="Calculation 4" xfId="1545"/>
    <cellStyle name="Calculation 4 10" xfId="5737"/>
    <cellStyle name="Calculation 4 11" xfId="5738"/>
    <cellStyle name="Calculation 4 12" xfId="5739"/>
    <cellStyle name="Calculation 4 13" xfId="5740"/>
    <cellStyle name="Calculation 4 14" xfId="5741"/>
    <cellStyle name="Calculation 4 15" xfId="5742"/>
    <cellStyle name="Calculation 4 16" xfId="5743"/>
    <cellStyle name="Calculation 4 17" xfId="5744"/>
    <cellStyle name="Calculation 4 18" xfId="5745"/>
    <cellStyle name="Calculation 4 19" xfId="5746"/>
    <cellStyle name="Calculation 4 2" xfId="5747"/>
    <cellStyle name="Calculation 4 20" xfId="5748"/>
    <cellStyle name="Calculation 4 21" xfId="5749"/>
    <cellStyle name="Calculation 4 3" xfId="5750"/>
    <cellStyle name="Calculation 4 4" xfId="5751"/>
    <cellStyle name="Calculation 4 5" xfId="5752"/>
    <cellStyle name="Calculation 4 6" xfId="5753"/>
    <cellStyle name="Calculation 4 7" xfId="5754"/>
    <cellStyle name="Calculation 4 8" xfId="5755"/>
    <cellStyle name="Calculation 4 9" xfId="5756"/>
    <cellStyle name="Calculation 40" xfId="1546"/>
    <cellStyle name="Calculation 40 10" xfId="5757"/>
    <cellStyle name="Calculation 40 11" xfId="5758"/>
    <cellStyle name="Calculation 40 12" xfId="5759"/>
    <cellStyle name="Calculation 40 13" xfId="5760"/>
    <cellStyle name="Calculation 40 14" xfId="5761"/>
    <cellStyle name="Calculation 40 15" xfId="5762"/>
    <cellStyle name="Calculation 40 16" xfId="5763"/>
    <cellStyle name="Calculation 40 17" xfId="5764"/>
    <cellStyle name="Calculation 40 18" xfId="5765"/>
    <cellStyle name="Calculation 40 19" xfId="5766"/>
    <cellStyle name="Calculation 40 2" xfId="5767"/>
    <cellStyle name="Calculation 40 20" xfId="5768"/>
    <cellStyle name="Calculation 40 21" xfId="5769"/>
    <cellStyle name="Calculation 40 3" xfId="5770"/>
    <cellStyle name="Calculation 40 4" xfId="5771"/>
    <cellStyle name="Calculation 40 5" xfId="5772"/>
    <cellStyle name="Calculation 40 6" xfId="5773"/>
    <cellStyle name="Calculation 40 7" xfId="5774"/>
    <cellStyle name="Calculation 40 8" xfId="5775"/>
    <cellStyle name="Calculation 40 9" xfId="5776"/>
    <cellStyle name="Calculation 41" xfId="1547"/>
    <cellStyle name="Calculation 41 10" xfId="5777"/>
    <cellStyle name="Calculation 41 11" xfId="5778"/>
    <cellStyle name="Calculation 41 12" xfId="5779"/>
    <cellStyle name="Calculation 41 13" xfId="5780"/>
    <cellStyle name="Calculation 41 14" xfId="5781"/>
    <cellStyle name="Calculation 41 15" xfId="5782"/>
    <cellStyle name="Calculation 41 16" xfId="5783"/>
    <cellStyle name="Calculation 41 17" xfId="5784"/>
    <cellStyle name="Calculation 41 18" xfId="5785"/>
    <cellStyle name="Calculation 41 19" xfId="5786"/>
    <cellStyle name="Calculation 41 2" xfId="5787"/>
    <cellStyle name="Calculation 41 20" xfId="5788"/>
    <cellStyle name="Calculation 41 21" xfId="5789"/>
    <cellStyle name="Calculation 41 3" xfId="5790"/>
    <cellStyle name="Calculation 41 4" xfId="5791"/>
    <cellStyle name="Calculation 41 5" xfId="5792"/>
    <cellStyle name="Calculation 41 6" xfId="5793"/>
    <cellStyle name="Calculation 41 7" xfId="5794"/>
    <cellStyle name="Calculation 41 8" xfId="5795"/>
    <cellStyle name="Calculation 41 9" xfId="5796"/>
    <cellStyle name="Calculation 42" xfId="1548"/>
    <cellStyle name="Calculation 42 10" xfId="5797"/>
    <cellStyle name="Calculation 42 11" xfId="5798"/>
    <cellStyle name="Calculation 42 12" xfId="5799"/>
    <cellStyle name="Calculation 42 13" xfId="5800"/>
    <cellStyle name="Calculation 42 14" xfId="5801"/>
    <cellStyle name="Calculation 42 15" xfId="5802"/>
    <cellStyle name="Calculation 42 16" xfId="5803"/>
    <cellStyle name="Calculation 42 17" xfId="5804"/>
    <cellStyle name="Calculation 42 18" xfId="5805"/>
    <cellStyle name="Calculation 42 19" xfId="5806"/>
    <cellStyle name="Calculation 42 2" xfId="5807"/>
    <cellStyle name="Calculation 42 20" xfId="5808"/>
    <cellStyle name="Calculation 42 21" xfId="5809"/>
    <cellStyle name="Calculation 42 3" xfId="5810"/>
    <cellStyle name="Calculation 42 4" xfId="5811"/>
    <cellStyle name="Calculation 42 5" xfId="5812"/>
    <cellStyle name="Calculation 42 6" xfId="5813"/>
    <cellStyle name="Calculation 42 7" xfId="5814"/>
    <cellStyle name="Calculation 42 8" xfId="5815"/>
    <cellStyle name="Calculation 42 9" xfId="5816"/>
    <cellStyle name="Calculation 43" xfId="1549"/>
    <cellStyle name="Calculation 43 10" xfId="5817"/>
    <cellStyle name="Calculation 43 11" xfId="5818"/>
    <cellStyle name="Calculation 43 12" xfId="5819"/>
    <cellStyle name="Calculation 43 13" xfId="5820"/>
    <cellStyle name="Calculation 43 14" xfId="5821"/>
    <cellStyle name="Calculation 43 15" xfId="5822"/>
    <cellStyle name="Calculation 43 16" xfId="5823"/>
    <cellStyle name="Calculation 43 17" xfId="5824"/>
    <cellStyle name="Calculation 43 18" xfId="5825"/>
    <cellStyle name="Calculation 43 19" xfId="5826"/>
    <cellStyle name="Calculation 43 2" xfId="5827"/>
    <cellStyle name="Calculation 43 20" xfId="5828"/>
    <cellStyle name="Calculation 43 21" xfId="5829"/>
    <cellStyle name="Calculation 43 3" xfId="5830"/>
    <cellStyle name="Calculation 43 4" xfId="5831"/>
    <cellStyle name="Calculation 43 5" xfId="5832"/>
    <cellStyle name="Calculation 43 6" xfId="5833"/>
    <cellStyle name="Calculation 43 7" xfId="5834"/>
    <cellStyle name="Calculation 43 8" xfId="5835"/>
    <cellStyle name="Calculation 43 9" xfId="5836"/>
    <cellStyle name="Calculation 44" xfId="1550"/>
    <cellStyle name="Calculation 44 10" xfId="5837"/>
    <cellStyle name="Calculation 44 11" xfId="5838"/>
    <cellStyle name="Calculation 44 12" xfId="5839"/>
    <cellStyle name="Calculation 44 13" xfId="5840"/>
    <cellStyle name="Calculation 44 14" xfId="5841"/>
    <cellStyle name="Calculation 44 15" xfId="5842"/>
    <cellStyle name="Calculation 44 16" xfId="5843"/>
    <cellStyle name="Calculation 44 17" xfId="5844"/>
    <cellStyle name="Calculation 44 18" xfId="5845"/>
    <cellStyle name="Calculation 44 19" xfId="5846"/>
    <cellStyle name="Calculation 44 2" xfId="5847"/>
    <cellStyle name="Calculation 44 20" xfId="5848"/>
    <cellStyle name="Calculation 44 21" xfId="5849"/>
    <cellStyle name="Calculation 44 3" xfId="5850"/>
    <cellStyle name="Calculation 44 4" xfId="5851"/>
    <cellStyle name="Calculation 44 5" xfId="5852"/>
    <cellStyle name="Calculation 44 6" xfId="5853"/>
    <cellStyle name="Calculation 44 7" xfId="5854"/>
    <cellStyle name="Calculation 44 8" xfId="5855"/>
    <cellStyle name="Calculation 44 9" xfId="5856"/>
    <cellStyle name="Calculation 45" xfId="1551"/>
    <cellStyle name="Calculation 45 10" xfId="5857"/>
    <cellStyle name="Calculation 45 11" xfId="5858"/>
    <cellStyle name="Calculation 45 12" xfId="5859"/>
    <cellStyle name="Calculation 45 13" xfId="5860"/>
    <cellStyle name="Calculation 45 14" xfId="5861"/>
    <cellStyle name="Calculation 45 15" xfId="5862"/>
    <cellStyle name="Calculation 45 16" xfId="5863"/>
    <cellStyle name="Calculation 45 17" xfId="5864"/>
    <cellStyle name="Calculation 45 18" xfId="5865"/>
    <cellStyle name="Calculation 45 19" xfId="5866"/>
    <cellStyle name="Calculation 45 2" xfId="5867"/>
    <cellStyle name="Calculation 45 20" xfId="5868"/>
    <cellStyle name="Calculation 45 21" xfId="5869"/>
    <cellStyle name="Calculation 45 3" xfId="5870"/>
    <cellStyle name="Calculation 45 4" xfId="5871"/>
    <cellStyle name="Calculation 45 5" xfId="5872"/>
    <cellStyle name="Calculation 45 6" xfId="5873"/>
    <cellStyle name="Calculation 45 7" xfId="5874"/>
    <cellStyle name="Calculation 45 8" xfId="5875"/>
    <cellStyle name="Calculation 45 9" xfId="5876"/>
    <cellStyle name="Calculation 46" xfId="1552"/>
    <cellStyle name="Calculation 46 10" xfId="5877"/>
    <cellStyle name="Calculation 46 11" xfId="5878"/>
    <cellStyle name="Calculation 46 12" xfId="5879"/>
    <cellStyle name="Calculation 46 13" xfId="5880"/>
    <cellStyle name="Calculation 46 14" xfId="5881"/>
    <cellStyle name="Calculation 46 15" xfId="5882"/>
    <cellStyle name="Calculation 46 16" xfId="5883"/>
    <cellStyle name="Calculation 46 17" xfId="5884"/>
    <cellStyle name="Calculation 46 18" xfId="5885"/>
    <cellStyle name="Calculation 46 19" xfId="5886"/>
    <cellStyle name="Calculation 46 2" xfId="5887"/>
    <cellStyle name="Calculation 46 20" xfId="5888"/>
    <cellStyle name="Calculation 46 21" xfId="5889"/>
    <cellStyle name="Calculation 46 3" xfId="5890"/>
    <cellStyle name="Calculation 46 4" xfId="5891"/>
    <cellStyle name="Calculation 46 5" xfId="5892"/>
    <cellStyle name="Calculation 46 6" xfId="5893"/>
    <cellStyle name="Calculation 46 7" xfId="5894"/>
    <cellStyle name="Calculation 46 8" xfId="5895"/>
    <cellStyle name="Calculation 46 9" xfId="5896"/>
    <cellStyle name="Calculation 47" xfId="1553"/>
    <cellStyle name="Calculation 47 10" xfId="5897"/>
    <cellStyle name="Calculation 47 11" xfId="5898"/>
    <cellStyle name="Calculation 47 12" xfId="5899"/>
    <cellStyle name="Calculation 47 13" xfId="5900"/>
    <cellStyle name="Calculation 47 14" xfId="5901"/>
    <cellStyle name="Calculation 47 15" xfId="5902"/>
    <cellStyle name="Calculation 47 16" xfId="5903"/>
    <cellStyle name="Calculation 47 17" xfId="5904"/>
    <cellStyle name="Calculation 47 18" xfId="5905"/>
    <cellStyle name="Calculation 47 19" xfId="5906"/>
    <cellStyle name="Calculation 47 2" xfId="5907"/>
    <cellStyle name="Calculation 47 20" xfId="5908"/>
    <cellStyle name="Calculation 47 21" xfId="5909"/>
    <cellStyle name="Calculation 47 3" xfId="5910"/>
    <cellStyle name="Calculation 47 4" xfId="5911"/>
    <cellStyle name="Calculation 47 5" xfId="5912"/>
    <cellStyle name="Calculation 47 6" xfId="5913"/>
    <cellStyle name="Calculation 47 7" xfId="5914"/>
    <cellStyle name="Calculation 47 8" xfId="5915"/>
    <cellStyle name="Calculation 47 9" xfId="5916"/>
    <cellStyle name="Calculation 48" xfId="1554"/>
    <cellStyle name="Calculation 48 10" xfId="5917"/>
    <cellStyle name="Calculation 48 11" xfId="5918"/>
    <cellStyle name="Calculation 48 12" xfId="5919"/>
    <cellStyle name="Calculation 48 13" xfId="5920"/>
    <cellStyle name="Calculation 48 14" xfId="5921"/>
    <cellStyle name="Calculation 48 15" xfId="5922"/>
    <cellStyle name="Calculation 48 16" xfId="5923"/>
    <cellStyle name="Calculation 48 17" xfId="5924"/>
    <cellStyle name="Calculation 48 18" xfId="5925"/>
    <cellStyle name="Calculation 48 19" xfId="5926"/>
    <cellStyle name="Calculation 48 2" xfId="5927"/>
    <cellStyle name="Calculation 48 20" xfId="5928"/>
    <cellStyle name="Calculation 48 21" xfId="5929"/>
    <cellStyle name="Calculation 48 3" xfId="5930"/>
    <cellStyle name="Calculation 48 4" xfId="5931"/>
    <cellStyle name="Calculation 48 5" xfId="5932"/>
    <cellStyle name="Calculation 48 6" xfId="5933"/>
    <cellStyle name="Calculation 48 7" xfId="5934"/>
    <cellStyle name="Calculation 48 8" xfId="5935"/>
    <cellStyle name="Calculation 48 9" xfId="5936"/>
    <cellStyle name="Calculation 49" xfId="1555"/>
    <cellStyle name="Calculation 49 10" xfId="5937"/>
    <cellStyle name="Calculation 49 11" xfId="5938"/>
    <cellStyle name="Calculation 49 12" xfId="5939"/>
    <cellStyle name="Calculation 49 13" xfId="5940"/>
    <cellStyle name="Calculation 49 14" xfId="5941"/>
    <cellStyle name="Calculation 49 15" xfId="5942"/>
    <cellStyle name="Calculation 49 16" xfId="5943"/>
    <cellStyle name="Calculation 49 17" xfId="5944"/>
    <cellStyle name="Calculation 49 18" xfId="5945"/>
    <cellStyle name="Calculation 49 19" xfId="5946"/>
    <cellStyle name="Calculation 49 2" xfId="5947"/>
    <cellStyle name="Calculation 49 20" xfId="5948"/>
    <cellStyle name="Calculation 49 21" xfId="5949"/>
    <cellStyle name="Calculation 49 3" xfId="5950"/>
    <cellStyle name="Calculation 49 4" xfId="5951"/>
    <cellStyle name="Calculation 49 5" xfId="5952"/>
    <cellStyle name="Calculation 49 6" xfId="5953"/>
    <cellStyle name="Calculation 49 7" xfId="5954"/>
    <cellStyle name="Calculation 49 8" xfId="5955"/>
    <cellStyle name="Calculation 49 9" xfId="5956"/>
    <cellStyle name="Calculation 5" xfId="1556"/>
    <cellStyle name="Calculation 5 10" xfId="5957"/>
    <cellStyle name="Calculation 5 11" xfId="5958"/>
    <cellStyle name="Calculation 5 12" xfId="5959"/>
    <cellStyle name="Calculation 5 13" xfId="5960"/>
    <cellStyle name="Calculation 5 14" xfId="5961"/>
    <cellStyle name="Calculation 5 15" xfId="5962"/>
    <cellStyle name="Calculation 5 16" xfId="5963"/>
    <cellStyle name="Calculation 5 17" xfId="5964"/>
    <cellStyle name="Calculation 5 18" xfId="5965"/>
    <cellStyle name="Calculation 5 19" xfId="5966"/>
    <cellStyle name="Calculation 5 2" xfId="5967"/>
    <cellStyle name="Calculation 5 20" xfId="5968"/>
    <cellStyle name="Calculation 5 21" xfId="5969"/>
    <cellStyle name="Calculation 5 3" xfId="5970"/>
    <cellStyle name="Calculation 5 4" xfId="5971"/>
    <cellStyle name="Calculation 5 5" xfId="5972"/>
    <cellStyle name="Calculation 5 6" xfId="5973"/>
    <cellStyle name="Calculation 5 7" xfId="5974"/>
    <cellStyle name="Calculation 5 8" xfId="5975"/>
    <cellStyle name="Calculation 5 9" xfId="5976"/>
    <cellStyle name="Calculation 50" xfId="1557"/>
    <cellStyle name="Calculation 50 10" xfId="5977"/>
    <cellStyle name="Calculation 50 11" xfId="5978"/>
    <cellStyle name="Calculation 50 12" xfId="5979"/>
    <cellStyle name="Calculation 50 13" xfId="5980"/>
    <cellStyle name="Calculation 50 14" xfId="5981"/>
    <cellStyle name="Calculation 50 15" xfId="5982"/>
    <cellStyle name="Calculation 50 16" xfId="5983"/>
    <cellStyle name="Calculation 50 17" xfId="5984"/>
    <cellStyle name="Calculation 50 18" xfId="5985"/>
    <cellStyle name="Calculation 50 19" xfId="5986"/>
    <cellStyle name="Calculation 50 2" xfId="5987"/>
    <cellStyle name="Calculation 50 20" xfId="5988"/>
    <cellStyle name="Calculation 50 21" xfId="5989"/>
    <cellStyle name="Calculation 50 3" xfId="5990"/>
    <cellStyle name="Calculation 50 4" xfId="5991"/>
    <cellStyle name="Calculation 50 5" xfId="5992"/>
    <cellStyle name="Calculation 50 6" xfId="5993"/>
    <cellStyle name="Calculation 50 7" xfId="5994"/>
    <cellStyle name="Calculation 50 8" xfId="5995"/>
    <cellStyle name="Calculation 50 9" xfId="5996"/>
    <cellStyle name="Calculation 51" xfId="1558"/>
    <cellStyle name="Calculation 51 10" xfId="5997"/>
    <cellStyle name="Calculation 51 11" xfId="5998"/>
    <cellStyle name="Calculation 51 12" xfId="5999"/>
    <cellStyle name="Calculation 51 13" xfId="6000"/>
    <cellStyle name="Calculation 51 14" xfId="6001"/>
    <cellStyle name="Calculation 51 15" xfId="6002"/>
    <cellStyle name="Calculation 51 16" xfId="6003"/>
    <cellStyle name="Calculation 51 17" xfId="6004"/>
    <cellStyle name="Calculation 51 18" xfId="6005"/>
    <cellStyle name="Calculation 51 19" xfId="6006"/>
    <cellStyle name="Calculation 51 2" xfId="6007"/>
    <cellStyle name="Calculation 51 20" xfId="6008"/>
    <cellStyle name="Calculation 51 21" xfId="6009"/>
    <cellStyle name="Calculation 51 3" xfId="6010"/>
    <cellStyle name="Calculation 51 4" xfId="6011"/>
    <cellStyle name="Calculation 51 5" xfId="6012"/>
    <cellStyle name="Calculation 51 6" xfId="6013"/>
    <cellStyle name="Calculation 51 7" xfId="6014"/>
    <cellStyle name="Calculation 51 8" xfId="6015"/>
    <cellStyle name="Calculation 51 9" xfId="6016"/>
    <cellStyle name="Calculation 52" xfId="1559"/>
    <cellStyle name="Calculation 52 10" xfId="6017"/>
    <cellStyle name="Calculation 52 11" xfId="6018"/>
    <cellStyle name="Calculation 52 12" xfId="6019"/>
    <cellStyle name="Calculation 52 13" xfId="6020"/>
    <cellStyle name="Calculation 52 14" xfId="6021"/>
    <cellStyle name="Calculation 52 15" xfId="6022"/>
    <cellStyle name="Calculation 52 16" xfId="6023"/>
    <cellStyle name="Calculation 52 17" xfId="6024"/>
    <cellStyle name="Calculation 52 18" xfId="6025"/>
    <cellStyle name="Calculation 52 19" xfId="6026"/>
    <cellStyle name="Calculation 52 2" xfId="6027"/>
    <cellStyle name="Calculation 52 20" xfId="6028"/>
    <cellStyle name="Calculation 52 21" xfId="6029"/>
    <cellStyle name="Calculation 52 3" xfId="6030"/>
    <cellStyle name="Calculation 52 4" xfId="6031"/>
    <cellStyle name="Calculation 52 5" xfId="6032"/>
    <cellStyle name="Calculation 52 6" xfId="6033"/>
    <cellStyle name="Calculation 52 7" xfId="6034"/>
    <cellStyle name="Calculation 52 8" xfId="6035"/>
    <cellStyle name="Calculation 52 9" xfId="6036"/>
    <cellStyle name="Calculation 53" xfId="1560"/>
    <cellStyle name="Calculation 53 10" xfId="6037"/>
    <cellStyle name="Calculation 53 11" xfId="6038"/>
    <cellStyle name="Calculation 53 12" xfId="6039"/>
    <cellStyle name="Calculation 53 13" xfId="6040"/>
    <cellStyle name="Calculation 53 14" xfId="6041"/>
    <cellStyle name="Calculation 53 15" xfId="6042"/>
    <cellStyle name="Calculation 53 16" xfId="6043"/>
    <cellStyle name="Calculation 53 17" xfId="6044"/>
    <cellStyle name="Calculation 53 18" xfId="6045"/>
    <cellStyle name="Calculation 53 19" xfId="6046"/>
    <cellStyle name="Calculation 53 2" xfId="6047"/>
    <cellStyle name="Calculation 53 20" xfId="6048"/>
    <cellStyle name="Calculation 53 21" xfId="6049"/>
    <cellStyle name="Calculation 53 3" xfId="6050"/>
    <cellStyle name="Calculation 53 4" xfId="6051"/>
    <cellStyle name="Calculation 53 5" xfId="6052"/>
    <cellStyle name="Calculation 53 6" xfId="6053"/>
    <cellStyle name="Calculation 53 7" xfId="6054"/>
    <cellStyle name="Calculation 53 8" xfId="6055"/>
    <cellStyle name="Calculation 53 9" xfId="6056"/>
    <cellStyle name="Calculation 54" xfId="1561"/>
    <cellStyle name="Calculation 54 10" xfId="6057"/>
    <cellStyle name="Calculation 54 11" xfId="6058"/>
    <cellStyle name="Calculation 54 12" xfId="6059"/>
    <cellStyle name="Calculation 54 13" xfId="6060"/>
    <cellStyle name="Calculation 54 14" xfId="6061"/>
    <cellStyle name="Calculation 54 15" xfId="6062"/>
    <cellStyle name="Calculation 54 16" xfId="6063"/>
    <cellStyle name="Calculation 54 17" xfId="6064"/>
    <cellStyle name="Calculation 54 18" xfId="6065"/>
    <cellStyle name="Calculation 54 19" xfId="6066"/>
    <cellStyle name="Calculation 54 2" xfId="6067"/>
    <cellStyle name="Calculation 54 20" xfId="6068"/>
    <cellStyle name="Calculation 54 21" xfId="6069"/>
    <cellStyle name="Calculation 54 3" xfId="6070"/>
    <cellStyle name="Calculation 54 4" xfId="6071"/>
    <cellStyle name="Calculation 54 5" xfId="6072"/>
    <cellStyle name="Calculation 54 6" xfId="6073"/>
    <cellStyle name="Calculation 54 7" xfId="6074"/>
    <cellStyle name="Calculation 54 8" xfId="6075"/>
    <cellStyle name="Calculation 54 9" xfId="6076"/>
    <cellStyle name="Calculation 55" xfId="1562"/>
    <cellStyle name="Calculation 55 10" xfId="6077"/>
    <cellStyle name="Calculation 55 11" xfId="6078"/>
    <cellStyle name="Calculation 55 12" xfId="6079"/>
    <cellStyle name="Calculation 55 13" xfId="6080"/>
    <cellStyle name="Calculation 55 14" xfId="6081"/>
    <cellStyle name="Calculation 55 15" xfId="6082"/>
    <cellStyle name="Calculation 55 16" xfId="6083"/>
    <cellStyle name="Calculation 55 17" xfId="6084"/>
    <cellStyle name="Calculation 55 18" xfId="6085"/>
    <cellStyle name="Calculation 55 19" xfId="6086"/>
    <cellStyle name="Calculation 55 2" xfId="6087"/>
    <cellStyle name="Calculation 55 20" xfId="6088"/>
    <cellStyle name="Calculation 55 21" xfId="6089"/>
    <cellStyle name="Calculation 55 3" xfId="6090"/>
    <cellStyle name="Calculation 55 4" xfId="6091"/>
    <cellStyle name="Calculation 55 5" xfId="6092"/>
    <cellStyle name="Calculation 55 6" xfId="6093"/>
    <cellStyle name="Calculation 55 7" xfId="6094"/>
    <cellStyle name="Calculation 55 8" xfId="6095"/>
    <cellStyle name="Calculation 55 9" xfId="6096"/>
    <cellStyle name="Calculation 56" xfId="1563"/>
    <cellStyle name="Calculation 56 10" xfId="6097"/>
    <cellStyle name="Calculation 56 11" xfId="6098"/>
    <cellStyle name="Calculation 56 12" xfId="6099"/>
    <cellStyle name="Calculation 56 13" xfId="6100"/>
    <cellStyle name="Calculation 56 14" xfId="6101"/>
    <cellStyle name="Calculation 56 15" xfId="6102"/>
    <cellStyle name="Calculation 56 16" xfId="6103"/>
    <cellStyle name="Calculation 56 17" xfId="6104"/>
    <cellStyle name="Calculation 56 18" xfId="6105"/>
    <cellStyle name="Calculation 56 19" xfId="6106"/>
    <cellStyle name="Calculation 56 2" xfId="6107"/>
    <cellStyle name="Calculation 56 20" xfId="6108"/>
    <cellStyle name="Calculation 56 21" xfId="6109"/>
    <cellStyle name="Calculation 56 3" xfId="6110"/>
    <cellStyle name="Calculation 56 4" xfId="6111"/>
    <cellStyle name="Calculation 56 5" xfId="6112"/>
    <cellStyle name="Calculation 56 6" xfId="6113"/>
    <cellStyle name="Calculation 56 7" xfId="6114"/>
    <cellStyle name="Calculation 56 8" xfId="6115"/>
    <cellStyle name="Calculation 56 9" xfId="6116"/>
    <cellStyle name="Calculation 57" xfId="1564"/>
    <cellStyle name="Calculation 57 10" xfId="6117"/>
    <cellStyle name="Calculation 57 11" xfId="6118"/>
    <cellStyle name="Calculation 57 12" xfId="6119"/>
    <cellStyle name="Calculation 57 13" xfId="6120"/>
    <cellStyle name="Calculation 57 14" xfId="6121"/>
    <cellStyle name="Calculation 57 15" xfId="6122"/>
    <cellStyle name="Calculation 57 16" xfId="6123"/>
    <cellStyle name="Calculation 57 17" xfId="6124"/>
    <cellStyle name="Calculation 57 18" xfId="6125"/>
    <cellStyle name="Calculation 57 19" xfId="6126"/>
    <cellStyle name="Calculation 57 2" xfId="6127"/>
    <cellStyle name="Calculation 57 20" xfId="6128"/>
    <cellStyle name="Calculation 57 21" xfId="6129"/>
    <cellStyle name="Calculation 57 3" xfId="6130"/>
    <cellStyle name="Calculation 57 4" xfId="6131"/>
    <cellStyle name="Calculation 57 5" xfId="6132"/>
    <cellStyle name="Calculation 57 6" xfId="6133"/>
    <cellStyle name="Calculation 57 7" xfId="6134"/>
    <cellStyle name="Calculation 57 8" xfId="6135"/>
    <cellStyle name="Calculation 57 9" xfId="6136"/>
    <cellStyle name="Calculation 58" xfId="1565"/>
    <cellStyle name="Calculation 58 10" xfId="6137"/>
    <cellStyle name="Calculation 58 11" xfId="6138"/>
    <cellStyle name="Calculation 58 12" xfId="6139"/>
    <cellStyle name="Calculation 58 13" xfId="6140"/>
    <cellStyle name="Calculation 58 14" xfId="6141"/>
    <cellStyle name="Calculation 58 15" xfId="6142"/>
    <cellStyle name="Calculation 58 16" xfId="6143"/>
    <cellStyle name="Calculation 58 17" xfId="6144"/>
    <cellStyle name="Calculation 58 18" xfId="6145"/>
    <cellStyle name="Calculation 58 19" xfId="6146"/>
    <cellStyle name="Calculation 58 2" xfId="6147"/>
    <cellStyle name="Calculation 58 20" xfId="6148"/>
    <cellStyle name="Calculation 58 21" xfId="6149"/>
    <cellStyle name="Calculation 58 3" xfId="6150"/>
    <cellStyle name="Calculation 58 4" xfId="6151"/>
    <cellStyle name="Calculation 58 5" xfId="6152"/>
    <cellStyle name="Calculation 58 6" xfId="6153"/>
    <cellStyle name="Calculation 58 7" xfId="6154"/>
    <cellStyle name="Calculation 58 8" xfId="6155"/>
    <cellStyle name="Calculation 58 9" xfId="6156"/>
    <cellStyle name="Calculation 59" xfId="1566"/>
    <cellStyle name="Calculation 59 10" xfId="6157"/>
    <cellStyle name="Calculation 59 11" xfId="6158"/>
    <cellStyle name="Calculation 59 12" xfId="6159"/>
    <cellStyle name="Calculation 59 13" xfId="6160"/>
    <cellStyle name="Calculation 59 14" xfId="6161"/>
    <cellStyle name="Calculation 59 15" xfId="6162"/>
    <cellStyle name="Calculation 59 16" xfId="6163"/>
    <cellStyle name="Calculation 59 17" xfId="6164"/>
    <cellStyle name="Calculation 59 18" xfId="6165"/>
    <cellStyle name="Calculation 59 19" xfId="6166"/>
    <cellStyle name="Calculation 59 2" xfId="6167"/>
    <cellStyle name="Calculation 59 20" xfId="6168"/>
    <cellStyle name="Calculation 59 21" xfId="6169"/>
    <cellStyle name="Calculation 59 3" xfId="6170"/>
    <cellStyle name="Calculation 59 4" xfId="6171"/>
    <cellStyle name="Calculation 59 5" xfId="6172"/>
    <cellStyle name="Calculation 59 6" xfId="6173"/>
    <cellStyle name="Calculation 59 7" xfId="6174"/>
    <cellStyle name="Calculation 59 8" xfId="6175"/>
    <cellStyle name="Calculation 59 9" xfId="6176"/>
    <cellStyle name="Calculation 6" xfId="1567"/>
    <cellStyle name="Calculation 6 10" xfId="6177"/>
    <cellStyle name="Calculation 6 11" xfId="6178"/>
    <cellStyle name="Calculation 6 12" xfId="6179"/>
    <cellStyle name="Calculation 6 13" xfId="6180"/>
    <cellStyle name="Calculation 6 14" xfId="6181"/>
    <cellStyle name="Calculation 6 15" xfId="6182"/>
    <cellStyle name="Calculation 6 16" xfId="6183"/>
    <cellStyle name="Calculation 6 17" xfId="6184"/>
    <cellStyle name="Calculation 6 18" xfId="6185"/>
    <cellStyle name="Calculation 6 19" xfId="6186"/>
    <cellStyle name="Calculation 6 2" xfId="6187"/>
    <cellStyle name="Calculation 6 20" xfId="6188"/>
    <cellStyle name="Calculation 6 21" xfId="6189"/>
    <cellStyle name="Calculation 6 3" xfId="6190"/>
    <cellStyle name="Calculation 6 4" xfId="6191"/>
    <cellStyle name="Calculation 6 5" xfId="6192"/>
    <cellStyle name="Calculation 6 6" xfId="6193"/>
    <cellStyle name="Calculation 6 7" xfId="6194"/>
    <cellStyle name="Calculation 6 8" xfId="6195"/>
    <cellStyle name="Calculation 6 9" xfId="6196"/>
    <cellStyle name="Calculation 60" xfId="6197"/>
    <cellStyle name="Calculation 61" xfId="6198"/>
    <cellStyle name="Calculation 62" xfId="6199"/>
    <cellStyle name="Calculation 63" xfId="6200"/>
    <cellStyle name="Calculation 64" xfId="6201"/>
    <cellStyle name="Calculation 65" xfId="6202"/>
    <cellStyle name="Calculation 66" xfId="6203"/>
    <cellStyle name="Calculation 67" xfId="6204"/>
    <cellStyle name="Calculation 68" xfId="6205"/>
    <cellStyle name="Calculation 69" xfId="6206"/>
    <cellStyle name="Calculation 7" xfId="1568"/>
    <cellStyle name="Calculation 7 10" xfId="6207"/>
    <cellStyle name="Calculation 7 11" xfId="6208"/>
    <cellStyle name="Calculation 7 12" xfId="6209"/>
    <cellStyle name="Calculation 7 13" xfId="6210"/>
    <cellStyle name="Calculation 7 14" xfId="6211"/>
    <cellStyle name="Calculation 7 15" xfId="6212"/>
    <cellStyle name="Calculation 7 16" xfId="6213"/>
    <cellStyle name="Calculation 7 17" xfId="6214"/>
    <cellStyle name="Calculation 7 18" xfId="6215"/>
    <cellStyle name="Calculation 7 19" xfId="6216"/>
    <cellStyle name="Calculation 7 2" xfId="6217"/>
    <cellStyle name="Calculation 7 20" xfId="6218"/>
    <cellStyle name="Calculation 7 21" xfId="6219"/>
    <cellStyle name="Calculation 7 3" xfId="6220"/>
    <cellStyle name="Calculation 7 4" xfId="6221"/>
    <cellStyle name="Calculation 7 5" xfId="6222"/>
    <cellStyle name="Calculation 7 6" xfId="6223"/>
    <cellStyle name="Calculation 7 7" xfId="6224"/>
    <cellStyle name="Calculation 7 8" xfId="6225"/>
    <cellStyle name="Calculation 7 9" xfId="6226"/>
    <cellStyle name="Calculation 70" xfId="6227"/>
    <cellStyle name="Calculation 71" xfId="6228"/>
    <cellStyle name="Calculation 72" xfId="6229"/>
    <cellStyle name="Calculation 73" xfId="6230"/>
    <cellStyle name="Calculation 74" xfId="6231"/>
    <cellStyle name="Calculation 75" xfId="6232"/>
    <cellStyle name="Calculation 76" xfId="6233"/>
    <cellStyle name="Calculation 77" xfId="6234"/>
    <cellStyle name="Calculation 78" xfId="6235"/>
    <cellStyle name="Calculation 79" xfId="6236"/>
    <cellStyle name="Calculation 8" xfId="1569"/>
    <cellStyle name="Calculation 8 10" xfId="6237"/>
    <cellStyle name="Calculation 8 11" xfId="6238"/>
    <cellStyle name="Calculation 8 12" xfId="6239"/>
    <cellStyle name="Calculation 8 13" xfId="6240"/>
    <cellStyle name="Calculation 8 14" xfId="6241"/>
    <cellStyle name="Calculation 8 15" xfId="6242"/>
    <cellStyle name="Calculation 8 16" xfId="6243"/>
    <cellStyle name="Calculation 8 17" xfId="6244"/>
    <cellStyle name="Calculation 8 18" xfId="6245"/>
    <cellStyle name="Calculation 8 19" xfId="6246"/>
    <cellStyle name="Calculation 8 2" xfId="6247"/>
    <cellStyle name="Calculation 8 20" xfId="6248"/>
    <cellStyle name="Calculation 8 21" xfId="6249"/>
    <cellStyle name="Calculation 8 3" xfId="6250"/>
    <cellStyle name="Calculation 8 4" xfId="6251"/>
    <cellStyle name="Calculation 8 5" xfId="6252"/>
    <cellStyle name="Calculation 8 6" xfId="6253"/>
    <cellStyle name="Calculation 8 7" xfId="6254"/>
    <cellStyle name="Calculation 8 8" xfId="6255"/>
    <cellStyle name="Calculation 8 9" xfId="6256"/>
    <cellStyle name="Calculation 9" xfId="1570"/>
    <cellStyle name="Calculation 9 10" xfId="6257"/>
    <cellStyle name="Calculation 9 11" xfId="6258"/>
    <cellStyle name="Calculation 9 12" xfId="6259"/>
    <cellStyle name="Calculation 9 13" xfId="6260"/>
    <cellStyle name="Calculation 9 14" xfId="6261"/>
    <cellStyle name="Calculation 9 15" xfId="6262"/>
    <cellStyle name="Calculation 9 16" xfId="6263"/>
    <cellStyle name="Calculation 9 17" xfId="6264"/>
    <cellStyle name="Calculation 9 18" xfId="6265"/>
    <cellStyle name="Calculation 9 19" xfId="6266"/>
    <cellStyle name="Calculation 9 2" xfId="6267"/>
    <cellStyle name="Calculation 9 20" xfId="6268"/>
    <cellStyle name="Calculation 9 21" xfId="6269"/>
    <cellStyle name="Calculation 9 3" xfId="6270"/>
    <cellStyle name="Calculation 9 4" xfId="6271"/>
    <cellStyle name="Calculation 9 5" xfId="6272"/>
    <cellStyle name="Calculation 9 6" xfId="6273"/>
    <cellStyle name="Calculation 9 7" xfId="6274"/>
    <cellStyle name="Calculation 9 8" xfId="6275"/>
    <cellStyle name="Calculation 9 9" xfId="6276"/>
    <cellStyle name="category" xfId="16747"/>
    <cellStyle name="Check Cell 10" xfId="1571"/>
    <cellStyle name="Check Cell 10 2" xfId="6277"/>
    <cellStyle name="Check Cell 11" xfId="1572"/>
    <cellStyle name="Check Cell 11 2" xfId="6278"/>
    <cellStyle name="Check Cell 12" xfId="1573"/>
    <cellStyle name="Check Cell 12 2" xfId="6279"/>
    <cellStyle name="Check Cell 13" xfId="1574"/>
    <cellStyle name="Check Cell 13 2" xfId="6280"/>
    <cellStyle name="Check Cell 14" xfId="1575"/>
    <cellStyle name="Check Cell 14 2" xfId="6281"/>
    <cellStyle name="Check Cell 15" xfId="1576"/>
    <cellStyle name="Check Cell 15 2" xfId="6282"/>
    <cellStyle name="Check Cell 16" xfId="1577"/>
    <cellStyle name="Check Cell 16 2" xfId="6283"/>
    <cellStyle name="Check Cell 17" xfId="1578"/>
    <cellStyle name="Check Cell 17 2" xfId="6284"/>
    <cellStyle name="Check Cell 18" xfId="1579"/>
    <cellStyle name="Check Cell 18 2" xfId="6285"/>
    <cellStyle name="Check Cell 19" xfId="1580"/>
    <cellStyle name="Check Cell 19 2" xfId="6286"/>
    <cellStyle name="Check Cell 2" xfId="1581"/>
    <cellStyle name="Check Cell 2 2" xfId="1582"/>
    <cellStyle name="Check Cell 2 2 2" xfId="6287"/>
    <cellStyle name="Check Cell 2 3" xfId="6288"/>
    <cellStyle name="Check Cell 20" xfId="1583"/>
    <cellStyle name="Check Cell 20 2" xfId="6289"/>
    <cellStyle name="Check Cell 21" xfId="1584"/>
    <cellStyle name="Check Cell 21 2" xfId="6290"/>
    <cellStyle name="Check Cell 22" xfId="1585"/>
    <cellStyle name="Check Cell 22 2" xfId="6291"/>
    <cellStyle name="Check Cell 23" xfId="1586"/>
    <cellStyle name="Check Cell 23 2" xfId="6292"/>
    <cellStyle name="Check Cell 24" xfId="1587"/>
    <cellStyle name="Check Cell 24 2" xfId="6293"/>
    <cellStyle name="Check Cell 25" xfId="1588"/>
    <cellStyle name="Check Cell 25 2" xfId="6294"/>
    <cellStyle name="Check Cell 26" xfId="1589"/>
    <cellStyle name="Check Cell 26 2" xfId="6295"/>
    <cellStyle name="Check Cell 27" xfId="1590"/>
    <cellStyle name="Check Cell 27 2" xfId="6296"/>
    <cellStyle name="Check Cell 28" xfId="1591"/>
    <cellStyle name="Check Cell 28 2" xfId="6297"/>
    <cellStyle name="Check Cell 29" xfId="1592"/>
    <cellStyle name="Check Cell 29 2" xfId="6298"/>
    <cellStyle name="Check Cell 3" xfId="1593"/>
    <cellStyle name="Check Cell 3 2" xfId="6299"/>
    <cellStyle name="Check Cell 30" xfId="1594"/>
    <cellStyle name="Check Cell 30 2" xfId="6300"/>
    <cellStyle name="Check Cell 31" xfId="1595"/>
    <cellStyle name="Check Cell 31 2" xfId="6301"/>
    <cellStyle name="Check Cell 32" xfId="1596"/>
    <cellStyle name="Check Cell 32 2" xfId="6302"/>
    <cellStyle name="Check Cell 33" xfId="1597"/>
    <cellStyle name="Check Cell 33 2" xfId="6303"/>
    <cellStyle name="Check Cell 34" xfId="1598"/>
    <cellStyle name="Check Cell 34 2" xfId="6304"/>
    <cellStyle name="Check Cell 35" xfId="1599"/>
    <cellStyle name="Check Cell 35 2" xfId="6305"/>
    <cellStyle name="Check Cell 36" xfId="1600"/>
    <cellStyle name="Check Cell 36 2" xfId="6306"/>
    <cellStyle name="Check Cell 37" xfId="1601"/>
    <cellStyle name="Check Cell 37 2" xfId="6307"/>
    <cellStyle name="Check Cell 38" xfId="1602"/>
    <cellStyle name="Check Cell 38 2" xfId="6308"/>
    <cellStyle name="Check Cell 39" xfId="1603"/>
    <cellStyle name="Check Cell 39 2" xfId="6309"/>
    <cellStyle name="Check Cell 4" xfId="1604"/>
    <cellStyle name="Check Cell 4 2" xfId="6310"/>
    <cellStyle name="Check Cell 40" xfId="1605"/>
    <cellStyle name="Check Cell 40 2" xfId="6311"/>
    <cellStyle name="Check Cell 41" xfId="1606"/>
    <cellStyle name="Check Cell 41 2" xfId="6312"/>
    <cellStyle name="Check Cell 42" xfId="1607"/>
    <cellStyle name="Check Cell 42 2" xfId="6313"/>
    <cellStyle name="Check Cell 43" xfId="1608"/>
    <cellStyle name="Check Cell 43 2" xfId="6314"/>
    <cellStyle name="Check Cell 44" xfId="1609"/>
    <cellStyle name="Check Cell 44 2" xfId="6315"/>
    <cellStyle name="Check Cell 45" xfId="1610"/>
    <cellStyle name="Check Cell 45 2" xfId="6316"/>
    <cellStyle name="Check Cell 46" xfId="1611"/>
    <cellStyle name="Check Cell 46 2" xfId="6317"/>
    <cellStyle name="Check Cell 47" xfId="1612"/>
    <cellStyle name="Check Cell 47 2" xfId="6318"/>
    <cellStyle name="Check Cell 48" xfId="1613"/>
    <cellStyle name="Check Cell 48 2" xfId="6319"/>
    <cellStyle name="Check Cell 49" xfId="1614"/>
    <cellStyle name="Check Cell 49 2" xfId="6320"/>
    <cellStyle name="Check Cell 5" xfId="1615"/>
    <cellStyle name="Check Cell 5 2" xfId="6321"/>
    <cellStyle name="Check Cell 50" xfId="1616"/>
    <cellStyle name="Check Cell 50 2" xfId="6322"/>
    <cellStyle name="Check Cell 51" xfId="1617"/>
    <cellStyle name="Check Cell 51 2" xfId="6323"/>
    <cellStyle name="Check Cell 52" xfId="1618"/>
    <cellStyle name="Check Cell 52 2" xfId="6324"/>
    <cellStyle name="Check Cell 53" xfId="1619"/>
    <cellStyle name="Check Cell 53 2" xfId="6325"/>
    <cellStyle name="Check Cell 54" xfId="1620"/>
    <cellStyle name="Check Cell 54 2" xfId="6326"/>
    <cellStyle name="Check Cell 55" xfId="1621"/>
    <cellStyle name="Check Cell 55 2" xfId="6327"/>
    <cellStyle name="Check Cell 56" xfId="1622"/>
    <cellStyle name="Check Cell 56 2" xfId="6328"/>
    <cellStyle name="Check Cell 57" xfId="1623"/>
    <cellStyle name="Check Cell 57 2" xfId="6329"/>
    <cellStyle name="Check Cell 58" xfId="1624"/>
    <cellStyle name="Check Cell 58 2" xfId="6330"/>
    <cellStyle name="Check Cell 59" xfId="1625"/>
    <cellStyle name="Check Cell 59 2" xfId="6331"/>
    <cellStyle name="Check Cell 6" xfId="1626"/>
    <cellStyle name="Check Cell 6 2" xfId="6332"/>
    <cellStyle name="Check Cell 60" xfId="6333"/>
    <cellStyle name="Check Cell 7" xfId="1627"/>
    <cellStyle name="Check Cell 7 2" xfId="6334"/>
    <cellStyle name="Check Cell 8" xfId="1628"/>
    <cellStyle name="Check Cell 8 2" xfId="6335"/>
    <cellStyle name="Check Cell 9" xfId="1629"/>
    <cellStyle name="Check Cell 9 2" xfId="6336"/>
    <cellStyle name="CHUONG" xfId="16758"/>
    <cellStyle name="Comma" xfId="31" builtinId="3"/>
    <cellStyle name="Comma [00]" xfId="16748"/>
    <cellStyle name="Comma 10" xfId="1630"/>
    <cellStyle name="Comma 10 2" xfId="3576"/>
    <cellStyle name="Comma 11" xfId="16663"/>
    <cellStyle name="Comma 12" xfId="16749"/>
    <cellStyle name="Comma 13" xfId="16661"/>
    <cellStyle name="Comma 14" xfId="16750"/>
    <cellStyle name="Comma 15" xfId="16662"/>
    <cellStyle name="Comma 15 2" xfId="16916"/>
    <cellStyle name="Comma 16" xfId="16917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65" xfId="16920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37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38"/>
    <cellStyle name="Comma 3 48" xfId="6339"/>
    <cellStyle name="Comma 3 49" xfId="6340"/>
    <cellStyle name="Comma 3 5" xfId="1806"/>
    <cellStyle name="Comma 3 5 2" xfId="6341"/>
    <cellStyle name="Comma 3 50" xfId="6342"/>
    <cellStyle name="Comma 3 51" xfId="6343"/>
    <cellStyle name="Comma 3 52" xfId="6344"/>
    <cellStyle name="Comma 3 53" xfId="6345"/>
    <cellStyle name="Comma 3 54" xfId="6346"/>
    <cellStyle name="Comma 3 55" xfId="6347"/>
    <cellStyle name="Comma 3 56" xfId="6348"/>
    <cellStyle name="Comma 3 57" xfId="6349"/>
    <cellStyle name="Comma 3 58" xfId="6350"/>
    <cellStyle name="Comma 3 59" xfId="6351"/>
    <cellStyle name="Comma 3 6" xfId="1807"/>
    <cellStyle name="Comma 3 60" xfId="6352"/>
    <cellStyle name="Comma 3 61" xfId="6353"/>
    <cellStyle name="Comma 3 62" xfId="6354"/>
    <cellStyle name="Comma 3 63" xfId="6355"/>
    <cellStyle name="Comma 3 64" xfId="6356"/>
    <cellStyle name="Comma 3 65" xfId="6357"/>
    <cellStyle name="Comma 3 66" xfId="6358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59"/>
    <cellStyle name="Comma 5 11" xfId="6360"/>
    <cellStyle name="Comma 5 12" xfId="6361"/>
    <cellStyle name="Comma 5 13" xfId="6362"/>
    <cellStyle name="Comma 5 14" xfId="6363"/>
    <cellStyle name="Comma 5 15" xfId="6364"/>
    <cellStyle name="Comma 5 16" xfId="6365"/>
    <cellStyle name="Comma 5 17" xfId="6366"/>
    <cellStyle name="Comma 5 18" xfId="6367"/>
    <cellStyle name="Comma 5 19" xfId="6368"/>
    <cellStyle name="Comma 5 2" xfId="1814"/>
    <cellStyle name="Comma 5 2 2" xfId="16751"/>
    <cellStyle name="Comma 5 20" xfId="6369"/>
    <cellStyle name="Comma 5 21" xfId="6370"/>
    <cellStyle name="Comma 5 22" xfId="6371"/>
    <cellStyle name="Comma 5 23" xfId="6372"/>
    <cellStyle name="Comma 5 3" xfId="1815"/>
    <cellStyle name="Comma 5 4" xfId="6373"/>
    <cellStyle name="Comma 5 4 10" xfId="6374"/>
    <cellStyle name="Comma 5 4 11" xfId="6375"/>
    <cellStyle name="Comma 5 4 12" xfId="6376"/>
    <cellStyle name="Comma 5 4 13" xfId="6377"/>
    <cellStyle name="Comma 5 4 14" xfId="6378"/>
    <cellStyle name="Comma 5 4 15" xfId="6379"/>
    <cellStyle name="Comma 5 4 16" xfId="6380"/>
    <cellStyle name="Comma 5 4 17" xfId="6381"/>
    <cellStyle name="Comma 5 4 18" xfId="6382"/>
    <cellStyle name="Comma 5 4 19" xfId="6383"/>
    <cellStyle name="Comma 5 4 2" xfId="6384"/>
    <cellStyle name="Comma 5 4 2 10" xfId="6385"/>
    <cellStyle name="Comma 5 4 2 11" xfId="6386"/>
    <cellStyle name="Comma 5 4 2 12" xfId="6387"/>
    <cellStyle name="Comma 5 4 2 13" xfId="6388"/>
    <cellStyle name="Comma 5 4 2 14" xfId="6389"/>
    <cellStyle name="Comma 5 4 2 15" xfId="6390"/>
    <cellStyle name="Comma 5 4 2 16" xfId="6391"/>
    <cellStyle name="Comma 5 4 2 17" xfId="6392"/>
    <cellStyle name="Comma 5 4 2 18" xfId="6393"/>
    <cellStyle name="Comma 5 4 2 19" xfId="6394"/>
    <cellStyle name="Comma 5 4 2 2" xfId="6395"/>
    <cellStyle name="Comma 5 4 2 3" xfId="6396"/>
    <cellStyle name="Comma 5 4 2 4" xfId="6397"/>
    <cellStyle name="Comma 5 4 2 5" xfId="6398"/>
    <cellStyle name="Comma 5 4 2 6" xfId="6399"/>
    <cellStyle name="Comma 5 4 2 7" xfId="6400"/>
    <cellStyle name="Comma 5 4 2 8" xfId="6401"/>
    <cellStyle name="Comma 5 4 2 9" xfId="6402"/>
    <cellStyle name="Comma 5 4 20" xfId="6403"/>
    <cellStyle name="Comma 5 4 3" xfId="6404"/>
    <cellStyle name="Comma 5 4 4" xfId="6405"/>
    <cellStyle name="Comma 5 4 5" xfId="6406"/>
    <cellStyle name="Comma 5 4 6" xfId="6407"/>
    <cellStyle name="Comma 5 4 7" xfId="6408"/>
    <cellStyle name="Comma 5 4 8" xfId="6409"/>
    <cellStyle name="Comma 5 4 9" xfId="6410"/>
    <cellStyle name="Comma 5 5" xfId="6411"/>
    <cellStyle name="Comma 5 5 10" xfId="6412"/>
    <cellStyle name="Comma 5 5 11" xfId="6413"/>
    <cellStyle name="Comma 5 5 12" xfId="6414"/>
    <cellStyle name="Comma 5 5 13" xfId="6415"/>
    <cellStyle name="Comma 5 5 14" xfId="6416"/>
    <cellStyle name="Comma 5 5 15" xfId="6417"/>
    <cellStyle name="Comma 5 5 16" xfId="6418"/>
    <cellStyle name="Comma 5 5 17" xfId="6419"/>
    <cellStyle name="Comma 5 5 18" xfId="6420"/>
    <cellStyle name="Comma 5 5 19" xfId="6421"/>
    <cellStyle name="Comma 5 5 2" xfId="6422"/>
    <cellStyle name="Comma 5 5 3" xfId="6423"/>
    <cellStyle name="Comma 5 5 4" xfId="6424"/>
    <cellStyle name="Comma 5 5 5" xfId="6425"/>
    <cellStyle name="Comma 5 5 6" xfId="6426"/>
    <cellStyle name="Comma 5 5 7" xfId="6427"/>
    <cellStyle name="Comma 5 5 8" xfId="6428"/>
    <cellStyle name="Comma 5 5 9" xfId="6429"/>
    <cellStyle name="Comma 5 6" xfId="6430"/>
    <cellStyle name="Comma 5 7" xfId="6431"/>
    <cellStyle name="Comma 5 8" xfId="6432"/>
    <cellStyle name="Comma 5 9" xfId="6433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34"/>
    <cellStyle name="Comma 9 11" xfId="6435"/>
    <cellStyle name="Comma 9 12" xfId="6436"/>
    <cellStyle name="Comma 9 13" xfId="6437"/>
    <cellStyle name="Comma 9 14" xfId="6438"/>
    <cellStyle name="Comma 9 15" xfId="6439"/>
    <cellStyle name="Comma 9 16" xfId="6440"/>
    <cellStyle name="Comma 9 17" xfId="6441"/>
    <cellStyle name="Comma 9 18" xfId="6442"/>
    <cellStyle name="Comma 9 19" xfId="6443"/>
    <cellStyle name="Comma 9 2" xfId="6444"/>
    <cellStyle name="Comma 9 2 10" xfId="6445"/>
    <cellStyle name="Comma 9 2 11" xfId="6446"/>
    <cellStyle name="Comma 9 2 12" xfId="6447"/>
    <cellStyle name="Comma 9 2 13" xfId="6448"/>
    <cellStyle name="Comma 9 2 14" xfId="6449"/>
    <cellStyle name="Comma 9 2 15" xfId="6450"/>
    <cellStyle name="Comma 9 2 16" xfId="6451"/>
    <cellStyle name="Comma 9 2 17" xfId="6452"/>
    <cellStyle name="Comma 9 2 18" xfId="6453"/>
    <cellStyle name="Comma 9 2 19" xfId="6454"/>
    <cellStyle name="Comma 9 2 2" xfId="6455"/>
    <cellStyle name="Comma 9 2 2 10" xfId="6456"/>
    <cellStyle name="Comma 9 2 2 11" xfId="6457"/>
    <cellStyle name="Comma 9 2 2 12" xfId="6458"/>
    <cellStyle name="Comma 9 2 2 13" xfId="6459"/>
    <cellStyle name="Comma 9 2 2 14" xfId="6460"/>
    <cellStyle name="Comma 9 2 2 15" xfId="6461"/>
    <cellStyle name="Comma 9 2 2 16" xfId="6462"/>
    <cellStyle name="Comma 9 2 2 17" xfId="6463"/>
    <cellStyle name="Comma 9 2 2 18" xfId="6464"/>
    <cellStyle name="Comma 9 2 2 19" xfId="6465"/>
    <cellStyle name="Comma 9 2 2 2" xfId="6466"/>
    <cellStyle name="Comma 9 2 2 3" xfId="6467"/>
    <cellStyle name="Comma 9 2 2 4" xfId="6468"/>
    <cellStyle name="Comma 9 2 2 5" xfId="6469"/>
    <cellStyle name="Comma 9 2 2 6" xfId="6470"/>
    <cellStyle name="Comma 9 2 2 7" xfId="6471"/>
    <cellStyle name="Comma 9 2 2 8" xfId="6472"/>
    <cellStyle name="Comma 9 2 2 9" xfId="6473"/>
    <cellStyle name="Comma 9 2 20" xfId="6474"/>
    <cellStyle name="Comma 9 2 3" xfId="6475"/>
    <cellStyle name="Comma 9 2 4" xfId="6476"/>
    <cellStyle name="Comma 9 2 5" xfId="6477"/>
    <cellStyle name="Comma 9 2 6" xfId="6478"/>
    <cellStyle name="Comma 9 2 7" xfId="6479"/>
    <cellStyle name="Comma 9 2 8" xfId="6480"/>
    <cellStyle name="Comma 9 2 9" xfId="6481"/>
    <cellStyle name="Comma 9 20" xfId="6482"/>
    <cellStyle name="Comma 9 21" xfId="6483"/>
    <cellStyle name="Comma 9 3" xfId="6484"/>
    <cellStyle name="Comma 9 3 10" xfId="6485"/>
    <cellStyle name="Comma 9 3 11" xfId="6486"/>
    <cellStyle name="Comma 9 3 12" xfId="6487"/>
    <cellStyle name="Comma 9 3 13" xfId="6488"/>
    <cellStyle name="Comma 9 3 14" xfId="6489"/>
    <cellStyle name="Comma 9 3 15" xfId="6490"/>
    <cellStyle name="Comma 9 3 16" xfId="6491"/>
    <cellStyle name="Comma 9 3 17" xfId="6492"/>
    <cellStyle name="Comma 9 3 18" xfId="6493"/>
    <cellStyle name="Comma 9 3 19" xfId="6494"/>
    <cellStyle name="Comma 9 3 2" xfId="6495"/>
    <cellStyle name="Comma 9 3 3" xfId="6496"/>
    <cellStyle name="Comma 9 3 4" xfId="6497"/>
    <cellStyle name="Comma 9 3 5" xfId="6498"/>
    <cellStyle name="Comma 9 3 6" xfId="6499"/>
    <cellStyle name="Comma 9 3 7" xfId="6500"/>
    <cellStyle name="Comma 9 3 8" xfId="6501"/>
    <cellStyle name="Comma 9 3 9" xfId="6502"/>
    <cellStyle name="Comma 9 4" xfId="6503"/>
    <cellStyle name="Comma 9 5" xfId="6504"/>
    <cellStyle name="Comma 9 6" xfId="6505"/>
    <cellStyle name="Comma 9 7" xfId="6506"/>
    <cellStyle name="Comma 9 8" xfId="6507"/>
    <cellStyle name="Comma 9 9" xfId="6508"/>
    <cellStyle name="comma zerodec" xfId="16752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09"/>
    <cellStyle name="Comma0 105" xfId="6510"/>
    <cellStyle name="Comma0 106" xfId="6511"/>
    <cellStyle name="Comma0 107" xfId="6512"/>
    <cellStyle name="Comma0 108" xfId="6513"/>
    <cellStyle name="Comma0 109" xfId="6514"/>
    <cellStyle name="Comma0 11" xfId="1830"/>
    <cellStyle name="Comma0 110" xfId="6515"/>
    <cellStyle name="Comma0 111" xfId="6516"/>
    <cellStyle name="Comma0 112" xfId="6517"/>
    <cellStyle name="Comma0 113" xfId="6518"/>
    <cellStyle name="Comma0 114" xfId="6519"/>
    <cellStyle name="Comma0 115" xfId="6520"/>
    <cellStyle name="Comma0 116" xfId="6521"/>
    <cellStyle name="Comma0 117" xfId="6522"/>
    <cellStyle name="Comma0 118" xfId="6523"/>
    <cellStyle name="Comma0 119" xfId="6524"/>
    <cellStyle name="Comma0 12" xfId="1831"/>
    <cellStyle name="Comma0 120" xfId="6525"/>
    <cellStyle name="Comma0 121" xfId="6526"/>
    <cellStyle name="Comma0 122" xfId="6527"/>
    <cellStyle name="Comma0 123" xfId="6528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opied" xfId="16753"/>
    <cellStyle name="COST1" xfId="16754"/>
    <cellStyle name="Currency [00]" xfId="16755"/>
    <cellStyle name="Currency 2" xfId="1675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29"/>
    <cellStyle name="Currency0 105" xfId="6530"/>
    <cellStyle name="Currency0 106" xfId="6531"/>
    <cellStyle name="Currency0 107" xfId="6532"/>
    <cellStyle name="Currency0 108" xfId="6533"/>
    <cellStyle name="Currency0 109" xfId="6534"/>
    <cellStyle name="Currency0 11" xfId="1933"/>
    <cellStyle name="Currency0 110" xfId="6535"/>
    <cellStyle name="Currency0 111" xfId="6536"/>
    <cellStyle name="Currency0 112" xfId="6537"/>
    <cellStyle name="Currency0 113" xfId="6538"/>
    <cellStyle name="Currency0 114" xfId="6539"/>
    <cellStyle name="Currency0 115" xfId="6540"/>
    <cellStyle name="Currency0 116" xfId="6541"/>
    <cellStyle name="Currency0 117" xfId="6542"/>
    <cellStyle name="Currency0 118" xfId="6543"/>
    <cellStyle name="Currency0 119" xfId="6544"/>
    <cellStyle name="Currency0 12" xfId="1934"/>
    <cellStyle name="Currency0 120" xfId="6545"/>
    <cellStyle name="Currency0 121" xfId="6546"/>
    <cellStyle name="Currency0 122" xfId="6547"/>
    <cellStyle name="Currency0 123" xfId="6548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rrency1" xfId="16757"/>
    <cellStyle name="Custom - Style8" xfId="2030"/>
    <cellStyle name="Custom - Style8 2" xfId="6549"/>
    <cellStyle name="Date" xfId="2031"/>
    <cellStyle name="Date 10" xfId="2032"/>
    <cellStyle name="Date 10 2" xfId="6550"/>
    <cellStyle name="Date 100" xfId="2033"/>
    <cellStyle name="Date 100 2" xfId="6551"/>
    <cellStyle name="Date 101" xfId="2034"/>
    <cellStyle name="Date 101 2" xfId="6552"/>
    <cellStyle name="Date 102" xfId="2035"/>
    <cellStyle name="Date 102 2" xfId="6553"/>
    <cellStyle name="Date 103" xfId="2036"/>
    <cellStyle name="Date 103 2" xfId="6554"/>
    <cellStyle name="Date 104" xfId="6555"/>
    <cellStyle name="Date 105" xfId="6556"/>
    <cellStyle name="Date 106" xfId="6557"/>
    <cellStyle name="Date 107" xfId="6558"/>
    <cellStyle name="Date 108" xfId="6559"/>
    <cellStyle name="Date 109" xfId="6560"/>
    <cellStyle name="Date 11" xfId="2037"/>
    <cellStyle name="Date 11 2" xfId="6561"/>
    <cellStyle name="Date 110" xfId="6562"/>
    <cellStyle name="Date 111" xfId="6563"/>
    <cellStyle name="Date 112" xfId="6564"/>
    <cellStyle name="Date 113" xfId="6565"/>
    <cellStyle name="Date 114" xfId="6566"/>
    <cellStyle name="Date 115" xfId="6567"/>
    <cellStyle name="Date 116" xfId="6568"/>
    <cellStyle name="Date 117" xfId="6569"/>
    <cellStyle name="Date 118" xfId="6570"/>
    <cellStyle name="Date 119" xfId="6571"/>
    <cellStyle name="Date 12" xfId="2038"/>
    <cellStyle name="Date 12 2" xfId="6572"/>
    <cellStyle name="Date 120" xfId="6573"/>
    <cellStyle name="Date 121" xfId="6574"/>
    <cellStyle name="Date 122" xfId="6575"/>
    <cellStyle name="Date 123" xfId="6576"/>
    <cellStyle name="Date 13" xfId="2039"/>
    <cellStyle name="Date 13 2" xfId="6577"/>
    <cellStyle name="Date 14" xfId="2040"/>
    <cellStyle name="Date 14 2" xfId="6578"/>
    <cellStyle name="Date 15" xfId="2041"/>
    <cellStyle name="Date 15 2" xfId="6579"/>
    <cellStyle name="Date 16" xfId="2042"/>
    <cellStyle name="Date 16 2" xfId="6580"/>
    <cellStyle name="Date 17" xfId="2043"/>
    <cellStyle name="Date 17 2" xfId="6581"/>
    <cellStyle name="Date 18" xfId="2044"/>
    <cellStyle name="Date 18 2" xfId="6582"/>
    <cellStyle name="Date 19" xfId="2045"/>
    <cellStyle name="Date 19 2" xfId="6583"/>
    <cellStyle name="Date 2" xfId="2046"/>
    <cellStyle name="Date 2 2" xfId="6584"/>
    <cellStyle name="Date 20" xfId="2047"/>
    <cellStyle name="Date 20 2" xfId="6585"/>
    <cellStyle name="Date 21" xfId="2048"/>
    <cellStyle name="Date 21 2" xfId="6586"/>
    <cellStyle name="Date 22" xfId="2049"/>
    <cellStyle name="Date 22 2" xfId="6587"/>
    <cellStyle name="Date 23" xfId="2050"/>
    <cellStyle name="Date 23 2" xfId="6588"/>
    <cellStyle name="Date 24" xfId="2051"/>
    <cellStyle name="Date 24 2" xfId="6589"/>
    <cellStyle name="Date 25" xfId="2052"/>
    <cellStyle name="Date 25 2" xfId="6590"/>
    <cellStyle name="Date 26" xfId="2053"/>
    <cellStyle name="Date 26 2" xfId="6591"/>
    <cellStyle name="Date 27" xfId="2054"/>
    <cellStyle name="Date 27 2" xfId="6592"/>
    <cellStyle name="Date 28" xfId="2055"/>
    <cellStyle name="Date 28 2" xfId="6593"/>
    <cellStyle name="Date 29" xfId="2056"/>
    <cellStyle name="Date 29 2" xfId="6594"/>
    <cellStyle name="Date 3" xfId="2057"/>
    <cellStyle name="Date 3 2" xfId="6595"/>
    <cellStyle name="Date 30" xfId="2058"/>
    <cellStyle name="Date 30 2" xfId="6596"/>
    <cellStyle name="Date 31" xfId="2059"/>
    <cellStyle name="Date 31 2" xfId="6597"/>
    <cellStyle name="Date 32" xfId="2060"/>
    <cellStyle name="Date 32 2" xfId="6598"/>
    <cellStyle name="Date 33" xfId="2061"/>
    <cellStyle name="Date 33 2" xfId="6599"/>
    <cellStyle name="Date 34" xfId="2062"/>
    <cellStyle name="Date 34 2" xfId="6600"/>
    <cellStyle name="Date 35" xfId="2063"/>
    <cellStyle name="Date 35 2" xfId="6601"/>
    <cellStyle name="Date 36" xfId="2064"/>
    <cellStyle name="Date 36 2" xfId="6602"/>
    <cellStyle name="Date 37" xfId="2065"/>
    <cellStyle name="Date 37 2" xfId="6603"/>
    <cellStyle name="Date 38" xfId="2066"/>
    <cellStyle name="Date 38 2" xfId="6604"/>
    <cellStyle name="Date 39" xfId="2067"/>
    <cellStyle name="Date 39 2" xfId="6605"/>
    <cellStyle name="Date 4" xfId="2068"/>
    <cellStyle name="Date 4 2" xfId="6606"/>
    <cellStyle name="Date 40" xfId="2069"/>
    <cellStyle name="Date 40 2" xfId="6607"/>
    <cellStyle name="Date 41" xfId="2070"/>
    <cellStyle name="Date 41 2" xfId="6608"/>
    <cellStyle name="Date 42" xfId="2071"/>
    <cellStyle name="Date 42 2" xfId="6609"/>
    <cellStyle name="Date 43" xfId="2072"/>
    <cellStyle name="Date 43 2" xfId="6610"/>
    <cellStyle name="Date 44" xfId="2073"/>
    <cellStyle name="Date 44 2" xfId="6611"/>
    <cellStyle name="Date 45" xfId="2074"/>
    <cellStyle name="Date 45 2" xfId="6612"/>
    <cellStyle name="Date 46" xfId="2075"/>
    <cellStyle name="Date 46 2" xfId="6613"/>
    <cellStyle name="Date 47" xfId="2076"/>
    <cellStyle name="Date 47 2" xfId="6614"/>
    <cellStyle name="Date 48" xfId="2077"/>
    <cellStyle name="Date 48 2" xfId="6615"/>
    <cellStyle name="Date 49" xfId="2078"/>
    <cellStyle name="Date 49 2" xfId="6616"/>
    <cellStyle name="Date 5" xfId="2079"/>
    <cellStyle name="Date 5 2" xfId="6617"/>
    <cellStyle name="Date 50" xfId="2080"/>
    <cellStyle name="Date 50 2" xfId="6618"/>
    <cellStyle name="Date 51" xfId="2081"/>
    <cellStyle name="Date 51 2" xfId="6619"/>
    <cellStyle name="Date 52" xfId="2082"/>
    <cellStyle name="Date 52 2" xfId="6620"/>
    <cellStyle name="Date 53" xfId="2083"/>
    <cellStyle name="Date 53 2" xfId="6621"/>
    <cellStyle name="Date 54" xfId="2084"/>
    <cellStyle name="Date 54 2" xfId="6622"/>
    <cellStyle name="Date 55" xfId="2085"/>
    <cellStyle name="Date 55 2" xfId="6623"/>
    <cellStyle name="Date 56" xfId="2086"/>
    <cellStyle name="Date 56 2" xfId="6624"/>
    <cellStyle name="Date 57" xfId="2087"/>
    <cellStyle name="Date 57 2" xfId="6625"/>
    <cellStyle name="Date 58" xfId="2088"/>
    <cellStyle name="Date 58 2" xfId="6626"/>
    <cellStyle name="Date 59" xfId="2089"/>
    <cellStyle name="Date 59 2" xfId="6627"/>
    <cellStyle name="Date 6" xfId="2090"/>
    <cellStyle name="Date 6 2" xfId="6628"/>
    <cellStyle name="Date 60" xfId="2091"/>
    <cellStyle name="Date 60 2" xfId="6629"/>
    <cellStyle name="Date 61" xfId="2092"/>
    <cellStyle name="Date 61 2" xfId="6630"/>
    <cellStyle name="Date 62" xfId="2093"/>
    <cellStyle name="Date 62 2" xfId="6631"/>
    <cellStyle name="Date 63" xfId="2094"/>
    <cellStyle name="Date 63 2" xfId="6632"/>
    <cellStyle name="Date 64" xfId="2095"/>
    <cellStyle name="Date 64 2" xfId="6633"/>
    <cellStyle name="Date 65" xfId="2096"/>
    <cellStyle name="Date 65 2" xfId="6634"/>
    <cellStyle name="Date 66" xfId="2097"/>
    <cellStyle name="Date 66 2" xfId="6635"/>
    <cellStyle name="Date 67" xfId="2098"/>
    <cellStyle name="Date 67 2" xfId="6636"/>
    <cellStyle name="Date 68" xfId="2099"/>
    <cellStyle name="Date 68 2" xfId="6637"/>
    <cellStyle name="Date 69" xfId="2100"/>
    <cellStyle name="Date 69 2" xfId="6638"/>
    <cellStyle name="Date 7" xfId="2101"/>
    <cellStyle name="Date 7 2" xfId="6639"/>
    <cellStyle name="Date 70" xfId="2102"/>
    <cellStyle name="Date 70 2" xfId="6640"/>
    <cellStyle name="Date 71" xfId="2103"/>
    <cellStyle name="Date 71 2" xfId="6641"/>
    <cellStyle name="Date 72" xfId="2104"/>
    <cellStyle name="Date 72 2" xfId="6642"/>
    <cellStyle name="Date 73" xfId="2105"/>
    <cellStyle name="Date 73 2" xfId="6643"/>
    <cellStyle name="Date 74" xfId="2106"/>
    <cellStyle name="Date 74 2" xfId="6644"/>
    <cellStyle name="Date 75" xfId="2107"/>
    <cellStyle name="Date 75 2" xfId="6645"/>
    <cellStyle name="Date 76" xfId="2108"/>
    <cellStyle name="Date 76 2" xfId="6646"/>
    <cellStyle name="Date 77" xfId="2109"/>
    <cellStyle name="Date 77 2" xfId="6647"/>
    <cellStyle name="Date 78" xfId="2110"/>
    <cellStyle name="Date 78 2" xfId="6648"/>
    <cellStyle name="Date 79" xfId="2111"/>
    <cellStyle name="Date 79 2" xfId="6649"/>
    <cellStyle name="Date 8" xfId="2112"/>
    <cellStyle name="Date 8 2" xfId="6650"/>
    <cellStyle name="Date 80" xfId="2113"/>
    <cellStyle name="Date 80 2" xfId="6651"/>
    <cellStyle name="Date 81" xfId="2114"/>
    <cellStyle name="Date 81 2" xfId="6652"/>
    <cellStyle name="Date 82" xfId="2115"/>
    <cellStyle name="Date 82 2" xfId="6653"/>
    <cellStyle name="Date 83" xfId="2116"/>
    <cellStyle name="Date 83 2" xfId="6654"/>
    <cellStyle name="Date 84" xfId="2117"/>
    <cellStyle name="Date 84 2" xfId="6655"/>
    <cellStyle name="Date 85" xfId="2118"/>
    <cellStyle name="Date 85 2" xfId="6656"/>
    <cellStyle name="Date 86" xfId="2119"/>
    <cellStyle name="Date 86 2" xfId="6657"/>
    <cellStyle name="Date 87" xfId="2120"/>
    <cellStyle name="Date 87 2" xfId="6658"/>
    <cellStyle name="Date 88" xfId="2121"/>
    <cellStyle name="Date 88 2" xfId="6659"/>
    <cellStyle name="Date 89" xfId="2122"/>
    <cellStyle name="Date 89 2" xfId="6660"/>
    <cellStyle name="Date 9" xfId="2123"/>
    <cellStyle name="Date 9 2" xfId="6661"/>
    <cellStyle name="Date 90" xfId="2124"/>
    <cellStyle name="Date 90 2" xfId="6662"/>
    <cellStyle name="Date 91" xfId="2125"/>
    <cellStyle name="Date 91 2" xfId="6663"/>
    <cellStyle name="Date 92" xfId="2126"/>
    <cellStyle name="Date 92 2" xfId="6664"/>
    <cellStyle name="Date 93" xfId="2127"/>
    <cellStyle name="Date 93 2" xfId="6665"/>
    <cellStyle name="Date 94" xfId="2128"/>
    <cellStyle name="Date 94 2" xfId="6666"/>
    <cellStyle name="Date 95" xfId="2129"/>
    <cellStyle name="Date 95 2" xfId="6667"/>
    <cellStyle name="Date 96" xfId="2130"/>
    <cellStyle name="Date 96 2" xfId="6668"/>
    <cellStyle name="Date 97" xfId="2131"/>
    <cellStyle name="Date 97 2" xfId="6669"/>
    <cellStyle name="Date 98" xfId="2132"/>
    <cellStyle name="Date 98 2" xfId="6670"/>
    <cellStyle name="Date 99" xfId="2133"/>
    <cellStyle name="Date 99 2" xfId="6671"/>
    <cellStyle name="Date Short" xfId="16759"/>
    <cellStyle name="Date_DANH SACH TRAINING" xfId="16760"/>
    <cellStyle name="DELTA" xfId="16761"/>
    <cellStyle name="Dezimal [0]_68574_Materialbedarfsliste" xfId="16762"/>
    <cellStyle name="Dezimal_68574_Materialbedarfsliste" xfId="16763"/>
    <cellStyle name="Dollar (zero dec)" xfId="16764"/>
    <cellStyle name="EN CO.," xfId="16765"/>
    <cellStyle name="Enter Currency (0)" xfId="16766"/>
    <cellStyle name="Enter Currency (2)" xfId="16767"/>
    <cellStyle name="Enter Units (0)" xfId="16768"/>
    <cellStyle name="Enter Units (1)" xfId="16769"/>
    <cellStyle name="Enter Units (2)" xfId="16770"/>
    <cellStyle name="Entered" xfId="16771"/>
    <cellStyle name="Euro" xfId="16772"/>
    <cellStyle name="Excel Built-in Normal" xfId="2134"/>
    <cellStyle name="Explanatory Text 10" xfId="2135"/>
    <cellStyle name="Explanatory Text 10 2" xfId="6672"/>
    <cellStyle name="Explanatory Text 11" xfId="2136"/>
    <cellStyle name="Explanatory Text 11 2" xfId="6673"/>
    <cellStyle name="Explanatory Text 12" xfId="2137"/>
    <cellStyle name="Explanatory Text 12 2" xfId="6674"/>
    <cellStyle name="Explanatory Text 13" xfId="2138"/>
    <cellStyle name="Explanatory Text 13 2" xfId="6675"/>
    <cellStyle name="Explanatory Text 14" xfId="2139"/>
    <cellStyle name="Explanatory Text 14 2" xfId="6676"/>
    <cellStyle name="Explanatory Text 15" xfId="2140"/>
    <cellStyle name="Explanatory Text 15 2" xfId="6677"/>
    <cellStyle name="Explanatory Text 16" xfId="2141"/>
    <cellStyle name="Explanatory Text 16 2" xfId="6678"/>
    <cellStyle name="Explanatory Text 17" xfId="2142"/>
    <cellStyle name="Explanatory Text 17 2" xfId="6679"/>
    <cellStyle name="Explanatory Text 18" xfId="2143"/>
    <cellStyle name="Explanatory Text 18 2" xfId="6680"/>
    <cellStyle name="Explanatory Text 19" xfId="2144"/>
    <cellStyle name="Explanatory Text 19 2" xfId="6681"/>
    <cellStyle name="Explanatory Text 2" xfId="2145"/>
    <cellStyle name="Explanatory Text 2 2" xfId="2146"/>
    <cellStyle name="Explanatory Text 2 2 2" xfId="6682"/>
    <cellStyle name="Explanatory Text 2 3" xfId="6683"/>
    <cellStyle name="Explanatory Text 20" xfId="2147"/>
    <cellStyle name="Explanatory Text 20 2" xfId="6684"/>
    <cellStyle name="Explanatory Text 21" xfId="2148"/>
    <cellStyle name="Explanatory Text 21 2" xfId="6685"/>
    <cellStyle name="Explanatory Text 22" xfId="2149"/>
    <cellStyle name="Explanatory Text 22 2" xfId="6686"/>
    <cellStyle name="Explanatory Text 23" xfId="2150"/>
    <cellStyle name="Explanatory Text 23 2" xfId="6687"/>
    <cellStyle name="Explanatory Text 24" xfId="2151"/>
    <cellStyle name="Explanatory Text 24 2" xfId="6688"/>
    <cellStyle name="Explanatory Text 25" xfId="2152"/>
    <cellStyle name="Explanatory Text 25 2" xfId="6689"/>
    <cellStyle name="Explanatory Text 26" xfId="2153"/>
    <cellStyle name="Explanatory Text 26 2" xfId="6690"/>
    <cellStyle name="Explanatory Text 27" xfId="2154"/>
    <cellStyle name="Explanatory Text 27 2" xfId="6691"/>
    <cellStyle name="Explanatory Text 28" xfId="2155"/>
    <cellStyle name="Explanatory Text 28 2" xfId="6692"/>
    <cellStyle name="Explanatory Text 29" xfId="2156"/>
    <cellStyle name="Explanatory Text 29 2" xfId="6693"/>
    <cellStyle name="Explanatory Text 3" xfId="2157"/>
    <cellStyle name="Explanatory Text 3 2" xfId="6694"/>
    <cellStyle name="Explanatory Text 30" xfId="2158"/>
    <cellStyle name="Explanatory Text 30 2" xfId="6695"/>
    <cellStyle name="Explanatory Text 31" xfId="2159"/>
    <cellStyle name="Explanatory Text 31 2" xfId="6696"/>
    <cellStyle name="Explanatory Text 32" xfId="2160"/>
    <cellStyle name="Explanatory Text 32 2" xfId="6697"/>
    <cellStyle name="Explanatory Text 33" xfId="2161"/>
    <cellStyle name="Explanatory Text 33 2" xfId="6698"/>
    <cellStyle name="Explanatory Text 34" xfId="2162"/>
    <cellStyle name="Explanatory Text 34 2" xfId="6699"/>
    <cellStyle name="Explanatory Text 35" xfId="2163"/>
    <cellStyle name="Explanatory Text 35 2" xfId="6700"/>
    <cellStyle name="Explanatory Text 36" xfId="2164"/>
    <cellStyle name="Explanatory Text 36 2" xfId="6701"/>
    <cellStyle name="Explanatory Text 37" xfId="2165"/>
    <cellStyle name="Explanatory Text 37 2" xfId="6702"/>
    <cellStyle name="Explanatory Text 38" xfId="2166"/>
    <cellStyle name="Explanatory Text 38 2" xfId="6703"/>
    <cellStyle name="Explanatory Text 39" xfId="2167"/>
    <cellStyle name="Explanatory Text 39 2" xfId="6704"/>
    <cellStyle name="Explanatory Text 4" xfId="2168"/>
    <cellStyle name="Explanatory Text 4 2" xfId="6705"/>
    <cellStyle name="Explanatory Text 40" xfId="2169"/>
    <cellStyle name="Explanatory Text 40 2" xfId="6706"/>
    <cellStyle name="Explanatory Text 41" xfId="2170"/>
    <cellStyle name="Explanatory Text 41 2" xfId="6707"/>
    <cellStyle name="Explanatory Text 42" xfId="2171"/>
    <cellStyle name="Explanatory Text 42 2" xfId="6708"/>
    <cellStyle name="Explanatory Text 43" xfId="2172"/>
    <cellStyle name="Explanatory Text 43 2" xfId="6709"/>
    <cellStyle name="Explanatory Text 44" xfId="2173"/>
    <cellStyle name="Explanatory Text 44 2" xfId="6710"/>
    <cellStyle name="Explanatory Text 45" xfId="2174"/>
    <cellStyle name="Explanatory Text 45 2" xfId="6711"/>
    <cellStyle name="Explanatory Text 46" xfId="2175"/>
    <cellStyle name="Explanatory Text 46 2" xfId="6712"/>
    <cellStyle name="Explanatory Text 47" xfId="2176"/>
    <cellStyle name="Explanatory Text 47 2" xfId="6713"/>
    <cellStyle name="Explanatory Text 48" xfId="2177"/>
    <cellStyle name="Explanatory Text 48 2" xfId="6714"/>
    <cellStyle name="Explanatory Text 49" xfId="2178"/>
    <cellStyle name="Explanatory Text 49 2" xfId="6715"/>
    <cellStyle name="Explanatory Text 5" xfId="2179"/>
    <cellStyle name="Explanatory Text 5 2" xfId="6716"/>
    <cellStyle name="Explanatory Text 50" xfId="2180"/>
    <cellStyle name="Explanatory Text 50 2" xfId="6717"/>
    <cellStyle name="Explanatory Text 51" xfId="2181"/>
    <cellStyle name="Explanatory Text 51 2" xfId="6718"/>
    <cellStyle name="Explanatory Text 52" xfId="2182"/>
    <cellStyle name="Explanatory Text 52 2" xfId="6719"/>
    <cellStyle name="Explanatory Text 53" xfId="2183"/>
    <cellStyle name="Explanatory Text 53 2" xfId="6720"/>
    <cellStyle name="Explanatory Text 54" xfId="2184"/>
    <cellStyle name="Explanatory Text 54 2" xfId="6721"/>
    <cellStyle name="Explanatory Text 55" xfId="2185"/>
    <cellStyle name="Explanatory Text 55 2" xfId="6722"/>
    <cellStyle name="Explanatory Text 56" xfId="2186"/>
    <cellStyle name="Explanatory Text 56 2" xfId="6723"/>
    <cellStyle name="Explanatory Text 57" xfId="2187"/>
    <cellStyle name="Explanatory Text 57 2" xfId="6724"/>
    <cellStyle name="Explanatory Text 58" xfId="2188"/>
    <cellStyle name="Explanatory Text 58 2" xfId="6725"/>
    <cellStyle name="Explanatory Text 59" xfId="2189"/>
    <cellStyle name="Explanatory Text 59 2" xfId="6726"/>
    <cellStyle name="Explanatory Text 6" xfId="2190"/>
    <cellStyle name="Explanatory Text 6 2" xfId="6727"/>
    <cellStyle name="Explanatory Text 60" xfId="6728"/>
    <cellStyle name="Explanatory Text 7" xfId="2191"/>
    <cellStyle name="Explanatory Text 7 2" xfId="6729"/>
    <cellStyle name="Explanatory Text 8" xfId="2192"/>
    <cellStyle name="Explanatory Text 8 2" xfId="6730"/>
    <cellStyle name="Explanatory Text 9" xfId="2193"/>
    <cellStyle name="Explanatory Text 9 2" xfId="6731"/>
    <cellStyle name="Fixed" xfId="2194"/>
    <cellStyle name="Fixed 10" xfId="2195"/>
    <cellStyle name="Fixed 100" xfId="2196"/>
    <cellStyle name="Fixed 101" xfId="2197"/>
    <cellStyle name="Fixed 102" xfId="2198"/>
    <cellStyle name="Fixed 103" xfId="2199"/>
    <cellStyle name="Fixed 104" xfId="6732"/>
    <cellStyle name="Fixed 105" xfId="6733"/>
    <cellStyle name="Fixed 106" xfId="6734"/>
    <cellStyle name="Fixed 107" xfId="6735"/>
    <cellStyle name="Fixed 108" xfId="6736"/>
    <cellStyle name="Fixed 109" xfId="6737"/>
    <cellStyle name="Fixed 11" xfId="2200"/>
    <cellStyle name="Fixed 110" xfId="6738"/>
    <cellStyle name="Fixed 111" xfId="6739"/>
    <cellStyle name="Fixed 112" xfId="6740"/>
    <cellStyle name="Fixed 113" xfId="6741"/>
    <cellStyle name="Fixed 114" xfId="6742"/>
    <cellStyle name="Fixed 115" xfId="6743"/>
    <cellStyle name="Fixed 116" xfId="6744"/>
    <cellStyle name="Fixed 117" xfId="6745"/>
    <cellStyle name="Fixed 118" xfId="6746"/>
    <cellStyle name="Fixed 119" xfId="6747"/>
    <cellStyle name="Fixed 12" xfId="2201"/>
    <cellStyle name="Fixed 120" xfId="6748"/>
    <cellStyle name="Fixed 121" xfId="6749"/>
    <cellStyle name="Fixed 122" xfId="6750"/>
    <cellStyle name="Fixed 123" xfId="6751"/>
    <cellStyle name="Fixed 13" xfId="2202"/>
    <cellStyle name="Fixed 14" xfId="2203"/>
    <cellStyle name="Fixed 15" xfId="2204"/>
    <cellStyle name="Fixed 16" xfId="2205"/>
    <cellStyle name="Fixed 17" xfId="2206"/>
    <cellStyle name="Fixed 18" xfId="2207"/>
    <cellStyle name="Fixed 19" xfId="2208"/>
    <cellStyle name="Fixed 2" xfId="2209"/>
    <cellStyle name="Fixed 20" xfId="2210"/>
    <cellStyle name="Fixed 21" xfId="2211"/>
    <cellStyle name="Fixed 22" xfId="2212"/>
    <cellStyle name="Fixed 23" xfId="2213"/>
    <cellStyle name="Fixed 24" xfId="2214"/>
    <cellStyle name="Fixed 25" xfId="2215"/>
    <cellStyle name="Fixed 26" xfId="2216"/>
    <cellStyle name="Fixed 27" xfId="2217"/>
    <cellStyle name="Fixed 28" xfId="2218"/>
    <cellStyle name="Fixed 29" xfId="2219"/>
    <cellStyle name="Fixed 3" xfId="2220"/>
    <cellStyle name="Fixed 30" xfId="2221"/>
    <cellStyle name="Fixed 31" xfId="2222"/>
    <cellStyle name="Fixed 32" xfId="2223"/>
    <cellStyle name="Fixed 33" xfId="2224"/>
    <cellStyle name="Fixed 34" xfId="2225"/>
    <cellStyle name="Fixed 35" xfId="2226"/>
    <cellStyle name="Fixed 36" xfId="2227"/>
    <cellStyle name="Fixed 37" xfId="2228"/>
    <cellStyle name="Fixed 38" xfId="2229"/>
    <cellStyle name="Fixed 39" xfId="2230"/>
    <cellStyle name="Fixed 4" xfId="2231"/>
    <cellStyle name="Fixed 40" xfId="2232"/>
    <cellStyle name="Fixed 41" xfId="2233"/>
    <cellStyle name="Fixed 42" xfId="2234"/>
    <cellStyle name="Fixed 43" xfId="2235"/>
    <cellStyle name="Fixed 44" xfId="2236"/>
    <cellStyle name="Fixed 45" xfId="2237"/>
    <cellStyle name="Fixed 46" xfId="2238"/>
    <cellStyle name="Fixed 47" xfId="2239"/>
    <cellStyle name="Fixed 48" xfId="2240"/>
    <cellStyle name="Fixed 49" xfId="2241"/>
    <cellStyle name="Fixed 5" xfId="2242"/>
    <cellStyle name="Fixed 50" xfId="2243"/>
    <cellStyle name="Fixed 51" xfId="2244"/>
    <cellStyle name="Fixed 52" xfId="2245"/>
    <cellStyle name="Fixed 53" xfId="2246"/>
    <cellStyle name="Fixed 54" xfId="2247"/>
    <cellStyle name="Fixed 55" xfId="2248"/>
    <cellStyle name="Fixed 56" xfId="2249"/>
    <cellStyle name="Fixed 57" xfId="2250"/>
    <cellStyle name="Fixed 58" xfId="2251"/>
    <cellStyle name="Fixed 59" xfId="2252"/>
    <cellStyle name="Fixed 6" xfId="2253"/>
    <cellStyle name="Fixed 60" xfId="2254"/>
    <cellStyle name="Fixed 61" xfId="2255"/>
    <cellStyle name="Fixed 62" xfId="2256"/>
    <cellStyle name="Fixed 63" xfId="2257"/>
    <cellStyle name="Fixed 64" xfId="2258"/>
    <cellStyle name="Fixed 65" xfId="2259"/>
    <cellStyle name="Fixed 66" xfId="2260"/>
    <cellStyle name="Fixed 67" xfId="2261"/>
    <cellStyle name="Fixed 68" xfId="2262"/>
    <cellStyle name="Fixed 69" xfId="2263"/>
    <cellStyle name="Fixed 7" xfId="2264"/>
    <cellStyle name="Fixed 70" xfId="2265"/>
    <cellStyle name="Fixed 71" xfId="2266"/>
    <cellStyle name="Fixed 72" xfId="2267"/>
    <cellStyle name="Fixed 73" xfId="2268"/>
    <cellStyle name="Fixed 74" xfId="2269"/>
    <cellStyle name="Fixed 75" xfId="2270"/>
    <cellStyle name="Fixed 76" xfId="2271"/>
    <cellStyle name="Fixed 77" xfId="2272"/>
    <cellStyle name="Fixed 78" xfId="2273"/>
    <cellStyle name="Fixed 79" xfId="2274"/>
    <cellStyle name="Fixed 8" xfId="2275"/>
    <cellStyle name="Fixed 80" xfId="2276"/>
    <cellStyle name="Fixed 81" xfId="2277"/>
    <cellStyle name="Fixed 82" xfId="2278"/>
    <cellStyle name="Fixed 83" xfId="2279"/>
    <cellStyle name="Fixed 84" xfId="2280"/>
    <cellStyle name="Fixed 85" xfId="2281"/>
    <cellStyle name="Fixed 86" xfId="2282"/>
    <cellStyle name="Fixed 87" xfId="2283"/>
    <cellStyle name="Fixed 88" xfId="2284"/>
    <cellStyle name="Fixed 89" xfId="2285"/>
    <cellStyle name="Fixed 9" xfId="2286"/>
    <cellStyle name="Fixed 90" xfId="2287"/>
    <cellStyle name="Fixed 91" xfId="2288"/>
    <cellStyle name="Fixed 92" xfId="2289"/>
    <cellStyle name="Fixed 93" xfId="2290"/>
    <cellStyle name="Fixed 94" xfId="2291"/>
    <cellStyle name="Fixed 95" xfId="2292"/>
    <cellStyle name="Fixed 96" xfId="2293"/>
    <cellStyle name="Fixed 97" xfId="2294"/>
    <cellStyle name="Fixed 98" xfId="2295"/>
    <cellStyle name="Fixed 99" xfId="2296"/>
    <cellStyle name="Font Britannic16" xfId="16773"/>
    <cellStyle name="Font Britannic18" xfId="16774"/>
    <cellStyle name="Font CenturyCond 18" xfId="16775"/>
    <cellStyle name="Font Cond20" xfId="16776"/>
    <cellStyle name="Font LucidaSans16" xfId="16777"/>
    <cellStyle name="Font NewCenturyCond18" xfId="16778"/>
    <cellStyle name="Font Ottawa14" xfId="16779"/>
    <cellStyle name="Font Ottawa16" xfId="16780"/>
    <cellStyle name="Good 10" xfId="2297"/>
    <cellStyle name="Good 10 2" xfId="6752"/>
    <cellStyle name="Good 11" xfId="2298"/>
    <cellStyle name="Good 11 2" xfId="6753"/>
    <cellStyle name="Good 12" xfId="2299"/>
    <cellStyle name="Good 12 2" xfId="6754"/>
    <cellStyle name="Good 13" xfId="2300"/>
    <cellStyle name="Good 13 2" xfId="6755"/>
    <cellStyle name="Good 14" xfId="2301"/>
    <cellStyle name="Good 14 2" xfId="6756"/>
    <cellStyle name="Good 15" xfId="2302"/>
    <cellStyle name="Good 15 2" xfId="6757"/>
    <cellStyle name="Good 16" xfId="2303"/>
    <cellStyle name="Good 16 2" xfId="6758"/>
    <cellStyle name="Good 17" xfId="2304"/>
    <cellStyle name="Good 17 2" xfId="6759"/>
    <cellStyle name="Good 18" xfId="2305"/>
    <cellStyle name="Good 18 2" xfId="6760"/>
    <cellStyle name="Good 19" xfId="2306"/>
    <cellStyle name="Good 19 2" xfId="6761"/>
    <cellStyle name="Good 2" xfId="2307"/>
    <cellStyle name="Good 2 2" xfId="2308"/>
    <cellStyle name="Good 2 2 2" xfId="6762"/>
    <cellStyle name="Good 2 3" xfId="6763"/>
    <cellStyle name="Good 20" xfId="2309"/>
    <cellStyle name="Good 20 2" xfId="6764"/>
    <cellStyle name="Good 21" xfId="2310"/>
    <cellStyle name="Good 21 2" xfId="6765"/>
    <cellStyle name="Good 22" xfId="2311"/>
    <cellStyle name="Good 22 2" xfId="6766"/>
    <cellStyle name="Good 23" xfId="2312"/>
    <cellStyle name="Good 23 2" xfId="6767"/>
    <cellStyle name="Good 24" xfId="2313"/>
    <cellStyle name="Good 24 2" xfId="6768"/>
    <cellStyle name="Good 25" xfId="2314"/>
    <cellStyle name="Good 25 2" xfId="6769"/>
    <cellStyle name="Good 26" xfId="2315"/>
    <cellStyle name="Good 26 2" xfId="6770"/>
    <cellStyle name="Good 27" xfId="2316"/>
    <cellStyle name="Good 27 2" xfId="6771"/>
    <cellStyle name="Good 28" xfId="2317"/>
    <cellStyle name="Good 28 2" xfId="6772"/>
    <cellStyle name="Good 29" xfId="2318"/>
    <cellStyle name="Good 29 2" xfId="6773"/>
    <cellStyle name="Good 3" xfId="2319"/>
    <cellStyle name="Good 3 2" xfId="6774"/>
    <cellStyle name="Good 30" xfId="2320"/>
    <cellStyle name="Good 30 2" xfId="6775"/>
    <cellStyle name="Good 31" xfId="2321"/>
    <cellStyle name="Good 31 2" xfId="6776"/>
    <cellStyle name="Good 32" xfId="2322"/>
    <cellStyle name="Good 32 2" xfId="6777"/>
    <cellStyle name="Good 33" xfId="2323"/>
    <cellStyle name="Good 33 2" xfId="6778"/>
    <cellStyle name="Good 34" xfId="2324"/>
    <cellStyle name="Good 34 2" xfId="6779"/>
    <cellStyle name="Good 35" xfId="2325"/>
    <cellStyle name="Good 35 2" xfId="6780"/>
    <cellStyle name="Good 36" xfId="2326"/>
    <cellStyle name="Good 36 2" xfId="6781"/>
    <cellStyle name="Good 37" xfId="2327"/>
    <cellStyle name="Good 37 2" xfId="6782"/>
    <cellStyle name="Good 38" xfId="2328"/>
    <cellStyle name="Good 38 2" xfId="6783"/>
    <cellStyle name="Good 39" xfId="2329"/>
    <cellStyle name="Good 39 2" xfId="6784"/>
    <cellStyle name="Good 4" xfId="2330"/>
    <cellStyle name="Good 4 2" xfId="6785"/>
    <cellStyle name="Good 40" xfId="2331"/>
    <cellStyle name="Good 40 2" xfId="6786"/>
    <cellStyle name="Good 41" xfId="2332"/>
    <cellStyle name="Good 41 2" xfId="6787"/>
    <cellStyle name="Good 42" xfId="2333"/>
    <cellStyle name="Good 42 2" xfId="6788"/>
    <cellStyle name="Good 43" xfId="2334"/>
    <cellStyle name="Good 43 2" xfId="6789"/>
    <cellStyle name="Good 44" xfId="2335"/>
    <cellStyle name="Good 44 2" xfId="6790"/>
    <cellStyle name="Good 45" xfId="2336"/>
    <cellStyle name="Good 45 2" xfId="6791"/>
    <cellStyle name="Good 46" xfId="2337"/>
    <cellStyle name="Good 46 2" xfId="6792"/>
    <cellStyle name="Good 47" xfId="2338"/>
    <cellStyle name="Good 47 2" xfId="6793"/>
    <cellStyle name="Good 48" xfId="2339"/>
    <cellStyle name="Good 48 2" xfId="6794"/>
    <cellStyle name="Good 49" xfId="2340"/>
    <cellStyle name="Good 49 2" xfId="6795"/>
    <cellStyle name="Good 5" xfId="2341"/>
    <cellStyle name="Good 5 2" xfId="6796"/>
    <cellStyle name="Good 50" xfId="2342"/>
    <cellStyle name="Good 50 2" xfId="6797"/>
    <cellStyle name="Good 51" xfId="2343"/>
    <cellStyle name="Good 51 2" xfId="6798"/>
    <cellStyle name="Good 52" xfId="2344"/>
    <cellStyle name="Good 52 2" xfId="6799"/>
    <cellStyle name="Good 53" xfId="2345"/>
    <cellStyle name="Good 53 2" xfId="6800"/>
    <cellStyle name="Good 54" xfId="2346"/>
    <cellStyle name="Good 54 2" xfId="6801"/>
    <cellStyle name="Good 55" xfId="2347"/>
    <cellStyle name="Good 55 2" xfId="6802"/>
    <cellStyle name="Good 56" xfId="2348"/>
    <cellStyle name="Good 56 2" xfId="6803"/>
    <cellStyle name="Good 57" xfId="2349"/>
    <cellStyle name="Good 57 2" xfId="6804"/>
    <cellStyle name="Good 58" xfId="2350"/>
    <cellStyle name="Good 58 2" xfId="6805"/>
    <cellStyle name="Good 59" xfId="2351"/>
    <cellStyle name="Good 59 2" xfId="6806"/>
    <cellStyle name="Good 6" xfId="2352"/>
    <cellStyle name="Good 6 2" xfId="6807"/>
    <cellStyle name="Good 60" xfId="6808"/>
    <cellStyle name="Good 7" xfId="2353"/>
    <cellStyle name="Good 7 2" xfId="6809"/>
    <cellStyle name="Good 8" xfId="2354"/>
    <cellStyle name="Good 8 2" xfId="6810"/>
    <cellStyle name="Good 9" xfId="2355"/>
    <cellStyle name="Good 9 2" xfId="6811"/>
    <cellStyle name="Grey" xfId="16781"/>
    <cellStyle name="ha" xfId="16782"/>
    <cellStyle name="header" xfId="16783"/>
    <cellStyle name="Header1" xfId="16784"/>
    <cellStyle name="Header2" xfId="16785"/>
    <cellStyle name="Header2 2" xfId="16786"/>
    <cellStyle name="Heading 1 10" xfId="2356"/>
    <cellStyle name="Heading 1 10 2" xfId="6812"/>
    <cellStyle name="Heading 1 11" xfId="2357"/>
    <cellStyle name="Heading 1 11 2" xfId="6813"/>
    <cellStyle name="Heading 1 12" xfId="2358"/>
    <cellStyle name="Heading 1 12 2" xfId="6814"/>
    <cellStyle name="Heading 1 13" xfId="2359"/>
    <cellStyle name="Heading 1 13 2" xfId="6815"/>
    <cellStyle name="Heading 1 14" xfId="2360"/>
    <cellStyle name="Heading 1 14 2" xfId="6816"/>
    <cellStyle name="Heading 1 15" xfId="2361"/>
    <cellStyle name="Heading 1 15 2" xfId="6817"/>
    <cellStyle name="Heading 1 16" xfId="2362"/>
    <cellStyle name="Heading 1 16 2" xfId="6818"/>
    <cellStyle name="Heading 1 17" xfId="2363"/>
    <cellStyle name="Heading 1 17 2" xfId="6819"/>
    <cellStyle name="Heading 1 18" xfId="2364"/>
    <cellStyle name="Heading 1 18 2" xfId="6820"/>
    <cellStyle name="Heading 1 19" xfId="2365"/>
    <cellStyle name="Heading 1 19 2" xfId="6821"/>
    <cellStyle name="Heading 1 2" xfId="2366"/>
    <cellStyle name="Heading 1 2 2" xfId="2367"/>
    <cellStyle name="Heading 1 2 2 2" xfId="6822"/>
    <cellStyle name="Heading 1 2 3" xfId="6823"/>
    <cellStyle name="Heading 1 20" xfId="2368"/>
    <cellStyle name="Heading 1 20 2" xfId="6824"/>
    <cellStyle name="Heading 1 21" xfId="2369"/>
    <cellStyle name="Heading 1 21 2" xfId="6825"/>
    <cellStyle name="Heading 1 22" xfId="2370"/>
    <cellStyle name="Heading 1 22 2" xfId="6826"/>
    <cellStyle name="Heading 1 23" xfId="2371"/>
    <cellStyle name="Heading 1 23 2" xfId="6827"/>
    <cellStyle name="Heading 1 24" xfId="2372"/>
    <cellStyle name="Heading 1 24 2" xfId="6828"/>
    <cellStyle name="Heading 1 25" xfId="2373"/>
    <cellStyle name="Heading 1 25 2" xfId="6829"/>
    <cellStyle name="Heading 1 26" xfId="2374"/>
    <cellStyle name="Heading 1 26 2" xfId="6830"/>
    <cellStyle name="Heading 1 27" xfId="2375"/>
    <cellStyle name="Heading 1 27 2" xfId="6831"/>
    <cellStyle name="Heading 1 28" xfId="2376"/>
    <cellStyle name="Heading 1 28 2" xfId="6832"/>
    <cellStyle name="Heading 1 29" xfId="2377"/>
    <cellStyle name="Heading 1 29 2" xfId="6833"/>
    <cellStyle name="Heading 1 3" xfId="2378"/>
    <cellStyle name="Heading 1 3 2" xfId="6834"/>
    <cellStyle name="Heading 1 30" xfId="2379"/>
    <cellStyle name="Heading 1 30 2" xfId="6835"/>
    <cellStyle name="Heading 1 31" xfId="2380"/>
    <cellStyle name="Heading 1 31 2" xfId="6836"/>
    <cellStyle name="Heading 1 32" xfId="2381"/>
    <cellStyle name="Heading 1 32 2" xfId="6837"/>
    <cellStyle name="Heading 1 33" xfId="2382"/>
    <cellStyle name="Heading 1 33 2" xfId="6838"/>
    <cellStyle name="Heading 1 34" xfId="2383"/>
    <cellStyle name="Heading 1 34 2" xfId="6839"/>
    <cellStyle name="Heading 1 35" xfId="2384"/>
    <cellStyle name="Heading 1 35 2" xfId="6840"/>
    <cellStyle name="Heading 1 36" xfId="2385"/>
    <cellStyle name="Heading 1 36 2" xfId="6841"/>
    <cellStyle name="Heading 1 37" xfId="2386"/>
    <cellStyle name="Heading 1 37 2" xfId="6842"/>
    <cellStyle name="Heading 1 38" xfId="2387"/>
    <cellStyle name="Heading 1 38 2" xfId="6843"/>
    <cellStyle name="Heading 1 39" xfId="2388"/>
    <cellStyle name="Heading 1 39 2" xfId="6844"/>
    <cellStyle name="Heading 1 4" xfId="2389"/>
    <cellStyle name="Heading 1 4 2" xfId="6845"/>
    <cellStyle name="Heading 1 40" xfId="2390"/>
    <cellStyle name="Heading 1 40 2" xfId="6846"/>
    <cellStyle name="Heading 1 41" xfId="2391"/>
    <cellStyle name="Heading 1 41 2" xfId="6847"/>
    <cellStyle name="Heading 1 42" xfId="2392"/>
    <cellStyle name="Heading 1 42 2" xfId="6848"/>
    <cellStyle name="Heading 1 43" xfId="2393"/>
    <cellStyle name="Heading 1 43 2" xfId="6849"/>
    <cellStyle name="Heading 1 44" xfId="2394"/>
    <cellStyle name="Heading 1 44 2" xfId="6850"/>
    <cellStyle name="Heading 1 45" xfId="2395"/>
    <cellStyle name="Heading 1 45 2" xfId="6851"/>
    <cellStyle name="Heading 1 46" xfId="2396"/>
    <cellStyle name="Heading 1 46 2" xfId="6852"/>
    <cellStyle name="Heading 1 47" xfId="2397"/>
    <cellStyle name="Heading 1 47 2" xfId="6853"/>
    <cellStyle name="Heading 1 48" xfId="2398"/>
    <cellStyle name="Heading 1 48 2" xfId="6854"/>
    <cellStyle name="Heading 1 49" xfId="2399"/>
    <cellStyle name="Heading 1 49 2" xfId="6855"/>
    <cellStyle name="Heading 1 5" xfId="2400"/>
    <cellStyle name="Heading 1 5 2" xfId="6856"/>
    <cellStyle name="Heading 1 50" xfId="2401"/>
    <cellStyle name="Heading 1 50 2" xfId="6857"/>
    <cellStyle name="Heading 1 51" xfId="2402"/>
    <cellStyle name="Heading 1 51 2" xfId="6858"/>
    <cellStyle name="Heading 1 52" xfId="2403"/>
    <cellStyle name="Heading 1 52 2" xfId="6859"/>
    <cellStyle name="Heading 1 53" xfId="2404"/>
    <cellStyle name="Heading 1 53 2" xfId="6860"/>
    <cellStyle name="Heading 1 54" xfId="2405"/>
    <cellStyle name="Heading 1 54 2" xfId="6861"/>
    <cellStyle name="Heading 1 55" xfId="2406"/>
    <cellStyle name="Heading 1 55 2" xfId="6862"/>
    <cellStyle name="Heading 1 56" xfId="2407"/>
    <cellStyle name="Heading 1 56 2" xfId="6863"/>
    <cellStyle name="Heading 1 57" xfId="2408"/>
    <cellStyle name="Heading 1 57 2" xfId="6864"/>
    <cellStyle name="Heading 1 58" xfId="2409"/>
    <cellStyle name="Heading 1 58 2" xfId="6865"/>
    <cellStyle name="Heading 1 59" xfId="2410"/>
    <cellStyle name="Heading 1 59 2" xfId="6866"/>
    <cellStyle name="Heading 1 6" xfId="2411"/>
    <cellStyle name="Heading 1 6 2" xfId="6867"/>
    <cellStyle name="Heading 1 60" xfId="6868"/>
    <cellStyle name="Heading 1 7" xfId="2412"/>
    <cellStyle name="Heading 1 7 2" xfId="6869"/>
    <cellStyle name="Heading 1 8" xfId="2413"/>
    <cellStyle name="Heading 1 8 2" xfId="6870"/>
    <cellStyle name="Heading 1 9" xfId="2414"/>
    <cellStyle name="Heading 1 9 2" xfId="6871"/>
    <cellStyle name="Heading 2 10" xfId="2415"/>
    <cellStyle name="Heading 2 10 2" xfId="6872"/>
    <cellStyle name="Heading 2 11" xfId="2416"/>
    <cellStyle name="Heading 2 11 2" xfId="6873"/>
    <cellStyle name="Heading 2 12" xfId="2417"/>
    <cellStyle name="Heading 2 12 2" xfId="6874"/>
    <cellStyle name="Heading 2 13" xfId="2418"/>
    <cellStyle name="Heading 2 13 2" xfId="6875"/>
    <cellStyle name="Heading 2 14" xfId="2419"/>
    <cellStyle name="Heading 2 14 2" xfId="6876"/>
    <cellStyle name="Heading 2 15" xfId="2420"/>
    <cellStyle name="Heading 2 15 2" xfId="6877"/>
    <cellStyle name="Heading 2 16" xfId="2421"/>
    <cellStyle name="Heading 2 16 2" xfId="6878"/>
    <cellStyle name="Heading 2 17" xfId="2422"/>
    <cellStyle name="Heading 2 17 2" xfId="6879"/>
    <cellStyle name="Heading 2 18" xfId="2423"/>
    <cellStyle name="Heading 2 18 2" xfId="6880"/>
    <cellStyle name="Heading 2 19" xfId="2424"/>
    <cellStyle name="Heading 2 19 2" xfId="6881"/>
    <cellStyle name="Heading 2 2" xfId="2425"/>
    <cellStyle name="Heading 2 2 2" xfId="2426"/>
    <cellStyle name="Heading 2 2 2 2" xfId="6882"/>
    <cellStyle name="Heading 2 2 3" xfId="6883"/>
    <cellStyle name="Heading 2 20" xfId="2427"/>
    <cellStyle name="Heading 2 20 2" xfId="6884"/>
    <cellStyle name="Heading 2 21" xfId="2428"/>
    <cellStyle name="Heading 2 21 2" xfId="6885"/>
    <cellStyle name="Heading 2 22" xfId="2429"/>
    <cellStyle name="Heading 2 22 2" xfId="6886"/>
    <cellStyle name="Heading 2 23" xfId="2430"/>
    <cellStyle name="Heading 2 23 2" xfId="6887"/>
    <cellStyle name="Heading 2 24" xfId="2431"/>
    <cellStyle name="Heading 2 24 2" xfId="6888"/>
    <cellStyle name="Heading 2 25" xfId="2432"/>
    <cellStyle name="Heading 2 25 2" xfId="6889"/>
    <cellStyle name="Heading 2 26" xfId="2433"/>
    <cellStyle name="Heading 2 26 2" xfId="6890"/>
    <cellStyle name="Heading 2 27" xfId="2434"/>
    <cellStyle name="Heading 2 27 2" xfId="6891"/>
    <cellStyle name="Heading 2 28" xfId="2435"/>
    <cellStyle name="Heading 2 28 2" xfId="6892"/>
    <cellStyle name="Heading 2 29" xfId="2436"/>
    <cellStyle name="Heading 2 29 2" xfId="6893"/>
    <cellStyle name="Heading 2 3" xfId="2437"/>
    <cellStyle name="Heading 2 3 2" xfId="6894"/>
    <cellStyle name="Heading 2 30" xfId="2438"/>
    <cellStyle name="Heading 2 30 2" xfId="6895"/>
    <cellStyle name="Heading 2 31" xfId="2439"/>
    <cellStyle name="Heading 2 31 2" xfId="6896"/>
    <cellStyle name="Heading 2 32" xfId="2440"/>
    <cellStyle name="Heading 2 32 2" xfId="6897"/>
    <cellStyle name="Heading 2 33" xfId="2441"/>
    <cellStyle name="Heading 2 33 2" xfId="6898"/>
    <cellStyle name="Heading 2 34" xfId="2442"/>
    <cellStyle name="Heading 2 34 2" xfId="6899"/>
    <cellStyle name="Heading 2 35" xfId="2443"/>
    <cellStyle name="Heading 2 35 2" xfId="6900"/>
    <cellStyle name="Heading 2 36" xfId="2444"/>
    <cellStyle name="Heading 2 36 2" xfId="6901"/>
    <cellStyle name="Heading 2 37" xfId="2445"/>
    <cellStyle name="Heading 2 37 2" xfId="6902"/>
    <cellStyle name="Heading 2 38" xfId="2446"/>
    <cellStyle name="Heading 2 38 2" xfId="6903"/>
    <cellStyle name="Heading 2 39" xfId="2447"/>
    <cellStyle name="Heading 2 39 2" xfId="6904"/>
    <cellStyle name="Heading 2 4" xfId="2448"/>
    <cellStyle name="Heading 2 4 2" xfId="6905"/>
    <cellStyle name="Heading 2 40" xfId="2449"/>
    <cellStyle name="Heading 2 40 2" xfId="6906"/>
    <cellStyle name="Heading 2 41" xfId="2450"/>
    <cellStyle name="Heading 2 41 2" xfId="6907"/>
    <cellStyle name="Heading 2 42" xfId="2451"/>
    <cellStyle name="Heading 2 42 2" xfId="6908"/>
    <cellStyle name="Heading 2 43" xfId="2452"/>
    <cellStyle name="Heading 2 43 2" xfId="6909"/>
    <cellStyle name="Heading 2 44" xfId="2453"/>
    <cellStyle name="Heading 2 44 2" xfId="6910"/>
    <cellStyle name="Heading 2 45" xfId="2454"/>
    <cellStyle name="Heading 2 45 2" xfId="6911"/>
    <cellStyle name="Heading 2 46" xfId="2455"/>
    <cellStyle name="Heading 2 46 2" xfId="6912"/>
    <cellStyle name="Heading 2 47" xfId="2456"/>
    <cellStyle name="Heading 2 47 2" xfId="6913"/>
    <cellStyle name="Heading 2 48" xfId="2457"/>
    <cellStyle name="Heading 2 48 2" xfId="6914"/>
    <cellStyle name="Heading 2 49" xfId="2458"/>
    <cellStyle name="Heading 2 49 2" xfId="6915"/>
    <cellStyle name="Heading 2 5" xfId="2459"/>
    <cellStyle name="Heading 2 5 2" xfId="6916"/>
    <cellStyle name="Heading 2 50" xfId="2460"/>
    <cellStyle name="Heading 2 50 2" xfId="6917"/>
    <cellStyle name="Heading 2 51" xfId="2461"/>
    <cellStyle name="Heading 2 51 2" xfId="6918"/>
    <cellStyle name="Heading 2 52" xfId="2462"/>
    <cellStyle name="Heading 2 52 2" xfId="6919"/>
    <cellStyle name="Heading 2 53" xfId="2463"/>
    <cellStyle name="Heading 2 53 2" xfId="6920"/>
    <cellStyle name="Heading 2 54" xfId="2464"/>
    <cellStyle name="Heading 2 54 2" xfId="6921"/>
    <cellStyle name="Heading 2 55" xfId="2465"/>
    <cellStyle name="Heading 2 55 2" xfId="6922"/>
    <cellStyle name="Heading 2 56" xfId="2466"/>
    <cellStyle name="Heading 2 56 2" xfId="6923"/>
    <cellStyle name="Heading 2 57" xfId="2467"/>
    <cellStyle name="Heading 2 57 2" xfId="6924"/>
    <cellStyle name="Heading 2 58" xfId="2468"/>
    <cellStyle name="Heading 2 58 2" xfId="6925"/>
    <cellStyle name="Heading 2 59" xfId="2469"/>
    <cellStyle name="Heading 2 59 2" xfId="6926"/>
    <cellStyle name="Heading 2 6" xfId="2470"/>
    <cellStyle name="Heading 2 6 2" xfId="6927"/>
    <cellStyle name="Heading 2 60" xfId="6928"/>
    <cellStyle name="Heading 2 7" xfId="2471"/>
    <cellStyle name="Heading 2 7 2" xfId="6929"/>
    <cellStyle name="Heading 2 8" xfId="2472"/>
    <cellStyle name="Heading 2 8 2" xfId="6930"/>
    <cellStyle name="Heading 2 9" xfId="2473"/>
    <cellStyle name="Heading 2 9 2" xfId="6931"/>
    <cellStyle name="Heading 3 10" xfId="2474"/>
    <cellStyle name="Heading 3 10 2" xfId="6932"/>
    <cellStyle name="Heading 3 11" xfId="2475"/>
    <cellStyle name="Heading 3 11 2" xfId="6933"/>
    <cellStyle name="Heading 3 12" xfId="2476"/>
    <cellStyle name="Heading 3 12 2" xfId="6934"/>
    <cellStyle name="Heading 3 13" xfId="2477"/>
    <cellStyle name="Heading 3 13 2" xfId="6935"/>
    <cellStyle name="Heading 3 14" xfId="2478"/>
    <cellStyle name="Heading 3 14 2" xfId="6936"/>
    <cellStyle name="Heading 3 15" xfId="2479"/>
    <cellStyle name="Heading 3 15 2" xfId="6937"/>
    <cellStyle name="Heading 3 16" xfId="2480"/>
    <cellStyle name="Heading 3 16 2" xfId="6938"/>
    <cellStyle name="Heading 3 17" xfId="2481"/>
    <cellStyle name="Heading 3 17 2" xfId="6939"/>
    <cellStyle name="Heading 3 18" xfId="2482"/>
    <cellStyle name="Heading 3 18 2" xfId="6940"/>
    <cellStyle name="Heading 3 19" xfId="2483"/>
    <cellStyle name="Heading 3 19 2" xfId="6941"/>
    <cellStyle name="Heading 3 2" xfId="2484"/>
    <cellStyle name="Heading 3 2 2" xfId="2485"/>
    <cellStyle name="Heading 3 2 2 2" xfId="6942"/>
    <cellStyle name="Heading 3 2 3" xfId="6943"/>
    <cellStyle name="Heading 3 20" xfId="2486"/>
    <cellStyle name="Heading 3 20 2" xfId="6944"/>
    <cellStyle name="Heading 3 21" xfId="2487"/>
    <cellStyle name="Heading 3 21 2" xfId="6945"/>
    <cellStyle name="Heading 3 22" xfId="2488"/>
    <cellStyle name="Heading 3 22 2" xfId="6946"/>
    <cellStyle name="Heading 3 23" xfId="2489"/>
    <cellStyle name="Heading 3 23 2" xfId="6947"/>
    <cellStyle name="Heading 3 24" xfId="2490"/>
    <cellStyle name="Heading 3 24 2" xfId="6948"/>
    <cellStyle name="Heading 3 25" xfId="2491"/>
    <cellStyle name="Heading 3 25 2" xfId="6949"/>
    <cellStyle name="Heading 3 26" xfId="2492"/>
    <cellStyle name="Heading 3 26 2" xfId="6950"/>
    <cellStyle name="Heading 3 27" xfId="2493"/>
    <cellStyle name="Heading 3 27 2" xfId="6951"/>
    <cellStyle name="Heading 3 28" xfId="2494"/>
    <cellStyle name="Heading 3 28 2" xfId="6952"/>
    <cellStyle name="Heading 3 29" xfId="2495"/>
    <cellStyle name="Heading 3 29 2" xfId="6953"/>
    <cellStyle name="Heading 3 3" xfId="2496"/>
    <cellStyle name="Heading 3 3 2" xfId="6954"/>
    <cellStyle name="Heading 3 30" xfId="2497"/>
    <cellStyle name="Heading 3 30 2" xfId="6955"/>
    <cellStyle name="Heading 3 31" xfId="2498"/>
    <cellStyle name="Heading 3 31 2" xfId="6956"/>
    <cellStyle name="Heading 3 32" xfId="2499"/>
    <cellStyle name="Heading 3 32 2" xfId="6957"/>
    <cellStyle name="Heading 3 33" xfId="2500"/>
    <cellStyle name="Heading 3 33 2" xfId="6958"/>
    <cellStyle name="Heading 3 34" xfId="2501"/>
    <cellStyle name="Heading 3 34 2" xfId="6959"/>
    <cellStyle name="Heading 3 35" xfId="2502"/>
    <cellStyle name="Heading 3 35 2" xfId="6960"/>
    <cellStyle name="Heading 3 36" xfId="2503"/>
    <cellStyle name="Heading 3 36 2" xfId="6961"/>
    <cellStyle name="Heading 3 37" xfId="2504"/>
    <cellStyle name="Heading 3 37 2" xfId="6962"/>
    <cellStyle name="Heading 3 38" xfId="2505"/>
    <cellStyle name="Heading 3 38 2" xfId="6963"/>
    <cellStyle name="Heading 3 39" xfId="2506"/>
    <cellStyle name="Heading 3 39 2" xfId="6964"/>
    <cellStyle name="Heading 3 4" xfId="2507"/>
    <cellStyle name="Heading 3 4 2" xfId="6965"/>
    <cellStyle name="Heading 3 40" xfId="2508"/>
    <cellStyle name="Heading 3 40 2" xfId="6966"/>
    <cellStyle name="Heading 3 41" xfId="2509"/>
    <cellStyle name="Heading 3 41 2" xfId="6967"/>
    <cellStyle name="Heading 3 42" xfId="2510"/>
    <cellStyle name="Heading 3 42 2" xfId="6968"/>
    <cellStyle name="Heading 3 43" xfId="2511"/>
    <cellStyle name="Heading 3 43 2" xfId="6969"/>
    <cellStyle name="Heading 3 44" xfId="2512"/>
    <cellStyle name="Heading 3 44 2" xfId="6970"/>
    <cellStyle name="Heading 3 45" xfId="2513"/>
    <cellStyle name="Heading 3 45 2" xfId="6971"/>
    <cellStyle name="Heading 3 46" xfId="2514"/>
    <cellStyle name="Heading 3 46 2" xfId="6972"/>
    <cellStyle name="Heading 3 47" xfId="2515"/>
    <cellStyle name="Heading 3 47 2" xfId="6973"/>
    <cellStyle name="Heading 3 48" xfId="2516"/>
    <cellStyle name="Heading 3 48 2" xfId="6974"/>
    <cellStyle name="Heading 3 49" xfId="2517"/>
    <cellStyle name="Heading 3 49 2" xfId="6975"/>
    <cellStyle name="Heading 3 5" xfId="2518"/>
    <cellStyle name="Heading 3 5 2" xfId="6976"/>
    <cellStyle name="Heading 3 50" xfId="2519"/>
    <cellStyle name="Heading 3 50 2" xfId="6977"/>
    <cellStyle name="Heading 3 51" xfId="2520"/>
    <cellStyle name="Heading 3 51 2" xfId="6978"/>
    <cellStyle name="Heading 3 52" xfId="2521"/>
    <cellStyle name="Heading 3 52 2" xfId="6979"/>
    <cellStyle name="Heading 3 53" xfId="2522"/>
    <cellStyle name="Heading 3 53 2" xfId="6980"/>
    <cellStyle name="Heading 3 54" xfId="2523"/>
    <cellStyle name="Heading 3 54 2" xfId="6981"/>
    <cellStyle name="Heading 3 55" xfId="2524"/>
    <cellStyle name="Heading 3 55 2" xfId="6982"/>
    <cellStyle name="Heading 3 56" xfId="2525"/>
    <cellStyle name="Heading 3 56 2" xfId="6983"/>
    <cellStyle name="Heading 3 57" xfId="2526"/>
    <cellStyle name="Heading 3 57 2" xfId="6984"/>
    <cellStyle name="Heading 3 58" xfId="2527"/>
    <cellStyle name="Heading 3 58 2" xfId="6985"/>
    <cellStyle name="Heading 3 59" xfId="2528"/>
    <cellStyle name="Heading 3 59 2" xfId="6986"/>
    <cellStyle name="Heading 3 6" xfId="2529"/>
    <cellStyle name="Heading 3 6 2" xfId="6987"/>
    <cellStyle name="Heading 3 60" xfId="6988"/>
    <cellStyle name="Heading 3 7" xfId="2530"/>
    <cellStyle name="Heading 3 7 2" xfId="6989"/>
    <cellStyle name="Heading 3 8" xfId="2531"/>
    <cellStyle name="Heading 3 8 2" xfId="6990"/>
    <cellStyle name="Heading 3 9" xfId="2532"/>
    <cellStyle name="Heading 3 9 2" xfId="6991"/>
    <cellStyle name="Heading 4 10" xfId="2533"/>
    <cellStyle name="Heading 4 10 2" xfId="6992"/>
    <cellStyle name="Heading 4 11" xfId="2534"/>
    <cellStyle name="Heading 4 11 2" xfId="6993"/>
    <cellStyle name="Heading 4 12" xfId="2535"/>
    <cellStyle name="Heading 4 12 2" xfId="6994"/>
    <cellStyle name="Heading 4 13" xfId="2536"/>
    <cellStyle name="Heading 4 13 2" xfId="6995"/>
    <cellStyle name="Heading 4 14" xfId="2537"/>
    <cellStyle name="Heading 4 14 2" xfId="6996"/>
    <cellStyle name="Heading 4 15" xfId="2538"/>
    <cellStyle name="Heading 4 15 2" xfId="6997"/>
    <cellStyle name="Heading 4 16" xfId="2539"/>
    <cellStyle name="Heading 4 16 2" xfId="6998"/>
    <cellStyle name="Heading 4 17" xfId="2540"/>
    <cellStyle name="Heading 4 17 2" xfId="6999"/>
    <cellStyle name="Heading 4 18" xfId="2541"/>
    <cellStyle name="Heading 4 18 2" xfId="7000"/>
    <cellStyle name="Heading 4 19" xfId="2542"/>
    <cellStyle name="Heading 4 19 2" xfId="7001"/>
    <cellStyle name="Heading 4 2" xfId="2543"/>
    <cellStyle name="Heading 4 2 2" xfId="2544"/>
    <cellStyle name="Heading 4 2 2 2" xfId="7002"/>
    <cellStyle name="Heading 4 2 3" xfId="7003"/>
    <cellStyle name="Heading 4 20" xfId="2545"/>
    <cellStyle name="Heading 4 20 2" xfId="7004"/>
    <cellStyle name="Heading 4 21" xfId="2546"/>
    <cellStyle name="Heading 4 21 2" xfId="7005"/>
    <cellStyle name="Heading 4 22" xfId="2547"/>
    <cellStyle name="Heading 4 22 2" xfId="7006"/>
    <cellStyle name="Heading 4 23" xfId="2548"/>
    <cellStyle name="Heading 4 23 2" xfId="7007"/>
    <cellStyle name="Heading 4 24" xfId="2549"/>
    <cellStyle name="Heading 4 24 2" xfId="7008"/>
    <cellStyle name="Heading 4 25" xfId="2550"/>
    <cellStyle name="Heading 4 25 2" xfId="7009"/>
    <cellStyle name="Heading 4 26" xfId="2551"/>
    <cellStyle name="Heading 4 26 2" xfId="7010"/>
    <cellStyle name="Heading 4 27" xfId="2552"/>
    <cellStyle name="Heading 4 27 2" xfId="7011"/>
    <cellStyle name="Heading 4 28" xfId="2553"/>
    <cellStyle name="Heading 4 28 2" xfId="7012"/>
    <cellStyle name="Heading 4 29" xfId="2554"/>
    <cellStyle name="Heading 4 29 2" xfId="7013"/>
    <cellStyle name="Heading 4 3" xfId="2555"/>
    <cellStyle name="Heading 4 3 2" xfId="7014"/>
    <cellStyle name="Heading 4 30" xfId="2556"/>
    <cellStyle name="Heading 4 30 2" xfId="7015"/>
    <cellStyle name="Heading 4 31" xfId="2557"/>
    <cellStyle name="Heading 4 31 2" xfId="7016"/>
    <cellStyle name="Heading 4 32" xfId="2558"/>
    <cellStyle name="Heading 4 32 2" xfId="7017"/>
    <cellStyle name="Heading 4 33" xfId="2559"/>
    <cellStyle name="Heading 4 33 2" xfId="7018"/>
    <cellStyle name="Heading 4 34" xfId="2560"/>
    <cellStyle name="Heading 4 34 2" xfId="7019"/>
    <cellStyle name="Heading 4 35" xfId="2561"/>
    <cellStyle name="Heading 4 35 2" xfId="7020"/>
    <cellStyle name="Heading 4 36" xfId="2562"/>
    <cellStyle name="Heading 4 36 2" xfId="7021"/>
    <cellStyle name="Heading 4 37" xfId="2563"/>
    <cellStyle name="Heading 4 37 2" xfId="7022"/>
    <cellStyle name="Heading 4 38" xfId="2564"/>
    <cellStyle name="Heading 4 38 2" xfId="7023"/>
    <cellStyle name="Heading 4 39" xfId="2565"/>
    <cellStyle name="Heading 4 39 2" xfId="7024"/>
    <cellStyle name="Heading 4 4" xfId="2566"/>
    <cellStyle name="Heading 4 4 2" xfId="7025"/>
    <cellStyle name="Heading 4 40" xfId="2567"/>
    <cellStyle name="Heading 4 40 2" xfId="7026"/>
    <cellStyle name="Heading 4 41" xfId="2568"/>
    <cellStyle name="Heading 4 41 2" xfId="7027"/>
    <cellStyle name="Heading 4 42" xfId="2569"/>
    <cellStyle name="Heading 4 42 2" xfId="7028"/>
    <cellStyle name="Heading 4 43" xfId="2570"/>
    <cellStyle name="Heading 4 43 2" xfId="7029"/>
    <cellStyle name="Heading 4 44" xfId="2571"/>
    <cellStyle name="Heading 4 44 2" xfId="7030"/>
    <cellStyle name="Heading 4 45" xfId="2572"/>
    <cellStyle name="Heading 4 45 2" xfId="7031"/>
    <cellStyle name="Heading 4 46" xfId="2573"/>
    <cellStyle name="Heading 4 46 2" xfId="7032"/>
    <cellStyle name="Heading 4 47" xfId="2574"/>
    <cellStyle name="Heading 4 47 2" xfId="7033"/>
    <cellStyle name="Heading 4 48" xfId="2575"/>
    <cellStyle name="Heading 4 48 2" xfId="7034"/>
    <cellStyle name="Heading 4 49" xfId="2576"/>
    <cellStyle name="Heading 4 49 2" xfId="7035"/>
    <cellStyle name="Heading 4 5" xfId="2577"/>
    <cellStyle name="Heading 4 5 2" xfId="7036"/>
    <cellStyle name="Heading 4 50" xfId="2578"/>
    <cellStyle name="Heading 4 50 2" xfId="7037"/>
    <cellStyle name="Heading 4 51" xfId="2579"/>
    <cellStyle name="Heading 4 51 2" xfId="7038"/>
    <cellStyle name="Heading 4 52" xfId="2580"/>
    <cellStyle name="Heading 4 52 2" xfId="7039"/>
    <cellStyle name="Heading 4 53" xfId="2581"/>
    <cellStyle name="Heading 4 53 2" xfId="7040"/>
    <cellStyle name="Heading 4 54" xfId="2582"/>
    <cellStyle name="Heading 4 54 2" xfId="7041"/>
    <cellStyle name="Heading 4 55" xfId="2583"/>
    <cellStyle name="Heading 4 55 2" xfId="7042"/>
    <cellStyle name="Heading 4 56" xfId="2584"/>
    <cellStyle name="Heading 4 56 2" xfId="7043"/>
    <cellStyle name="Heading 4 57" xfId="2585"/>
    <cellStyle name="Heading 4 57 2" xfId="7044"/>
    <cellStyle name="Heading 4 58" xfId="2586"/>
    <cellStyle name="Heading 4 58 2" xfId="7045"/>
    <cellStyle name="Heading 4 59" xfId="2587"/>
    <cellStyle name="Heading 4 59 2" xfId="7046"/>
    <cellStyle name="Heading 4 6" xfId="2588"/>
    <cellStyle name="Heading 4 6 2" xfId="7047"/>
    <cellStyle name="Heading 4 60" xfId="7048"/>
    <cellStyle name="Heading 4 7" xfId="2589"/>
    <cellStyle name="Heading 4 7 2" xfId="7049"/>
    <cellStyle name="Heading 4 8" xfId="2590"/>
    <cellStyle name="Heading 4 8 2" xfId="7050"/>
    <cellStyle name="Heading 4 9" xfId="2591"/>
    <cellStyle name="Heading 4 9 2" xfId="7051"/>
    <cellStyle name="Heading1" xfId="16787"/>
    <cellStyle name="Heading2" xfId="16788"/>
    <cellStyle name="Heading3" xfId="2592"/>
    <cellStyle name="Heading3 10" xfId="7052"/>
    <cellStyle name="Heading3 11" xfId="7053"/>
    <cellStyle name="Heading3 12" xfId="7054"/>
    <cellStyle name="Heading3 13" xfId="7055"/>
    <cellStyle name="Heading3 14" xfId="7056"/>
    <cellStyle name="Heading3 15" xfId="7057"/>
    <cellStyle name="Heading3 16" xfId="7058"/>
    <cellStyle name="Heading3 17" xfId="7059"/>
    <cellStyle name="Heading3 2" xfId="7060"/>
    <cellStyle name="Heading3 3" xfId="7061"/>
    <cellStyle name="Heading3 4" xfId="7062"/>
    <cellStyle name="Heading3 5" xfId="7063"/>
    <cellStyle name="Heading3 6" xfId="7064"/>
    <cellStyle name="Heading3 7" xfId="7065"/>
    <cellStyle name="Heading3 8" xfId="7066"/>
    <cellStyle name="Heading3 9" xfId="7067"/>
    <cellStyle name="headoption" xfId="16789"/>
    <cellStyle name="headoption 2" xfId="16790"/>
    <cellStyle name="Hyperlink 2" xfId="2593"/>
    <cellStyle name="Hyperlink 3" xfId="7068"/>
    <cellStyle name="i·0" xfId="16791"/>
    <cellStyle name="Input [yellow]" xfId="16792"/>
    <cellStyle name="Input 10" xfId="2594"/>
    <cellStyle name="Input 10 10" xfId="7069"/>
    <cellStyle name="Input 10 11" xfId="7070"/>
    <cellStyle name="Input 10 12" xfId="7071"/>
    <cellStyle name="Input 10 13" xfId="7072"/>
    <cellStyle name="Input 10 14" xfId="7073"/>
    <cellStyle name="Input 10 15" xfId="7074"/>
    <cellStyle name="Input 10 16" xfId="7075"/>
    <cellStyle name="Input 10 17" xfId="7076"/>
    <cellStyle name="Input 10 18" xfId="7077"/>
    <cellStyle name="Input 10 19" xfId="7078"/>
    <cellStyle name="Input 10 2" xfId="7079"/>
    <cellStyle name="Input 10 20" xfId="7080"/>
    <cellStyle name="Input 10 21" xfId="7081"/>
    <cellStyle name="Input 10 3" xfId="7082"/>
    <cellStyle name="Input 10 4" xfId="7083"/>
    <cellStyle name="Input 10 5" xfId="7084"/>
    <cellStyle name="Input 10 6" xfId="7085"/>
    <cellStyle name="Input 10 7" xfId="7086"/>
    <cellStyle name="Input 10 8" xfId="7087"/>
    <cellStyle name="Input 10 9" xfId="7088"/>
    <cellStyle name="Input 11" xfId="2595"/>
    <cellStyle name="Input 11 10" xfId="7089"/>
    <cellStyle name="Input 11 11" xfId="7090"/>
    <cellStyle name="Input 11 12" xfId="7091"/>
    <cellStyle name="Input 11 13" xfId="7092"/>
    <cellStyle name="Input 11 14" xfId="7093"/>
    <cellStyle name="Input 11 15" xfId="7094"/>
    <cellStyle name="Input 11 16" xfId="7095"/>
    <cellStyle name="Input 11 17" xfId="7096"/>
    <cellStyle name="Input 11 18" xfId="7097"/>
    <cellStyle name="Input 11 19" xfId="7098"/>
    <cellStyle name="Input 11 2" xfId="7099"/>
    <cellStyle name="Input 11 20" xfId="7100"/>
    <cellStyle name="Input 11 21" xfId="7101"/>
    <cellStyle name="Input 11 3" xfId="7102"/>
    <cellStyle name="Input 11 4" xfId="7103"/>
    <cellStyle name="Input 11 5" xfId="7104"/>
    <cellStyle name="Input 11 6" xfId="7105"/>
    <cellStyle name="Input 11 7" xfId="7106"/>
    <cellStyle name="Input 11 8" xfId="7107"/>
    <cellStyle name="Input 11 9" xfId="7108"/>
    <cellStyle name="Input 12" xfId="2596"/>
    <cellStyle name="Input 12 10" xfId="7109"/>
    <cellStyle name="Input 12 11" xfId="7110"/>
    <cellStyle name="Input 12 12" xfId="7111"/>
    <cellStyle name="Input 12 13" xfId="7112"/>
    <cellStyle name="Input 12 14" xfId="7113"/>
    <cellStyle name="Input 12 15" xfId="7114"/>
    <cellStyle name="Input 12 16" xfId="7115"/>
    <cellStyle name="Input 12 17" xfId="7116"/>
    <cellStyle name="Input 12 18" xfId="7117"/>
    <cellStyle name="Input 12 19" xfId="7118"/>
    <cellStyle name="Input 12 2" xfId="7119"/>
    <cellStyle name="Input 12 20" xfId="7120"/>
    <cellStyle name="Input 12 21" xfId="7121"/>
    <cellStyle name="Input 12 3" xfId="7122"/>
    <cellStyle name="Input 12 4" xfId="7123"/>
    <cellStyle name="Input 12 5" xfId="7124"/>
    <cellStyle name="Input 12 6" xfId="7125"/>
    <cellStyle name="Input 12 7" xfId="7126"/>
    <cellStyle name="Input 12 8" xfId="7127"/>
    <cellStyle name="Input 12 9" xfId="7128"/>
    <cellStyle name="Input 13" xfId="2597"/>
    <cellStyle name="Input 13 10" xfId="7129"/>
    <cellStyle name="Input 13 11" xfId="7130"/>
    <cellStyle name="Input 13 12" xfId="7131"/>
    <cellStyle name="Input 13 13" xfId="7132"/>
    <cellStyle name="Input 13 14" xfId="7133"/>
    <cellStyle name="Input 13 15" xfId="7134"/>
    <cellStyle name="Input 13 16" xfId="7135"/>
    <cellStyle name="Input 13 17" xfId="7136"/>
    <cellStyle name="Input 13 18" xfId="7137"/>
    <cellStyle name="Input 13 19" xfId="7138"/>
    <cellStyle name="Input 13 2" xfId="7139"/>
    <cellStyle name="Input 13 20" xfId="7140"/>
    <cellStyle name="Input 13 21" xfId="7141"/>
    <cellStyle name="Input 13 3" xfId="7142"/>
    <cellStyle name="Input 13 4" xfId="7143"/>
    <cellStyle name="Input 13 5" xfId="7144"/>
    <cellStyle name="Input 13 6" xfId="7145"/>
    <cellStyle name="Input 13 7" xfId="7146"/>
    <cellStyle name="Input 13 8" xfId="7147"/>
    <cellStyle name="Input 13 9" xfId="7148"/>
    <cellStyle name="Input 14" xfId="2598"/>
    <cellStyle name="Input 14 10" xfId="7149"/>
    <cellStyle name="Input 14 11" xfId="7150"/>
    <cellStyle name="Input 14 12" xfId="7151"/>
    <cellStyle name="Input 14 13" xfId="7152"/>
    <cellStyle name="Input 14 14" xfId="7153"/>
    <cellStyle name="Input 14 15" xfId="7154"/>
    <cellStyle name="Input 14 16" xfId="7155"/>
    <cellStyle name="Input 14 17" xfId="7156"/>
    <cellStyle name="Input 14 18" xfId="7157"/>
    <cellStyle name="Input 14 19" xfId="7158"/>
    <cellStyle name="Input 14 2" xfId="7159"/>
    <cellStyle name="Input 14 20" xfId="7160"/>
    <cellStyle name="Input 14 21" xfId="7161"/>
    <cellStyle name="Input 14 3" xfId="7162"/>
    <cellStyle name="Input 14 4" xfId="7163"/>
    <cellStyle name="Input 14 5" xfId="7164"/>
    <cellStyle name="Input 14 6" xfId="7165"/>
    <cellStyle name="Input 14 7" xfId="7166"/>
    <cellStyle name="Input 14 8" xfId="7167"/>
    <cellStyle name="Input 14 9" xfId="7168"/>
    <cellStyle name="Input 15" xfId="2599"/>
    <cellStyle name="Input 15 10" xfId="7169"/>
    <cellStyle name="Input 15 11" xfId="7170"/>
    <cellStyle name="Input 15 12" xfId="7171"/>
    <cellStyle name="Input 15 13" xfId="7172"/>
    <cellStyle name="Input 15 14" xfId="7173"/>
    <cellStyle name="Input 15 15" xfId="7174"/>
    <cellStyle name="Input 15 16" xfId="7175"/>
    <cellStyle name="Input 15 17" xfId="7176"/>
    <cellStyle name="Input 15 18" xfId="7177"/>
    <cellStyle name="Input 15 19" xfId="7178"/>
    <cellStyle name="Input 15 2" xfId="7179"/>
    <cellStyle name="Input 15 20" xfId="7180"/>
    <cellStyle name="Input 15 21" xfId="7181"/>
    <cellStyle name="Input 15 3" xfId="7182"/>
    <cellStyle name="Input 15 4" xfId="7183"/>
    <cellStyle name="Input 15 5" xfId="7184"/>
    <cellStyle name="Input 15 6" xfId="7185"/>
    <cellStyle name="Input 15 7" xfId="7186"/>
    <cellStyle name="Input 15 8" xfId="7187"/>
    <cellStyle name="Input 15 9" xfId="7188"/>
    <cellStyle name="Input 16" xfId="2600"/>
    <cellStyle name="Input 16 10" xfId="7189"/>
    <cellStyle name="Input 16 11" xfId="7190"/>
    <cellStyle name="Input 16 12" xfId="7191"/>
    <cellStyle name="Input 16 13" xfId="7192"/>
    <cellStyle name="Input 16 14" xfId="7193"/>
    <cellStyle name="Input 16 15" xfId="7194"/>
    <cellStyle name="Input 16 16" xfId="7195"/>
    <cellStyle name="Input 16 17" xfId="7196"/>
    <cellStyle name="Input 16 18" xfId="7197"/>
    <cellStyle name="Input 16 19" xfId="7198"/>
    <cellStyle name="Input 16 2" xfId="7199"/>
    <cellStyle name="Input 16 20" xfId="7200"/>
    <cellStyle name="Input 16 21" xfId="7201"/>
    <cellStyle name="Input 16 3" xfId="7202"/>
    <cellStyle name="Input 16 4" xfId="7203"/>
    <cellStyle name="Input 16 5" xfId="7204"/>
    <cellStyle name="Input 16 6" xfId="7205"/>
    <cellStyle name="Input 16 7" xfId="7206"/>
    <cellStyle name="Input 16 8" xfId="7207"/>
    <cellStyle name="Input 16 9" xfId="7208"/>
    <cellStyle name="Input 17" xfId="2601"/>
    <cellStyle name="Input 17 10" xfId="7209"/>
    <cellStyle name="Input 17 11" xfId="7210"/>
    <cellStyle name="Input 17 12" xfId="7211"/>
    <cellStyle name="Input 17 13" xfId="7212"/>
    <cellStyle name="Input 17 14" xfId="7213"/>
    <cellStyle name="Input 17 15" xfId="7214"/>
    <cellStyle name="Input 17 16" xfId="7215"/>
    <cellStyle name="Input 17 17" xfId="7216"/>
    <cellStyle name="Input 17 18" xfId="7217"/>
    <cellStyle name="Input 17 19" xfId="7218"/>
    <cellStyle name="Input 17 2" xfId="7219"/>
    <cellStyle name="Input 17 20" xfId="7220"/>
    <cellStyle name="Input 17 21" xfId="7221"/>
    <cellStyle name="Input 17 3" xfId="7222"/>
    <cellStyle name="Input 17 4" xfId="7223"/>
    <cellStyle name="Input 17 5" xfId="7224"/>
    <cellStyle name="Input 17 6" xfId="7225"/>
    <cellStyle name="Input 17 7" xfId="7226"/>
    <cellStyle name="Input 17 8" xfId="7227"/>
    <cellStyle name="Input 17 9" xfId="7228"/>
    <cellStyle name="Input 18" xfId="2602"/>
    <cellStyle name="Input 18 10" xfId="7229"/>
    <cellStyle name="Input 18 11" xfId="7230"/>
    <cellStyle name="Input 18 12" xfId="7231"/>
    <cellStyle name="Input 18 13" xfId="7232"/>
    <cellStyle name="Input 18 14" xfId="7233"/>
    <cellStyle name="Input 18 15" xfId="7234"/>
    <cellStyle name="Input 18 16" xfId="7235"/>
    <cellStyle name="Input 18 17" xfId="7236"/>
    <cellStyle name="Input 18 18" xfId="7237"/>
    <cellStyle name="Input 18 19" xfId="7238"/>
    <cellStyle name="Input 18 2" xfId="7239"/>
    <cellStyle name="Input 18 20" xfId="7240"/>
    <cellStyle name="Input 18 21" xfId="7241"/>
    <cellStyle name="Input 18 3" xfId="7242"/>
    <cellStyle name="Input 18 4" xfId="7243"/>
    <cellStyle name="Input 18 5" xfId="7244"/>
    <cellStyle name="Input 18 6" xfId="7245"/>
    <cellStyle name="Input 18 7" xfId="7246"/>
    <cellStyle name="Input 18 8" xfId="7247"/>
    <cellStyle name="Input 18 9" xfId="7248"/>
    <cellStyle name="Input 19" xfId="2603"/>
    <cellStyle name="Input 19 10" xfId="7249"/>
    <cellStyle name="Input 19 11" xfId="7250"/>
    <cellStyle name="Input 19 12" xfId="7251"/>
    <cellStyle name="Input 19 13" xfId="7252"/>
    <cellStyle name="Input 19 14" xfId="7253"/>
    <cellStyle name="Input 19 15" xfId="7254"/>
    <cellStyle name="Input 19 16" xfId="7255"/>
    <cellStyle name="Input 19 17" xfId="7256"/>
    <cellStyle name="Input 19 18" xfId="7257"/>
    <cellStyle name="Input 19 19" xfId="7258"/>
    <cellStyle name="Input 19 2" xfId="7259"/>
    <cellStyle name="Input 19 20" xfId="7260"/>
    <cellStyle name="Input 19 21" xfId="7261"/>
    <cellStyle name="Input 19 3" xfId="7262"/>
    <cellStyle name="Input 19 4" xfId="7263"/>
    <cellStyle name="Input 19 5" xfId="7264"/>
    <cellStyle name="Input 19 6" xfId="7265"/>
    <cellStyle name="Input 19 7" xfId="7266"/>
    <cellStyle name="Input 19 8" xfId="7267"/>
    <cellStyle name="Input 19 9" xfId="7268"/>
    <cellStyle name="Input 2" xfId="2604"/>
    <cellStyle name="Input 2 10" xfId="7269"/>
    <cellStyle name="Input 2 11" xfId="7270"/>
    <cellStyle name="Input 2 12" xfId="7271"/>
    <cellStyle name="Input 2 13" xfId="7272"/>
    <cellStyle name="Input 2 14" xfId="7273"/>
    <cellStyle name="Input 2 15" xfId="7274"/>
    <cellStyle name="Input 2 16" xfId="7275"/>
    <cellStyle name="Input 2 17" xfId="7276"/>
    <cellStyle name="Input 2 18" xfId="7277"/>
    <cellStyle name="Input 2 19" xfId="7278"/>
    <cellStyle name="Input 2 2" xfId="2605"/>
    <cellStyle name="Input 2 2 10" xfId="7279"/>
    <cellStyle name="Input 2 2 11" xfId="7280"/>
    <cellStyle name="Input 2 2 12" xfId="7281"/>
    <cellStyle name="Input 2 2 13" xfId="7282"/>
    <cellStyle name="Input 2 2 14" xfId="7283"/>
    <cellStyle name="Input 2 2 15" xfId="7284"/>
    <cellStyle name="Input 2 2 16" xfId="7285"/>
    <cellStyle name="Input 2 2 17" xfId="7286"/>
    <cellStyle name="Input 2 2 18" xfId="7287"/>
    <cellStyle name="Input 2 2 19" xfId="7288"/>
    <cellStyle name="Input 2 2 2" xfId="7289"/>
    <cellStyle name="Input 2 2 20" xfId="7290"/>
    <cellStyle name="Input 2 2 21" xfId="7291"/>
    <cellStyle name="Input 2 2 3" xfId="7292"/>
    <cellStyle name="Input 2 2 4" xfId="7293"/>
    <cellStyle name="Input 2 2 5" xfId="7294"/>
    <cellStyle name="Input 2 2 6" xfId="7295"/>
    <cellStyle name="Input 2 2 7" xfId="7296"/>
    <cellStyle name="Input 2 2 8" xfId="7297"/>
    <cellStyle name="Input 2 2 9" xfId="7298"/>
    <cellStyle name="Input 2 20" xfId="7299"/>
    <cellStyle name="Input 2 21" xfId="7300"/>
    <cellStyle name="Input 2 22" xfId="7301"/>
    <cellStyle name="Input 2 3" xfId="7302"/>
    <cellStyle name="Input 2 4" xfId="7303"/>
    <cellStyle name="Input 2 5" xfId="7304"/>
    <cellStyle name="Input 2 6" xfId="7305"/>
    <cellStyle name="Input 2 7" xfId="7306"/>
    <cellStyle name="Input 2 8" xfId="7307"/>
    <cellStyle name="Input 2 9" xfId="7308"/>
    <cellStyle name="Input 20" xfId="2606"/>
    <cellStyle name="Input 20 10" xfId="7309"/>
    <cellStyle name="Input 20 11" xfId="7310"/>
    <cellStyle name="Input 20 12" xfId="7311"/>
    <cellStyle name="Input 20 13" xfId="7312"/>
    <cellStyle name="Input 20 14" xfId="7313"/>
    <cellStyle name="Input 20 15" xfId="7314"/>
    <cellStyle name="Input 20 16" xfId="7315"/>
    <cellStyle name="Input 20 17" xfId="7316"/>
    <cellStyle name="Input 20 18" xfId="7317"/>
    <cellStyle name="Input 20 19" xfId="7318"/>
    <cellStyle name="Input 20 2" xfId="7319"/>
    <cellStyle name="Input 20 20" xfId="7320"/>
    <cellStyle name="Input 20 21" xfId="7321"/>
    <cellStyle name="Input 20 3" xfId="7322"/>
    <cellStyle name="Input 20 4" xfId="7323"/>
    <cellStyle name="Input 20 5" xfId="7324"/>
    <cellStyle name="Input 20 6" xfId="7325"/>
    <cellStyle name="Input 20 7" xfId="7326"/>
    <cellStyle name="Input 20 8" xfId="7327"/>
    <cellStyle name="Input 20 9" xfId="7328"/>
    <cellStyle name="Input 21" xfId="2607"/>
    <cellStyle name="Input 21 10" xfId="7329"/>
    <cellStyle name="Input 21 11" xfId="7330"/>
    <cellStyle name="Input 21 12" xfId="7331"/>
    <cellStyle name="Input 21 13" xfId="7332"/>
    <cellStyle name="Input 21 14" xfId="7333"/>
    <cellStyle name="Input 21 15" xfId="7334"/>
    <cellStyle name="Input 21 16" xfId="7335"/>
    <cellStyle name="Input 21 17" xfId="7336"/>
    <cellStyle name="Input 21 18" xfId="7337"/>
    <cellStyle name="Input 21 19" xfId="7338"/>
    <cellStyle name="Input 21 2" xfId="7339"/>
    <cellStyle name="Input 21 20" xfId="7340"/>
    <cellStyle name="Input 21 21" xfId="7341"/>
    <cellStyle name="Input 21 3" xfId="7342"/>
    <cellStyle name="Input 21 4" xfId="7343"/>
    <cellStyle name="Input 21 5" xfId="7344"/>
    <cellStyle name="Input 21 6" xfId="7345"/>
    <cellStyle name="Input 21 7" xfId="7346"/>
    <cellStyle name="Input 21 8" xfId="7347"/>
    <cellStyle name="Input 21 9" xfId="7348"/>
    <cellStyle name="Input 22" xfId="2608"/>
    <cellStyle name="Input 22 10" xfId="7349"/>
    <cellStyle name="Input 22 11" xfId="7350"/>
    <cellStyle name="Input 22 12" xfId="7351"/>
    <cellStyle name="Input 22 13" xfId="7352"/>
    <cellStyle name="Input 22 14" xfId="7353"/>
    <cellStyle name="Input 22 15" xfId="7354"/>
    <cellStyle name="Input 22 16" xfId="7355"/>
    <cellStyle name="Input 22 17" xfId="7356"/>
    <cellStyle name="Input 22 18" xfId="7357"/>
    <cellStyle name="Input 22 19" xfId="7358"/>
    <cellStyle name="Input 22 2" xfId="7359"/>
    <cellStyle name="Input 22 20" xfId="7360"/>
    <cellStyle name="Input 22 21" xfId="7361"/>
    <cellStyle name="Input 22 3" xfId="7362"/>
    <cellStyle name="Input 22 4" xfId="7363"/>
    <cellStyle name="Input 22 5" xfId="7364"/>
    <cellStyle name="Input 22 6" xfId="7365"/>
    <cellStyle name="Input 22 7" xfId="7366"/>
    <cellStyle name="Input 22 8" xfId="7367"/>
    <cellStyle name="Input 22 9" xfId="7368"/>
    <cellStyle name="Input 23" xfId="2609"/>
    <cellStyle name="Input 23 10" xfId="7369"/>
    <cellStyle name="Input 23 11" xfId="7370"/>
    <cellStyle name="Input 23 12" xfId="7371"/>
    <cellStyle name="Input 23 13" xfId="7372"/>
    <cellStyle name="Input 23 14" xfId="7373"/>
    <cellStyle name="Input 23 15" xfId="7374"/>
    <cellStyle name="Input 23 16" xfId="7375"/>
    <cellStyle name="Input 23 17" xfId="7376"/>
    <cellStyle name="Input 23 18" xfId="7377"/>
    <cellStyle name="Input 23 19" xfId="7378"/>
    <cellStyle name="Input 23 2" xfId="7379"/>
    <cellStyle name="Input 23 20" xfId="7380"/>
    <cellStyle name="Input 23 21" xfId="7381"/>
    <cellStyle name="Input 23 3" xfId="7382"/>
    <cellStyle name="Input 23 4" xfId="7383"/>
    <cellStyle name="Input 23 5" xfId="7384"/>
    <cellStyle name="Input 23 6" xfId="7385"/>
    <cellStyle name="Input 23 7" xfId="7386"/>
    <cellStyle name="Input 23 8" xfId="7387"/>
    <cellStyle name="Input 23 9" xfId="7388"/>
    <cellStyle name="Input 24" xfId="2610"/>
    <cellStyle name="Input 24 10" xfId="7389"/>
    <cellStyle name="Input 24 11" xfId="7390"/>
    <cellStyle name="Input 24 12" xfId="7391"/>
    <cellStyle name="Input 24 13" xfId="7392"/>
    <cellStyle name="Input 24 14" xfId="7393"/>
    <cellStyle name="Input 24 15" xfId="7394"/>
    <cellStyle name="Input 24 16" xfId="7395"/>
    <cellStyle name="Input 24 17" xfId="7396"/>
    <cellStyle name="Input 24 18" xfId="7397"/>
    <cellStyle name="Input 24 19" xfId="7398"/>
    <cellStyle name="Input 24 2" xfId="7399"/>
    <cellStyle name="Input 24 20" xfId="7400"/>
    <cellStyle name="Input 24 21" xfId="7401"/>
    <cellStyle name="Input 24 3" xfId="7402"/>
    <cellStyle name="Input 24 4" xfId="7403"/>
    <cellStyle name="Input 24 5" xfId="7404"/>
    <cellStyle name="Input 24 6" xfId="7405"/>
    <cellStyle name="Input 24 7" xfId="7406"/>
    <cellStyle name="Input 24 8" xfId="7407"/>
    <cellStyle name="Input 24 9" xfId="7408"/>
    <cellStyle name="Input 25" xfId="2611"/>
    <cellStyle name="Input 25 10" xfId="7409"/>
    <cellStyle name="Input 25 11" xfId="7410"/>
    <cellStyle name="Input 25 12" xfId="7411"/>
    <cellStyle name="Input 25 13" xfId="7412"/>
    <cellStyle name="Input 25 14" xfId="7413"/>
    <cellStyle name="Input 25 15" xfId="7414"/>
    <cellStyle name="Input 25 16" xfId="7415"/>
    <cellStyle name="Input 25 17" xfId="7416"/>
    <cellStyle name="Input 25 18" xfId="7417"/>
    <cellStyle name="Input 25 19" xfId="7418"/>
    <cellStyle name="Input 25 2" xfId="7419"/>
    <cellStyle name="Input 25 20" xfId="7420"/>
    <cellStyle name="Input 25 21" xfId="7421"/>
    <cellStyle name="Input 25 3" xfId="7422"/>
    <cellStyle name="Input 25 4" xfId="7423"/>
    <cellStyle name="Input 25 5" xfId="7424"/>
    <cellStyle name="Input 25 6" xfId="7425"/>
    <cellStyle name="Input 25 7" xfId="7426"/>
    <cellStyle name="Input 25 8" xfId="7427"/>
    <cellStyle name="Input 25 9" xfId="7428"/>
    <cellStyle name="Input 26" xfId="2612"/>
    <cellStyle name="Input 26 10" xfId="7429"/>
    <cellStyle name="Input 26 11" xfId="7430"/>
    <cellStyle name="Input 26 12" xfId="7431"/>
    <cellStyle name="Input 26 13" xfId="7432"/>
    <cellStyle name="Input 26 14" xfId="7433"/>
    <cellStyle name="Input 26 15" xfId="7434"/>
    <cellStyle name="Input 26 16" xfId="7435"/>
    <cellStyle name="Input 26 17" xfId="7436"/>
    <cellStyle name="Input 26 18" xfId="7437"/>
    <cellStyle name="Input 26 19" xfId="7438"/>
    <cellStyle name="Input 26 2" xfId="7439"/>
    <cellStyle name="Input 26 20" xfId="7440"/>
    <cellStyle name="Input 26 21" xfId="7441"/>
    <cellStyle name="Input 26 3" xfId="7442"/>
    <cellStyle name="Input 26 4" xfId="7443"/>
    <cellStyle name="Input 26 5" xfId="7444"/>
    <cellStyle name="Input 26 6" xfId="7445"/>
    <cellStyle name="Input 26 7" xfId="7446"/>
    <cellStyle name="Input 26 8" xfId="7447"/>
    <cellStyle name="Input 26 9" xfId="7448"/>
    <cellStyle name="Input 27" xfId="2613"/>
    <cellStyle name="Input 27 10" xfId="7449"/>
    <cellStyle name="Input 27 11" xfId="7450"/>
    <cellStyle name="Input 27 12" xfId="7451"/>
    <cellStyle name="Input 27 13" xfId="7452"/>
    <cellStyle name="Input 27 14" xfId="7453"/>
    <cellStyle name="Input 27 15" xfId="7454"/>
    <cellStyle name="Input 27 16" xfId="7455"/>
    <cellStyle name="Input 27 17" xfId="7456"/>
    <cellStyle name="Input 27 18" xfId="7457"/>
    <cellStyle name="Input 27 19" xfId="7458"/>
    <cellStyle name="Input 27 2" xfId="7459"/>
    <cellStyle name="Input 27 20" xfId="7460"/>
    <cellStyle name="Input 27 21" xfId="7461"/>
    <cellStyle name="Input 27 3" xfId="7462"/>
    <cellStyle name="Input 27 4" xfId="7463"/>
    <cellStyle name="Input 27 5" xfId="7464"/>
    <cellStyle name="Input 27 6" xfId="7465"/>
    <cellStyle name="Input 27 7" xfId="7466"/>
    <cellStyle name="Input 27 8" xfId="7467"/>
    <cellStyle name="Input 27 9" xfId="7468"/>
    <cellStyle name="Input 28" xfId="2614"/>
    <cellStyle name="Input 28 10" xfId="7469"/>
    <cellStyle name="Input 28 11" xfId="7470"/>
    <cellStyle name="Input 28 12" xfId="7471"/>
    <cellStyle name="Input 28 13" xfId="7472"/>
    <cellStyle name="Input 28 14" xfId="7473"/>
    <cellStyle name="Input 28 15" xfId="7474"/>
    <cellStyle name="Input 28 16" xfId="7475"/>
    <cellStyle name="Input 28 17" xfId="7476"/>
    <cellStyle name="Input 28 18" xfId="7477"/>
    <cellStyle name="Input 28 19" xfId="7478"/>
    <cellStyle name="Input 28 2" xfId="7479"/>
    <cellStyle name="Input 28 20" xfId="7480"/>
    <cellStyle name="Input 28 21" xfId="7481"/>
    <cellStyle name="Input 28 3" xfId="7482"/>
    <cellStyle name="Input 28 4" xfId="7483"/>
    <cellStyle name="Input 28 5" xfId="7484"/>
    <cellStyle name="Input 28 6" xfId="7485"/>
    <cellStyle name="Input 28 7" xfId="7486"/>
    <cellStyle name="Input 28 8" xfId="7487"/>
    <cellStyle name="Input 28 9" xfId="7488"/>
    <cellStyle name="Input 29" xfId="2615"/>
    <cellStyle name="Input 29 10" xfId="7489"/>
    <cellStyle name="Input 29 11" xfId="7490"/>
    <cellStyle name="Input 29 12" xfId="7491"/>
    <cellStyle name="Input 29 13" xfId="7492"/>
    <cellStyle name="Input 29 14" xfId="7493"/>
    <cellStyle name="Input 29 15" xfId="7494"/>
    <cellStyle name="Input 29 16" xfId="7495"/>
    <cellStyle name="Input 29 17" xfId="7496"/>
    <cellStyle name="Input 29 18" xfId="7497"/>
    <cellStyle name="Input 29 19" xfId="7498"/>
    <cellStyle name="Input 29 2" xfId="7499"/>
    <cellStyle name="Input 29 20" xfId="7500"/>
    <cellStyle name="Input 29 21" xfId="7501"/>
    <cellStyle name="Input 29 3" xfId="7502"/>
    <cellStyle name="Input 29 4" xfId="7503"/>
    <cellStyle name="Input 29 5" xfId="7504"/>
    <cellStyle name="Input 29 6" xfId="7505"/>
    <cellStyle name="Input 29 7" xfId="7506"/>
    <cellStyle name="Input 29 8" xfId="7507"/>
    <cellStyle name="Input 29 9" xfId="7508"/>
    <cellStyle name="Input 3" xfId="2616"/>
    <cellStyle name="Input 3 10" xfId="7509"/>
    <cellStyle name="Input 3 11" xfId="7510"/>
    <cellStyle name="Input 3 12" xfId="7511"/>
    <cellStyle name="Input 3 13" xfId="7512"/>
    <cellStyle name="Input 3 14" xfId="7513"/>
    <cellStyle name="Input 3 15" xfId="7514"/>
    <cellStyle name="Input 3 16" xfId="7515"/>
    <cellStyle name="Input 3 17" xfId="7516"/>
    <cellStyle name="Input 3 18" xfId="7517"/>
    <cellStyle name="Input 3 19" xfId="7518"/>
    <cellStyle name="Input 3 2" xfId="7519"/>
    <cellStyle name="Input 3 20" xfId="7520"/>
    <cellStyle name="Input 3 21" xfId="7521"/>
    <cellStyle name="Input 3 3" xfId="7522"/>
    <cellStyle name="Input 3 4" xfId="7523"/>
    <cellStyle name="Input 3 5" xfId="7524"/>
    <cellStyle name="Input 3 6" xfId="7525"/>
    <cellStyle name="Input 3 7" xfId="7526"/>
    <cellStyle name="Input 3 8" xfId="7527"/>
    <cellStyle name="Input 3 9" xfId="7528"/>
    <cellStyle name="Input 30" xfId="2617"/>
    <cellStyle name="Input 30 10" xfId="7529"/>
    <cellStyle name="Input 30 11" xfId="7530"/>
    <cellStyle name="Input 30 12" xfId="7531"/>
    <cellStyle name="Input 30 13" xfId="7532"/>
    <cellStyle name="Input 30 14" xfId="7533"/>
    <cellStyle name="Input 30 15" xfId="7534"/>
    <cellStyle name="Input 30 16" xfId="7535"/>
    <cellStyle name="Input 30 17" xfId="7536"/>
    <cellStyle name="Input 30 18" xfId="7537"/>
    <cellStyle name="Input 30 19" xfId="7538"/>
    <cellStyle name="Input 30 2" xfId="7539"/>
    <cellStyle name="Input 30 20" xfId="7540"/>
    <cellStyle name="Input 30 21" xfId="7541"/>
    <cellStyle name="Input 30 3" xfId="7542"/>
    <cellStyle name="Input 30 4" xfId="7543"/>
    <cellStyle name="Input 30 5" xfId="7544"/>
    <cellStyle name="Input 30 6" xfId="7545"/>
    <cellStyle name="Input 30 7" xfId="7546"/>
    <cellStyle name="Input 30 8" xfId="7547"/>
    <cellStyle name="Input 30 9" xfId="7548"/>
    <cellStyle name="Input 31" xfId="2618"/>
    <cellStyle name="Input 31 10" xfId="7549"/>
    <cellStyle name="Input 31 11" xfId="7550"/>
    <cellStyle name="Input 31 12" xfId="7551"/>
    <cellStyle name="Input 31 13" xfId="7552"/>
    <cellStyle name="Input 31 14" xfId="7553"/>
    <cellStyle name="Input 31 15" xfId="7554"/>
    <cellStyle name="Input 31 16" xfId="7555"/>
    <cellStyle name="Input 31 17" xfId="7556"/>
    <cellStyle name="Input 31 18" xfId="7557"/>
    <cellStyle name="Input 31 19" xfId="7558"/>
    <cellStyle name="Input 31 2" xfId="7559"/>
    <cellStyle name="Input 31 20" xfId="7560"/>
    <cellStyle name="Input 31 21" xfId="7561"/>
    <cellStyle name="Input 31 3" xfId="7562"/>
    <cellStyle name="Input 31 4" xfId="7563"/>
    <cellStyle name="Input 31 5" xfId="7564"/>
    <cellStyle name="Input 31 6" xfId="7565"/>
    <cellStyle name="Input 31 7" xfId="7566"/>
    <cellStyle name="Input 31 8" xfId="7567"/>
    <cellStyle name="Input 31 9" xfId="7568"/>
    <cellStyle name="Input 32" xfId="2619"/>
    <cellStyle name="Input 32 10" xfId="7569"/>
    <cellStyle name="Input 32 11" xfId="7570"/>
    <cellStyle name="Input 32 12" xfId="7571"/>
    <cellStyle name="Input 32 13" xfId="7572"/>
    <cellStyle name="Input 32 14" xfId="7573"/>
    <cellStyle name="Input 32 15" xfId="7574"/>
    <cellStyle name="Input 32 16" xfId="7575"/>
    <cellStyle name="Input 32 17" xfId="7576"/>
    <cellStyle name="Input 32 18" xfId="7577"/>
    <cellStyle name="Input 32 19" xfId="7578"/>
    <cellStyle name="Input 32 2" xfId="7579"/>
    <cellStyle name="Input 32 20" xfId="7580"/>
    <cellStyle name="Input 32 21" xfId="7581"/>
    <cellStyle name="Input 32 3" xfId="7582"/>
    <cellStyle name="Input 32 4" xfId="7583"/>
    <cellStyle name="Input 32 5" xfId="7584"/>
    <cellStyle name="Input 32 6" xfId="7585"/>
    <cellStyle name="Input 32 7" xfId="7586"/>
    <cellStyle name="Input 32 8" xfId="7587"/>
    <cellStyle name="Input 32 9" xfId="7588"/>
    <cellStyle name="Input 33" xfId="2620"/>
    <cellStyle name="Input 33 10" xfId="7589"/>
    <cellStyle name="Input 33 11" xfId="7590"/>
    <cellStyle name="Input 33 12" xfId="7591"/>
    <cellStyle name="Input 33 13" xfId="7592"/>
    <cellStyle name="Input 33 14" xfId="7593"/>
    <cellStyle name="Input 33 15" xfId="7594"/>
    <cellStyle name="Input 33 16" xfId="7595"/>
    <cellStyle name="Input 33 17" xfId="7596"/>
    <cellStyle name="Input 33 18" xfId="7597"/>
    <cellStyle name="Input 33 19" xfId="7598"/>
    <cellStyle name="Input 33 2" xfId="7599"/>
    <cellStyle name="Input 33 20" xfId="7600"/>
    <cellStyle name="Input 33 21" xfId="7601"/>
    <cellStyle name="Input 33 3" xfId="7602"/>
    <cellStyle name="Input 33 4" xfId="7603"/>
    <cellStyle name="Input 33 5" xfId="7604"/>
    <cellStyle name="Input 33 6" xfId="7605"/>
    <cellStyle name="Input 33 7" xfId="7606"/>
    <cellStyle name="Input 33 8" xfId="7607"/>
    <cellStyle name="Input 33 9" xfId="7608"/>
    <cellStyle name="Input 34" xfId="2621"/>
    <cellStyle name="Input 34 10" xfId="7609"/>
    <cellStyle name="Input 34 11" xfId="7610"/>
    <cellStyle name="Input 34 12" xfId="7611"/>
    <cellStyle name="Input 34 13" xfId="7612"/>
    <cellStyle name="Input 34 14" xfId="7613"/>
    <cellStyle name="Input 34 15" xfId="7614"/>
    <cellStyle name="Input 34 16" xfId="7615"/>
    <cellStyle name="Input 34 17" xfId="7616"/>
    <cellStyle name="Input 34 18" xfId="7617"/>
    <cellStyle name="Input 34 19" xfId="7618"/>
    <cellStyle name="Input 34 2" xfId="7619"/>
    <cellStyle name="Input 34 20" xfId="7620"/>
    <cellStyle name="Input 34 21" xfId="7621"/>
    <cellStyle name="Input 34 3" xfId="7622"/>
    <cellStyle name="Input 34 4" xfId="7623"/>
    <cellStyle name="Input 34 5" xfId="7624"/>
    <cellStyle name="Input 34 6" xfId="7625"/>
    <cellStyle name="Input 34 7" xfId="7626"/>
    <cellStyle name="Input 34 8" xfId="7627"/>
    <cellStyle name="Input 34 9" xfId="7628"/>
    <cellStyle name="Input 35" xfId="2622"/>
    <cellStyle name="Input 35 10" xfId="7629"/>
    <cellStyle name="Input 35 11" xfId="7630"/>
    <cellStyle name="Input 35 12" xfId="7631"/>
    <cellStyle name="Input 35 13" xfId="7632"/>
    <cellStyle name="Input 35 14" xfId="7633"/>
    <cellStyle name="Input 35 15" xfId="7634"/>
    <cellStyle name="Input 35 16" xfId="7635"/>
    <cellStyle name="Input 35 17" xfId="7636"/>
    <cellStyle name="Input 35 18" xfId="7637"/>
    <cellStyle name="Input 35 19" xfId="7638"/>
    <cellStyle name="Input 35 2" xfId="7639"/>
    <cellStyle name="Input 35 20" xfId="7640"/>
    <cellStyle name="Input 35 21" xfId="7641"/>
    <cellStyle name="Input 35 3" xfId="7642"/>
    <cellStyle name="Input 35 4" xfId="7643"/>
    <cellStyle name="Input 35 5" xfId="7644"/>
    <cellStyle name="Input 35 6" xfId="7645"/>
    <cellStyle name="Input 35 7" xfId="7646"/>
    <cellStyle name="Input 35 8" xfId="7647"/>
    <cellStyle name="Input 35 9" xfId="7648"/>
    <cellStyle name="Input 36" xfId="2623"/>
    <cellStyle name="Input 36 10" xfId="7649"/>
    <cellStyle name="Input 36 11" xfId="7650"/>
    <cellStyle name="Input 36 12" xfId="7651"/>
    <cellStyle name="Input 36 13" xfId="7652"/>
    <cellStyle name="Input 36 14" xfId="7653"/>
    <cellStyle name="Input 36 15" xfId="7654"/>
    <cellStyle name="Input 36 16" xfId="7655"/>
    <cellStyle name="Input 36 17" xfId="7656"/>
    <cellStyle name="Input 36 18" xfId="7657"/>
    <cellStyle name="Input 36 19" xfId="7658"/>
    <cellStyle name="Input 36 2" xfId="7659"/>
    <cellStyle name="Input 36 20" xfId="7660"/>
    <cellStyle name="Input 36 21" xfId="7661"/>
    <cellStyle name="Input 36 3" xfId="7662"/>
    <cellStyle name="Input 36 4" xfId="7663"/>
    <cellStyle name="Input 36 5" xfId="7664"/>
    <cellStyle name="Input 36 6" xfId="7665"/>
    <cellStyle name="Input 36 7" xfId="7666"/>
    <cellStyle name="Input 36 8" xfId="7667"/>
    <cellStyle name="Input 36 9" xfId="7668"/>
    <cellStyle name="Input 37" xfId="2624"/>
    <cellStyle name="Input 37 10" xfId="7669"/>
    <cellStyle name="Input 37 11" xfId="7670"/>
    <cellStyle name="Input 37 12" xfId="7671"/>
    <cellStyle name="Input 37 13" xfId="7672"/>
    <cellStyle name="Input 37 14" xfId="7673"/>
    <cellStyle name="Input 37 15" xfId="7674"/>
    <cellStyle name="Input 37 16" xfId="7675"/>
    <cellStyle name="Input 37 17" xfId="7676"/>
    <cellStyle name="Input 37 18" xfId="7677"/>
    <cellStyle name="Input 37 19" xfId="7678"/>
    <cellStyle name="Input 37 2" xfId="7679"/>
    <cellStyle name="Input 37 20" xfId="7680"/>
    <cellStyle name="Input 37 21" xfId="7681"/>
    <cellStyle name="Input 37 3" xfId="7682"/>
    <cellStyle name="Input 37 4" xfId="7683"/>
    <cellStyle name="Input 37 5" xfId="7684"/>
    <cellStyle name="Input 37 6" xfId="7685"/>
    <cellStyle name="Input 37 7" xfId="7686"/>
    <cellStyle name="Input 37 8" xfId="7687"/>
    <cellStyle name="Input 37 9" xfId="7688"/>
    <cellStyle name="Input 38" xfId="2625"/>
    <cellStyle name="Input 38 10" xfId="7689"/>
    <cellStyle name="Input 38 11" xfId="7690"/>
    <cellStyle name="Input 38 12" xfId="7691"/>
    <cellStyle name="Input 38 13" xfId="7692"/>
    <cellStyle name="Input 38 14" xfId="7693"/>
    <cellStyle name="Input 38 15" xfId="7694"/>
    <cellStyle name="Input 38 16" xfId="7695"/>
    <cellStyle name="Input 38 17" xfId="7696"/>
    <cellStyle name="Input 38 18" xfId="7697"/>
    <cellStyle name="Input 38 19" xfId="7698"/>
    <cellStyle name="Input 38 2" xfId="7699"/>
    <cellStyle name="Input 38 20" xfId="7700"/>
    <cellStyle name="Input 38 21" xfId="7701"/>
    <cellStyle name="Input 38 3" xfId="7702"/>
    <cellStyle name="Input 38 4" xfId="7703"/>
    <cellStyle name="Input 38 5" xfId="7704"/>
    <cellStyle name="Input 38 6" xfId="7705"/>
    <cellStyle name="Input 38 7" xfId="7706"/>
    <cellStyle name="Input 38 8" xfId="7707"/>
    <cellStyle name="Input 38 9" xfId="7708"/>
    <cellStyle name="Input 39" xfId="2626"/>
    <cellStyle name="Input 39 10" xfId="7709"/>
    <cellStyle name="Input 39 11" xfId="7710"/>
    <cellStyle name="Input 39 12" xfId="7711"/>
    <cellStyle name="Input 39 13" xfId="7712"/>
    <cellStyle name="Input 39 14" xfId="7713"/>
    <cellStyle name="Input 39 15" xfId="7714"/>
    <cellStyle name="Input 39 16" xfId="7715"/>
    <cellStyle name="Input 39 17" xfId="7716"/>
    <cellStyle name="Input 39 18" xfId="7717"/>
    <cellStyle name="Input 39 19" xfId="7718"/>
    <cellStyle name="Input 39 2" xfId="7719"/>
    <cellStyle name="Input 39 20" xfId="7720"/>
    <cellStyle name="Input 39 21" xfId="7721"/>
    <cellStyle name="Input 39 3" xfId="7722"/>
    <cellStyle name="Input 39 4" xfId="7723"/>
    <cellStyle name="Input 39 5" xfId="7724"/>
    <cellStyle name="Input 39 6" xfId="7725"/>
    <cellStyle name="Input 39 7" xfId="7726"/>
    <cellStyle name="Input 39 8" xfId="7727"/>
    <cellStyle name="Input 39 9" xfId="7728"/>
    <cellStyle name="Input 4" xfId="2627"/>
    <cellStyle name="Input 4 10" xfId="7729"/>
    <cellStyle name="Input 4 11" xfId="7730"/>
    <cellStyle name="Input 4 12" xfId="7731"/>
    <cellStyle name="Input 4 13" xfId="7732"/>
    <cellStyle name="Input 4 14" xfId="7733"/>
    <cellStyle name="Input 4 15" xfId="7734"/>
    <cellStyle name="Input 4 16" xfId="7735"/>
    <cellStyle name="Input 4 17" xfId="7736"/>
    <cellStyle name="Input 4 18" xfId="7737"/>
    <cellStyle name="Input 4 19" xfId="7738"/>
    <cellStyle name="Input 4 2" xfId="7739"/>
    <cellStyle name="Input 4 20" xfId="7740"/>
    <cellStyle name="Input 4 21" xfId="7741"/>
    <cellStyle name="Input 4 3" xfId="7742"/>
    <cellStyle name="Input 4 4" xfId="7743"/>
    <cellStyle name="Input 4 5" xfId="7744"/>
    <cellStyle name="Input 4 6" xfId="7745"/>
    <cellStyle name="Input 4 7" xfId="7746"/>
    <cellStyle name="Input 4 8" xfId="7747"/>
    <cellStyle name="Input 4 9" xfId="7748"/>
    <cellStyle name="Input 40" xfId="2628"/>
    <cellStyle name="Input 40 10" xfId="7749"/>
    <cellStyle name="Input 40 11" xfId="7750"/>
    <cellStyle name="Input 40 12" xfId="7751"/>
    <cellStyle name="Input 40 13" xfId="7752"/>
    <cellStyle name="Input 40 14" xfId="7753"/>
    <cellStyle name="Input 40 15" xfId="7754"/>
    <cellStyle name="Input 40 16" xfId="7755"/>
    <cellStyle name="Input 40 17" xfId="7756"/>
    <cellStyle name="Input 40 18" xfId="7757"/>
    <cellStyle name="Input 40 19" xfId="7758"/>
    <cellStyle name="Input 40 2" xfId="7759"/>
    <cellStyle name="Input 40 20" xfId="7760"/>
    <cellStyle name="Input 40 21" xfId="7761"/>
    <cellStyle name="Input 40 3" xfId="7762"/>
    <cellStyle name="Input 40 4" xfId="7763"/>
    <cellStyle name="Input 40 5" xfId="7764"/>
    <cellStyle name="Input 40 6" xfId="7765"/>
    <cellStyle name="Input 40 7" xfId="7766"/>
    <cellStyle name="Input 40 8" xfId="7767"/>
    <cellStyle name="Input 40 9" xfId="7768"/>
    <cellStyle name="Input 41" xfId="2629"/>
    <cellStyle name="Input 41 10" xfId="7769"/>
    <cellStyle name="Input 41 11" xfId="7770"/>
    <cellStyle name="Input 41 12" xfId="7771"/>
    <cellStyle name="Input 41 13" xfId="7772"/>
    <cellStyle name="Input 41 14" xfId="7773"/>
    <cellStyle name="Input 41 15" xfId="7774"/>
    <cellStyle name="Input 41 16" xfId="7775"/>
    <cellStyle name="Input 41 17" xfId="7776"/>
    <cellStyle name="Input 41 18" xfId="7777"/>
    <cellStyle name="Input 41 19" xfId="7778"/>
    <cellStyle name="Input 41 2" xfId="7779"/>
    <cellStyle name="Input 41 20" xfId="7780"/>
    <cellStyle name="Input 41 21" xfId="7781"/>
    <cellStyle name="Input 41 3" xfId="7782"/>
    <cellStyle name="Input 41 4" xfId="7783"/>
    <cellStyle name="Input 41 5" xfId="7784"/>
    <cellStyle name="Input 41 6" xfId="7785"/>
    <cellStyle name="Input 41 7" xfId="7786"/>
    <cellStyle name="Input 41 8" xfId="7787"/>
    <cellStyle name="Input 41 9" xfId="7788"/>
    <cellStyle name="Input 42" xfId="2630"/>
    <cellStyle name="Input 42 10" xfId="7789"/>
    <cellStyle name="Input 42 11" xfId="7790"/>
    <cellStyle name="Input 42 12" xfId="7791"/>
    <cellStyle name="Input 42 13" xfId="7792"/>
    <cellStyle name="Input 42 14" xfId="7793"/>
    <cellStyle name="Input 42 15" xfId="7794"/>
    <cellStyle name="Input 42 16" xfId="7795"/>
    <cellStyle name="Input 42 17" xfId="7796"/>
    <cellStyle name="Input 42 18" xfId="7797"/>
    <cellStyle name="Input 42 19" xfId="7798"/>
    <cellStyle name="Input 42 2" xfId="7799"/>
    <cellStyle name="Input 42 20" xfId="7800"/>
    <cellStyle name="Input 42 21" xfId="7801"/>
    <cellStyle name="Input 42 3" xfId="7802"/>
    <cellStyle name="Input 42 4" xfId="7803"/>
    <cellStyle name="Input 42 5" xfId="7804"/>
    <cellStyle name="Input 42 6" xfId="7805"/>
    <cellStyle name="Input 42 7" xfId="7806"/>
    <cellStyle name="Input 42 8" xfId="7807"/>
    <cellStyle name="Input 42 9" xfId="7808"/>
    <cellStyle name="Input 43" xfId="2631"/>
    <cellStyle name="Input 43 10" xfId="7809"/>
    <cellStyle name="Input 43 11" xfId="7810"/>
    <cellStyle name="Input 43 12" xfId="7811"/>
    <cellStyle name="Input 43 13" xfId="7812"/>
    <cellStyle name="Input 43 14" xfId="7813"/>
    <cellStyle name="Input 43 15" xfId="7814"/>
    <cellStyle name="Input 43 16" xfId="7815"/>
    <cellStyle name="Input 43 17" xfId="7816"/>
    <cellStyle name="Input 43 18" xfId="7817"/>
    <cellStyle name="Input 43 19" xfId="7818"/>
    <cellStyle name="Input 43 2" xfId="7819"/>
    <cellStyle name="Input 43 20" xfId="7820"/>
    <cellStyle name="Input 43 21" xfId="7821"/>
    <cellStyle name="Input 43 3" xfId="7822"/>
    <cellStyle name="Input 43 4" xfId="7823"/>
    <cellStyle name="Input 43 5" xfId="7824"/>
    <cellStyle name="Input 43 6" xfId="7825"/>
    <cellStyle name="Input 43 7" xfId="7826"/>
    <cellStyle name="Input 43 8" xfId="7827"/>
    <cellStyle name="Input 43 9" xfId="7828"/>
    <cellStyle name="Input 44" xfId="2632"/>
    <cellStyle name="Input 44 10" xfId="7829"/>
    <cellStyle name="Input 44 11" xfId="7830"/>
    <cellStyle name="Input 44 12" xfId="7831"/>
    <cellStyle name="Input 44 13" xfId="7832"/>
    <cellStyle name="Input 44 14" xfId="7833"/>
    <cellStyle name="Input 44 15" xfId="7834"/>
    <cellStyle name="Input 44 16" xfId="7835"/>
    <cellStyle name="Input 44 17" xfId="7836"/>
    <cellStyle name="Input 44 18" xfId="7837"/>
    <cellStyle name="Input 44 19" xfId="7838"/>
    <cellStyle name="Input 44 2" xfId="7839"/>
    <cellStyle name="Input 44 20" xfId="7840"/>
    <cellStyle name="Input 44 21" xfId="7841"/>
    <cellStyle name="Input 44 3" xfId="7842"/>
    <cellStyle name="Input 44 4" xfId="7843"/>
    <cellStyle name="Input 44 5" xfId="7844"/>
    <cellStyle name="Input 44 6" xfId="7845"/>
    <cellStyle name="Input 44 7" xfId="7846"/>
    <cellStyle name="Input 44 8" xfId="7847"/>
    <cellStyle name="Input 44 9" xfId="7848"/>
    <cellStyle name="Input 45" xfId="2633"/>
    <cellStyle name="Input 45 10" xfId="7849"/>
    <cellStyle name="Input 45 11" xfId="7850"/>
    <cellStyle name="Input 45 12" xfId="7851"/>
    <cellStyle name="Input 45 13" xfId="7852"/>
    <cellStyle name="Input 45 14" xfId="7853"/>
    <cellStyle name="Input 45 15" xfId="7854"/>
    <cellStyle name="Input 45 16" xfId="7855"/>
    <cellStyle name="Input 45 17" xfId="7856"/>
    <cellStyle name="Input 45 18" xfId="7857"/>
    <cellStyle name="Input 45 19" xfId="7858"/>
    <cellStyle name="Input 45 2" xfId="7859"/>
    <cellStyle name="Input 45 20" xfId="7860"/>
    <cellStyle name="Input 45 21" xfId="7861"/>
    <cellStyle name="Input 45 3" xfId="7862"/>
    <cellStyle name="Input 45 4" xfId="7863"/>
    <cellStyle name="Input 45 5" xfId="7864"/>
    <cellStyle name="Input 45 6" xfId="7865"/>
    <cellStyle name="Input 45 7" xfId="7866"/>
    <cellStyle name="Input 45 8" xfId="7867"/>
    <cellStyle name="Input 45 9" xfId="7868"/>
    <cellStyle name="Input 46" xfId="2634"/>
    <cellStyle name="Input 46 10" xfId="7869"/>
    <cellStyle name="Input 46 11" xfId="7870"/>
    <cellStyle name="Input 46 12" xfId="7871"/>
    <cellStyle name="Input 46 13" xfId="7872"/>
    <cellStyle name="Input 46 14" xfId="7873"/>
    <cellStyle name="Input 46 15" xfId="7874"/>
    <cellStyle name="Input 46 16" xfId="7875"/>
    <cellStyle name="Input 46 17" xfId="7876"/>
    <cellStyle name="Input 46 18" xfId="7877"/>
    <cellStyle name="Input 46 19" xfId="7878"/>
    <cellStyle name="Input 46 2" xfId="7879"/>
    <cellStyle name="Input 46 20" xfId="7880"/>
    <cellStyle name="Input 46 21" xfId="7881"/>
    <cellStyle name="Input 46 3" xfId="7882"/>
    <cellStyle name="Input 46 4" xfId="7883"/>
    <cellStyle name="Input 46 5" xfId="7884"/>
    <cellStyle name="Input 46 6" xfId="7885"/>
    <cellStyle name="Input 46 7" xfId="7886"/>
    <cellStyle name="Input 46 8" xfId="7887"/>
    <cellStyle name="Input 46 9" xfId="7888"/>
    <cellStyle name="Input 47" xfId="2635"/>
    <cellStyle name="Input 47 10" xfId="7889"/>
    <cellStyle name="Input 47 11" xfId="7890"/>
    <cellStyle name="Input 47 12" xfId="7891"/>
    <cellStyle name="Input 47 13" xfId="7892"/>
    <cellStyle name="Input 47 14" xfId="7893"/>
    <cellStyle name="Input 47 15" xfId="7894"/>
    <cellStyle name="Input 47 16" xfId="7895"/>
    <cellStyle name="Input 47 17" xfId="7896"/>
    <cellStyle name="Input 47 18" xfId="7897"/>
    <cellStyle name="Input 47 19" xfId="7898"/>
    <cellStyle name="Input 47 2" xfId="7899"/>
    <cellStyle name="Input 47 20" xfId="7900"/>
    <cellStyle name="Input 47 21" xfId="7901"/>
    <cellStyle name="Input 47 3" xfId="7902"/>
    <cellStyle name="Input 47 4" xfId="7903"/>
    <cellStyle name="Input 47 5" xfId="7904"/>
    <cellStyle name="Input 47 6" xfId="7905"/>
    <cellStyle name="Input 47 7" xfId="7906"/>
    <cellStyle name="Input 47 8" xfId="7907"/>
    <cellStyle name="Input 47 9" xfId="7908"/>
    <cellStyle name="Input 48" xfId="2636"/>
    <cellStyle name="Input 48 10" xfId="7909"/>
    <cellStyle name="Input 48 11" xfId="7910"/>
    <cellStyle name="Input 48 12" xfId="7911"/>
    <cellStyle name="Input 48 13" xfId="7912"/>
    <cellStyle name="Input 48 14" xfId="7913"/>
    <cellStyle name="Input 48 15" xfId="7914"/>
    <cellStyle name="Input 48 16" xfId="7915"/>
    <cellStyle name="Input 48 17" xfId="7916"/>
    <cellStyle name="Input 48 18" xfId="7917"/>
    <cellStyle name="Input 48 19" xfId="7918"/>
    <cellStyle name="Input 48 2" xfId="7919"/>
    <cellStyle name="Input 48 20" xfId="7920"/>
    <cellStyle name="Input 48 21" xfId="7921"/>
    <cellStyle name="Input 48 3" xfId="7922"/>
    <cellStyle name="Input 48 4" xfId="7923"/>
    <cellStyle name="Input 48 5" xfId="7924"/>
    <cellStyle name="Input 48 6" xfId="7925"/>
    <cellStyle name="Input 48 7" xfId="7926"/>
    <cellStyle name="Input 48 8" xfId="7927"/>
    <cellStyle name="Input 48 9" xfId="7928"/>
    <cellStyle name="Input 49" xfId="2637"/>
    <cellStyle name="Input 49 10" xfId="7929"/>
    <cellStyle name="Input 49 11" xfId="7930"/>
    <cellStyle name="Input 49 12" xfId="7931"/>
    <cellStyle name="Input 49 13" xfId="7932"/>
    <cellStyle name="Input 49 14" xfId="7933"/>
    <cellStyle name="Input 49 15" xfId="7934"/>
    <cellStyle name="Input 49 16" xfId="7935"/>
    <cellStyle name="Input 49 17" xfId="7936"/>
    <cellStyle name="Input 49 18" xfId="7937"/>
    <cellStyle name="Input 49 19" xfId="7938"/>
    <cellStyle name="Input 49 2" xfId="7939"/>
    <cellStyle name="Input 49 20" xfId="7940"/>
    <cellStyle name="Input 49 21" xfId="7941"/>
    <cellStyle name="Input 49 3" xfId="7942"/>
    <cellStyle name="Input 49 4" xfId="7943"/>
    <cellStyle name="Input 49 5" xfId="7944"/>
    <cellStyle name="Input 49 6" xfId="7945"/>
    <cellStyle name="Input 49 7" xfId="7946"/>
    <cellStyle name="Input 49 8" xfId="7947"/>
    <cellStyle name="Input 49 9" xfId="7948"/>
    <cellStyle name="Input 5" xfId="2638"/>
    <cellStyle name="Input 5 10" xfId="7949"/>
    <cellStyle name="Input 5 11" xfId="7950"/>
    <cellStyle name="Input 5 12" xfId="7951"/>
    <cellStyle name="Input 5 13" xfId="7952"/>
    <cellStyle name="Input 5 14" xfId="7953"/>
    <cellStyle name="Input 5 15" xfId="7954"/>
    <cellStyle name="Input 5 16" xfId="7955"/>
    <cellStyle name="Input 5 17" xfId="7956"/>
    <cellStyle name="Input 5 18" xfId="7957"/>
    <cellStyle name="Input 5 19" xfId="7958"/>
    <cellStyle name="Input 5 2" xfId="7959"/>
    <cellStyle name="Input 5 20" xfId="7960"/>
    <cellStyle name="Input 5 21" xfId="7961"/>
    <cellStyle name="Input 5 3" xfId="7962"/>
    <cellStyle name="Input 5 4" xfId="7963"/>
    <cellStyle name="Input 5 5" xfId="7964"/>
    <cellStyle name="Input 5 6" xfId="7965"/>
    <cellStyle name="Input 5 7" xfId="7966"/>
    <cellStyle name="Input 5 8" xfId="7967"/>
    <cellStyle name="Input 5 9" xfId="7968"/>
    <cellStyle name="Input 50" xfId="2639"/>
    <cellStyle name="Input 50 10" xfId="7969"/>
    <cellStyle name="Input 50 11" xfId="7970"/>
    <cellStyle name="Input 50 12" xfId="7971"/>
    <cellStyle name="Input 50 13" xfId="7972"/>
    <cellStyle name="Input 50 14" xfId="7973"/>
    <cellStyle name="Input 50 15" xfId="7974"/>
    <cellStyle name="Input 50 16" xfId="7975"/>
    <cellStyle name="Input 50 17" xfId="7976"/>
    <cellStyle name="Input 50 18" xfId="7977"/>
    <cellStyle name="Input 50 19" xfId="7978"/>
    <cellStyle name="Input 50 2" xfId="7979"/>
    <cellStyle name="Input 50 20" xfId="7980"/>
    <cellStyle name="Input 50 21" xfId="7981"/>
    <cellStyle name="Input 50 3" xfId="7982"/>
    <cellStyle name="Input 50 4" xfId="7983"/>
    <cellStyle name="Input 50 5" xfId="7984"/>
    <cellStyle name="Input 50 6" xfId="7985"/>
    <cellStyle name="Input 50 7" xfId="7986"/>
    <cellStyle name="Input 50 8" xfId="7987"/>
    <cellStyle name="Input 50 9" xfId="7988"/>
    <cellStyle name="Input 51" xfId="2640"/>
    <cellStyle name="Input 51 10" xfId="7989"/>
    <cellStyle name="Input 51 11" xfId="7990"/>
    <cellStyle name="Input 51 12" xfId="7991"/>
    <cellStyle name="Input 51 13" xfId="7992"/>
    <cellStyle name="Input 51 14" xfId="7993"/>
    <cellStyle name="Input 51 15" xfId="7994"/>
    <cellStyle name="Input 51 16" xfId="7995"/>
    <cellStyle name="Input 51 17" xfId="7996"/>
    <cellStyle name="Input 51 18" xfId="7997"/>
    <cellStyle name="Input 51 19" xfId="7998"/>
    <cellStyle name="Input 51 2" xfId="7999"/>
    <cellStyle name="Input 51 20" xfId="8000"/>
    <cellStyle name="Input 51 21" xfId="8001"/>
    <cellStyle name="Input 51 3" xfId="8002"/>
    <cellStyle name="Input 51 4" xfId="8003"/>
    <cellStyle name="Input 51 5" xfId="8004"/>
    <cellStyle name="Input 51 6" xfId="8005"/>
    <cellStyle name="Input 51 7" xfId="8006"/>
    <cellStyle name="Input 51 8" xfId="8007"/>
    <cellStyle name="Input 51 9" xfId="8008"/>
    <cellStyle name="Input 52" xfId="2641"/>
    <cellStyle name="Input 52 10" xfId="8009"/>
    <cellStyle name="Input 52 11" xfId="8010"/>
    <cellStyle name="Input 52 12" xfId="8011"/>
    <cellStyle name="Input 52 13" xfId="8012"/>
    <cellStyle name="Input 52 14" xfId="8013"/>
    <cellStyle name="Input 52 15" xfId="8014"/>
    <cellStyle name="Input 52 16" xfId="8015"/>
    <cellStyle name="Input 52 17" xfId="8016"/>
    <cellStyle name="Input 52 18" xfId="8017"/>
    <cellStyle name="Input 52 19" xfId="8018"/>
    <cellStyle name="Input 52 2" xfId="8019"/>
    <cellStyle name="Input 52 20" xfId="8020"/>
    <cellStyle name="Input 52 21" xfId="8021"/>
    <cellStyle name="Input 52 3" xfId="8022"/>
    <cellStyle name="Input 52 4" xfId="8023"/>
    <cellStyle name="Input 52 5" xfId="8024"/>
    <cellStyle name="Input 52 6" xfId="8025"/>
    <cellStyle name="Input 52 7" xfId="8026"/>
    <cellStyle name="Input 52 8" xfId="8027"/>
    <cellStyle name="Input 52 9" xfId="8028"/>
    <cellStyle name="Input 53" xfId="2642"/>
    <cellStyle name="Input 53 10" xfId="8029"/>
    <cellStyle name="Input 53 11" xfId="8030"/>
    <cellStyle name="Input 53 12" xfId="8031"/>
    <cellStyle name="Input 53 13" xfId="8032"/>
    <cellStyle name="Input 53 14" xfId="8033"/>
    <cellStyle name="Input 53 15" xfId="8034"/>
    <cellStyle name="Input 53 16" xfId="8035"/>
    <cellStyle name="Input 53 17" xfId="8036"/>
    <cellStyle name="Input 53 18" xfId="8037"/>
    <cellStyle name="Input 53 19" xfId="8038"/>
    <cellStyle name="Input 53 2" xfId="8039"/>
    <cellStyle name="Input 53 20" xfId="8040"/>
    <cellStyle name="Input 53 21" xfId="8041"/>
    <cellStyle name="Input 53 3" xfId="8042"/>
    <cellStyle name="Input 53 4" xfId="8043"/>
    <cellStyle name="Input 53 5" xfId="8044"/>
    <cellStyle name="Input 53 6" xfId="8045"/>
    <cellStyle name="Input 53 7" xfId="8046"/>
    <cellStyle name="Input 53 8" xfId="8047"/>
    <cellStyle name="Input 53 9" xfId="8048"/>
    <cellStyle name="Input 54" xfId="2643"/>
    <cellStyle name="Input 54 10" xfId="8049"/>
    <cellStyle name="Input 54 11" xfId="8050"/>
    <cellStyle name="Input 54 12" xfId="8051"/>
    <cellStyle name="Input 54 13" xfId="8052"/>
    <cellStyle name="Input 54 14" xfId="8053"/>
    <cellStyle name="Input 54 15" xfId="8054"/>
    <cellStyle name="Input 54 16" xfId="8055"/>
    <cellStyle name="Input 54 17" xfId="8056"/>
    <cellStyle name="Input 54 18" xfId="8057"/>
    <cellStyle name="Input 54 19" xfId="8058"/>
    <cellStyle name="Input 54 2" xfId="8059"/>
    <cellStyle name="Input 54 20" xfId="8060"/>
    <cellStyle name="Input 54 21" xfId="8061"/>
    <cellStyle name="Input 54 3" xfId="8062"/>
    <cellStyle name="Input 54 4" xfId="8063"/>
    <cellStyle name="Input 54 5" xfId="8064"/>
    <cellStyle name="Input 54 6" xfId="8065"/>
    <cellStyle name="Input 54 7" xfId="8066"/>
    <cellStyle name="Input 54 8" xfId="8067"/>
    <cellStyle name="Input 54 9" xfId="8068"/>
    <cellStyle name="Input 55" xfId="2644"/>
    <cellStyle name="Input 55 10" xfId="8069"/>
    <cellStyle name="Input 55 11" xfId="8070"/>
    <cellStyle name="Input 55 12" xfId="8071"/>
    <cellStyle name="Input 55 13" xfId="8072"/>
    <cellStyle name="Input 55 14" xfId="8073"/>
    <cellStyle name="Input 55 15" xfId="8074"/>
    <cellStyle name="Input 55 16" xfId="8075"/>
    <cellStyle name="Input 55 17" xfId="8076"/>
    <cellStyle name="Input 55 18" xfId="8077"/>
    <cellStyle name="Input 55 19" xfId="8078"/>
    <cellStyle name="Input 55 2" xfId="8079"/>
    <cellStyle name="Input 55 20" xfId="8080"/>
    <cellStyle name="Input 55 21" xfId="8081"/>
    <cellStyle name="Input 55 3" xfId="8082"/>
    <cellStyle name="Input 55 4" xfId="8083"/>
    <cellStyle name="Input 55 5" xfId="8084"/>
    <cellStyle name="Input 55 6" xfId="8085"/>
    <cellStyle name="Input 55 7" xfId="8086"/>
    <cellStyle name="Input 55 8" xfId="8087"/>
    <cellStyle name="Input 55 9" xfId="8088"/>
    <cellStyle name="Input 56" xfId="2645"/>
    <cellStyle name="Input 56 10" xfId="8089"/>
    <cellStyle name="Input 56 11" xfId="8090"/>
    <cellStyle name="Input 56 12" xfId="8091"/>
    <cellStyle name="Input 56 13" xfId="8092"/>
    <cellStyle name="Input 56 14" xfId="8093"/>
    <cellStyle name="Input 56 15" xfId="8094"/>
    <cellStyle name="Input 56 16" xfId="8095"/>
    <cellStyle name="Input 56 17" xfId="8096"/>
    <cellStyle name="Input 56 18" xfId="8097"/>
    <cellStyle name="Input 56 19" xfId="8098"/>
    <cellStyle name="Input 56 2" xfId="8099"/>
    <cellStyle name="Input 56 20" xfId="8100"/>
    <cellStyle name="Input 56 21" xfId="8101"/>
    <cellStyle name="Input 56 3" xfId="8102"/>
    <cellStyle name="Input 56 4" xfId="8103"/>
    <cellStyle name="Input 56 5" xfId="8104"/>
    <cellStyle name="Input 56 6" xfId="8105"/>
    <cellStyle name="Input 56 7" xfId="8106"/>
    <cellStyle name="Input 56 8" xfId="8107"/>
    <cellStyle name="Input 56 9" xfId="8108"/>
    <cellStyle name="Input 57" xfId="2646"/>
    <cellStyle name="Input 57 10" xfId="8109"/>
    <cellStyle name="Input 57 11" xfId="8110"/>
    <cellStyle name="Input 57 12" xfId="8111"/>
    <cellStyle name="Input 57 13" xfId="8112"/>
    <cellStyle name="Input 57 14" xfId="8113"/>
    <cellStyle name="Input 57 15" xfId="8114"/>
    <cellStyle name="Input 57 16" xfId="8115"/>
    <cellStyle name="Input 57 17" xfId="8116"/>
    <cellStyle name="Input 57 18" xfId="8117"/>
    <cellStyle name="Input 57 19" xfId="8118"/>
    <cellStyle name="Input 57 2" xfId="8119"/>
    <cellStyle name="Input 57 20" xfId="8120"/>
    <cellStyle name="Input 57 21" xfId="8121"/>
    <cellStyle name="Input 57 3" xfId="8122"/>
    <cellStyle name="Input 57 4" xfId="8123"/>
    <cellStyle name="Input 57 5" xfId="8124"/>
    <cellStyle name="Input 57 6" xfId="8125"/>
    <cellStyle name="Input 57 7" xfId="8126"/>
    <cellStyle name="Input 57 8" xfId="8127"/>
    <cellStyle name="Input 57 9" xfId="8128"/>
    <cellStyle name="Input 58" xfId="2647"/>
    <cellStyle name="Input 58 10" xfId="8129"/>
    <cellStyle name="Input 58 11" xfId="8130"/>
    <cellStyle name="Input 58 12" xfId="8131"/>
    <cellStyle name="Input 58 13" xfId="8132"/>
    <cellStyle name="Input 58 14" xfId="8133"/>
    <cellStyle name="Input 58 15" xfId="8134"/>
    <cellStyle name="Input 58 16" xfId="8135"/>
    <cellStyle name="Input 58 17" xfId="8136"/>
    <cellStyle name="Input 58 18" xfId="8137"/>
    <cellStyle name="Input 58 19" xfId="8138"/>
    <cellStyle name="Input 58 2" xfId="8139"/>
    <cellStyle name="Input 58 20" xfId="8140"/>
    <cellStyle name="Input 58 21" xfId="8141"/>
    <cellStyle name="Input 58 3" xfId="8142"/>
    <cellStyle name="Input 58 4" xfId="8143"/>
    <cellStyle name="Input 58 5" xfId="8144"/>
    <cellStyle name="Input 58 6" xfId="8145"/>
    <cellStyle name="Input 58 7" xfId="8146"/>
    <cellStyle name="Input 58 8" xfId="8147"/>
    <cellStyle name="Input 58 9" xfId="8148"/>
    <cellStyle name="Input 59" xfId="2648"/>
    <cellStyle name="Input 59 10" xfId="8149"/>
    <cellStyle name="Input 59 11" xfId="8150"/>
    <cellStyle name="Input 59 12" xfId="8151"/>
    <cellStyle name="Input 59 13" xfId="8152"/>
    <cellStyle name="Input 59 14" xfId="8153"/>
    <cellStyle name="Input 59 15" xfId="8154"/>
    <cellStyle name="Input 59 16" xfId="8155"/>
    <cellStyle name="Input 59 17" xfId="8156"/>
    <cellStyle name="Input 59 18" xfId="8157"/>
    <cellStyle name="Input 59 19" xfId="8158"/>
    <cellStyle name="Input 59 2" xfId="8159"/>
    <cellStyle name="Input 59 20" xfId="8160"/>
    <cellStyle name="Input 59 21" xfId="8161"/>
    <cellStyle name="Input 59 3" xfId="8162"/>
    <cellStyle name="Input 59 4" xfId="8163"/>
    <cellStyle name="Input 59 5" xfId="8164"/>
    <cellStyle name="Input 59 6" xfId="8165"/>
    <cellStyle name="Input 59 7" xfId="8166"/>
    <cellStyle name="Input 59 8" xfId="8167"/>
    <cellStyle name="Input 59 9" xfId="8168"/>
    <cellStyle name="Input 6" xfId="2649"/>
    <cellStyle name="Input 6 10" xfId="8169"/>
    <cellStyle name="Input 6 11" xfId="8170"/>
    <cellStyle name="Input 6 12" xfId="8171"/>
    <cellStyle name="Input 6 13" xfId="8172"/>
    <cellStyle name="Input 6 14" xfId="8173"/>
    <cellStyle name="Input 6 15" xfId="8174"/>
    <cellStyle name="Input 6 16" xfId="8175"/>
    <cellStyle name="Input 6 17" xfId="8176"/>
    <cellStyle name="Input 6 18" xfId="8177"/>
    <cellStyle name="Input 6 19" xfId="8178"/>
    <cellStyle name="Input 6 2" xfId="8179"/>
    <cellStyle name="Input 6 20" xfId="8180"/>
    <cellStyle name="Input 6 21" xfId="8181"/>
    <cellStyle name="Input 6 3" xfId="8182"/>
    <cellStyle name="Input 6 4" xfId="8183"/>
    <cellStyle name="Input 6 5" xfId="8184"/>
    <cellStyle name="Input 6 6" xfId="8185"/>
    <cellStyle name="Input 6 7" xfId="8186"/>
    <cellStyle name="Input 6 8" xfId="8187"/>
    <cellStyle name="Input 6 9" xfId="8188"/>
    <cellStyle name="Input 60" xfId="8189"/>
    <cellStyle name="Input 61" xfId="8190"/>
    <cellStyle name="Input 62" xfId="8191"/>
    <cellStyle name="Input 63" xfId="8192"/>
    <cellStyle name="Input 64" xfId="8193"/>
    <cellStyle name="Input 65" xfId="8194"/>
    <cellStyle name="Input 66" xfId="8195"/>
    <cellStyle name="Input 67" xfId="8196"/>
    <cellStyle name="Input 68" xfId="8197"/>
    <cellStyle name="Input 69" xfId="8198"/>
    <cellStyle name="Input 7" xfId="2650"/>
    <cellStyle name="Input 7 10" xfId="8199"/>
    <cellStyle name="Input 7 11" xfId="8200"/>
    <cellStyle name="Input 7 12" xfId="8201"/>
    <cellStyle name="Input 7 13" xfId="8202"/>
    <cellStyle name="Input 7 14" xfId="8203"/>
    <cellStyle name="Input 7 15" xfId="8204"/>
    <cellStyle name="Input 7 16" xfId="8205"/>
    <cellStyle name="Input 7 17" xfId="8206"/>
    <cellStyle name="Input 7 18" xfId="8207"/>
    <cellStyle name="Input 7 19" xfId="8208"/>
    <cellStyle name="Input 7 2" xfId="8209"/>
    <cellStyle name="Input 7 20" xfId="8210"/>
    <cellStyle name="Input 7 21" xfId="8211"/>
    <cellStyle name="Input 7 3" xfId="8212"/>
    <cellStyle name="Input 7 4" xfId="8213"/>
    <cellStyle name="Input 7 5" xfId="8214"/>
    <cellStyle name="Input 7 6" xfId="8215"/>
    <cellStyle name="Input 7 7" xfId="8216"/>
    <cellStyle name="Input 7 8" xfId="8217"/>
    <cellStyle name="Input 7 9" xfId="8218"/>
    <cellStyle name="Input 70" xfId="8219"/>
    <cellStyle name="Input 71" xfId="8220"/>
    <cellStyle name="Input 72" xfId="8221"/>
    <cellStyle name="Input 73" xfId="8222"/>
    <cellStyle name="Input 74" xfId="8223"/>
    <cellStyle name="Input 75" xfId="8224"/>
    <cellStyle name="Input 76" xfId="8225"/>
    <cellStyle name="Input 77" xfId="8226"/>
    <cellStyle name="Input 78" xfId="8227"/>
    <cellStyle name="Input 79" xfId="8228"/>
    <cellStyle name="Input 8" xfId="2651"/>
    <cellStyle name="Input 8 10" xfId="8229"/>
    <cellStyle name="Input 8 11" xfId="8230"/>
    <cellStyle name="Input 8 12" xfId="8231"/>
    <cellStyle name="Input 8 13" xfId="8232"/>
    <cellStyle name="Input 8 14" xfId="8233"/>
    <cellStyle name="Input 8 15" xfId="8234"/>
    <cellStyle name="Input 8 16" xfId="8235"/>
    <cellStyle name="Input 8 17" xfId="8236"/>
    <cellStyle name="Input 8 18" xfId="8237"/>
    <cellStyle name="Input 8 19" xfId="8238"/>
    <cellStyle name="Input 8 2" xfId="8239"/>
    <cellStyle name="Input 8 20" xfId="8240"/>
    <cellStyle name="Input 8 21" xfId="8241"/>
    <cellStyle name="Input 8 3" xfId="8242"/>
    <cellStyle name="Input 8 4" xfId="8243"/>
    <cellStyle name="Input 8 5" xfId="8244"/>
    <cellStyle name="Input 8 6" xfId="8245"/>
    <cellStyle name="Input 8 7" xfId="8246"/>
    <cellStyle name="Input 8 8" xfId="8247"/>
    <cellStyle name="Input 8 9" xfId="8248"/>
    <cellStyle name="Input 9" xfId="2652"/>
    <cellStyle name="Input 9 10" xfId="8249"/>
    <cellStyle name="Input 9 11" xfId="8250"/>
    <cellStyle name="Input 9 12" xfId="8251"/>
    <cellStyle name="Input 9 13" xfId="8252"/>
    <cellStyle name="Input 9 14" xfId="8253"/>
    <cellStyle name="Input 9 15" xfId="8254"/>
    <cellStyle name="Input 9 16" xfId="8255"/>
    <cellStyle name="Input 9 17" xfId="8256"/>
    <cellStyle name="Input 9 18" xfId="8257"/>
    <cellStyle name="Input 9 19" xfId="8258"/>
    <cellStyle name="Input 9 2" xfId="8259"/>
    <cellStyle name="Input 9 20" xfId="8260"/>
    <cellStyle name="Input 9 21" xfId="8261"/>
    <cellStyle name="Input 9 3" xfId="8262"/>
    <cellStyle name="Input 9 4" xfId="8263"/>
    <cellStyle name="Input 9 5" xfId="8264"/>
    <cellStyle name="Input 9 6" xfId="8265"/>
    <cellStyle name="Input 9 7" xfId="8266"/>
    <cellStyle name="Input 9 8" xfId="8267"/>
    <cellStyle name="Input 9 9" xfId="8268"/>
    <cellStyle name="Input Cells" xfId="16793"/>
    <cellStyle name="Ledger 17 x 11 in" xfId="9"/>
    <cellStyle name="Line" xfId="16794"/>
    <cellStyle name="Link Currency (0)" xfId="16795"/>
    <cellStyle name="Link Currency (2)" xfId="16796"/>
    <cellStyle name="Link Units (0)" xfId="16797"/>
    <cellStyle name="Link Units (1)" xfId="16798"/>
    <cellStyle name="Link Units (2)" xfId="16799"/>
    <cellStyle name="Linked Cell 10" xfId="2653"/>
    <cellStyle name="Linked Cell 10 2" xfId="8269"/>
    <cellStyle name="Linked Cell 11" xfId="2654"/>
    <cellStyle name="Linked Cell 11 2" xfId="8270"/>
    <cellStyle name="Linked Cell 12" xfId="2655"/>
    <cellStyle name="Linked Cell 12 2" xfId="8271"/>
    <cellStyle name="Linked Cell 13" xfId="2656"/>
    <cellStyle name="Linked Cell 13 2" xfId="8272"/>
    <cellStyle name="Linked Cell 14" xfId="2657"/>
    <cellStyle name="Linked Cell 14 2" xfId="8273"/>
    <cellStyle name="Linked Cell 15" xfId="2658"/>
    <cellStyle name="Linked Cell 15 2" xfId="8274"/>
    <cellStyle name="Linked Cell 16" xfId="2659"/>
    <cellStyle name="Linked Cell 16 2" xfId="8275"/>
    <cellStyle name="Linked Cell 17" xfId="2660"/>
    <cellStyle name="Linked Cell 17 2" xfId="8276"/>
    <cellStyle name="Linked Cell 18" xfId="2661"/>
    <cellStyle name="Linked Cell 18 2" xfId="8277"/>
    <cellStyle name="Linked Cell 19" xfId="2662"/>
    <cellStyle name="Linked Cell 19 2" xfId="8278"/>
    <cellStyle name="Linked Cell 2" xfId="2663"/>
    <cellStyle name="Linked Cell 2 2" xfId="2664"/>
    <cellStyle name="Linked Cell 2 2 2" xfId="8279"/>
    <cellStyle name="Linked Cell 2 3" xfId="8280"/>
    <cellStyle name="Linked Cell 20" xfId="2665"/>
    <cellStyle name="Linked Cell 20 2" xfId="8281"/>
    <cellStyle name="Linked Cell 21" xfId="2666"/>
    <cellStyle name="Linked Cell 21 2" xfId="8282"/>
    <cellStyle name="Linked Cell 22" xfId="2667"/>
    <cellStyle name="Linked Cell 22 2" xfId="8283"/>
    <cellStyle name="Linked Cell 23" xfId="2668"/>
    <cellStyle name="Linked Cell 23 2" xfId="8284"/>
    <cellStyle name="Linked Cell 24" xfId="2669"/>
    <cellStyle name="Linked Cell 24 2" xfId="8285"/>
    <cellStyle name="Linked Cell 25" xfId="2670"/>
    <cellStyle name="Linked Cell 25 2" xfId="8286"/>
    <cellStyle name="Linked Cell 26" xfId="2671"/>
    <cellStyle name="Linked Cell 26 2" xfId="8287"/>
    <cellStyle name="Linked Cell 27" xfId="2672"/>
    <cellStyle name="Linked Cell 27 2" xfId="8288"/>
    <cellStyle name="Linked Cell 28" xfId="2673"/>
    <cellStyle name="Linked Cell 28 2" xfId="8289"/>
    <cellStyle name="Linked Cell 29" xfId="2674"/>
    <cellStyle name="Linked Cell 29 2" xfId="8290"/>
    <cellStyle name="Linked Cell 3" xfId="2675"/>
    <cellStyle name="Linked Cell 3 2" xfId="8291"/>
    <cellStyle name="Linked Cell 30" xfId="2676"/>
    <cellStyle name="Linked Cell 30 2" xfId="8292"/>
    <cellStyle name="Linked Cell 31" xfId="2677"/>
    <cellStyle name="Linked Cell 31 2" xfId="8293"/>
    <cellStyle name="Linked Cell 32" xfId="2678"/>
    <cellStyle name="Linked Cell 32 2" xfId="8294"/>
    <cellStyle name="Linked Cell 33" xfId="2679"/>
    <cellStyle name="Linked Cell 33 2" xfId="8295"/>
    <cellStyle name="Linked Cell 34" xfId="2680"/>
    <cellStyle name="Linked Cell 34 2" xfId="8296"/>
    <cellStyle name="Linked Cell 35" xfId="2681"/>
    <cellStyle name="Linked Cell 35 2" xfId="8297"/>
    <cellStyle name="Linked Cell 36" xfId="2682"/>
    <cellStyle name="Linked Cell 36 2" xfId="8298"/>
    <cellStyle name="Linked Cell 37" xfId="2683"/>
    <cellStyle name="Linked Cell 37 2" xfId="8299"/>
    <cellStyle name="Linked Cell 38" xfId="2684"/>
    <cellStyle name="Linked Cell 38 2" xfId="8300"/>
    <cellStyle name="Linked Cell 39" xfId="2685"/>
    <cellStyle name="Linked Cell 39 2" xfId="8301"/>
    <cellStyle name="Linked Cell 4" xfId="2686"/>
    <cellStyle name="Linked Cell 4 2" xfId="8302"/>
    <cellStyle name="Linked Cell 40" xfId="2687"/>
    <cellStyle name="Linked Cell 40 2" xfId="8303"/>
    <cellStyle name="Linked Cell 41" xfId="2688"/>
    <cellStyle name="Linked Cell 41 2" xfId="8304"/>
    <cellStyle name="Linked Cell 42" xfId="2689"/>
    <cellStyle name="Linked Cell 42 2" xfId="8305"/>
    <cellStyle name="Linked Cell 43" xfId="2690"/>
    <cellStyle name="Linked Cell 43 2" xfId="8306"/>
    <cellStyle name="Linked Cell 44" xfId="2691"/>
    <cellStyle name="Linked Cell 44 2" xfId="8307"/>
    <cellStyle name="Linked Cell 45" xfId="2692"/>
    <cellStyle name="Linked Cell 45 2" xfId="8308"/>
    <cellStyle name="Linked Cell 46" xfId="2693"/>
    <cellStyle name="Linked Cell 46 2" xfId="8309"/>
    <cellStyle name="Linked Cell 47" xfId="2694"/>
    <cellStyle name="Linked Cell 47 2" xfId="8310"/>
    <cellStyle name="Linked Cell 48" xfId="2695"/>
    <cellStyle name="Linked Cell 48 2" xfId="8311"/>
    <cellStyle name="Linked Cell 49" xfId="2696"/>
    <cellStyle name="Linked Cell 49 2" xfId="8312"/>
    <cellStyle name="Linked Cell 5" xfId="2697"/>
    <cellStyle name="Linked Cell 5 2" xfId="8313"/>
    <cellStyle name="Linked Cell 50" xfId="2698"/>
    <cellStyle name="Linked Cell 50 2" xfId="8314"/>
    <cellStyle name="Linked Cell 51" xfId="2699"/>
    <cellStyle name="Linked Cell 51 2" xfId="8315"/>
    <cellStyle name="Linked Cell 52" xfId="2700"/>
    <cellStyle name="Linked Cell 52 2" xfId="8316"/>
    <cellStyle name="Linked Cell 53" xfId="2701"/>
    <cellStyle name="Linked Cell 53 2" xfId="8317"/>
    <cellStyle name="Linked Cell 54" xfId="2702"/>
    <cellStyle name="Linked Cell 54 2" xfId="8318"/>
    <cellStyle name="Linked Cell 55" xfId="2703"/>
    <cellStyle name="Linked Cell 55 2" xfId="8319"/>
    <cellStyle name="Linked Cell 56" xfId="2704"/>
    <cellStyle name="Linked Cell 56 2" xfId="8320"/>
    <cellStyle name="Linked Cell 57" xfId="2705"/>
    <cellStyle name="Linked Cell 57 2" xfId="8321"/>
    <cellStyle name="Linked Cell 58" xfId="2706"/>
    <cellStyle name="Linked Cell 58 2" xfId="8322"/>
    <cellStyle name="Linked Cell 59" xfId="2707"/>
    <cellStyle name="Linked Cell 59 2" xfId="8323"/>
    <cellStyle name="Linked Cell 6" xfId="2708"/>
    <cellStyle name="Linked Cell 6 2" xfId="8324"/>
    <cellStyle name="Linked Cell 60" xfId="8325"/>
    <cellStyle name="Linked Cell 7" xfId="2709"/>
    <cellStyle name="Linked Cell 7 2" xfId="8326"/>
    <cellStyle name="Linked Cell 8" xfId="2710"/>
    <cellStyle name="Linked Cell 8 2" xfId="8327"/>
    <cellStyle name="Linked Cell 9" xfId="2711"/>
    <cellStyle name="Linked Cell 9 2" xfId="8328"/>
    <cellStyle name="Linked Cells" xfId="16800"/>
    <cellStyle name="Milliers [0]_      " xfId="16801"/>
    <cellStyle name="Milliers_      " xfId="16802"/>
    <cellStyle name="Model" xfId="16803"/>
    <cellStyle name="moi" xfId="16804"/>
    <cellStyle name="Mon?aire [0]_      " xfId="16805"/>
    <cellStyle name="Mon?aire_      " xfId="16806"/>
    <cellStyle name="Monétaire [0]_TARIFFS DB" xfId="16807"/>
    <cellStyle name="Monétaire_TARIFFS DB" xfId="16808"/>
    <cellStyle name="n" xfId="16809"/>
    <cellStyle name="Neutral 10" xfId="2712"/>
    <cellStyle name="Neutral 10 2" xfId="8329"/>
    <cellStyle name="Neutral 11" xfId="2713"/>
    <cellStyle name="Neutral 11 2" xfId="8330"/>
    <cellStyle name="Neutral 12" xfId="2714"/>
    <cellStyle name="Neutral 12 2" xfId="8331"/>
    <cellStyle name="Neutral 13" xfId="2715"/>
    <cellStyle name="Neutral 13 2" xfId="8332"/>
    <cellStyle name="Neutral 14" xfId="2716"/>
    <cellStyle name="Neutral 14 2" xfId="8333"/>
    <cellStyle name="Neutral 15" xfId="2717"/>
    <cellStyle name="Neutral 15 2" xfId="8334"/>
    <cellStyle name="Neutral 16" xfId="2718"/>
    <cellStyle name="Neutral 16 2" xfId="8335"/>
    <cellStyle name="Neutral 17" xfId="2719"/>
    <cellStyle name="Neutral 17 2" xfId="8336"/>
    <cellStyle name="Neutral 18" xfId="2720"/>
    <cellStyle name="Neutral 18 2" xfId="8337"/>
    <cellStyle name="Neutral 19" xfId="2721"/>
    <cellStyle name="Neutral 19 2" xfId="8338"/>
    <cellStyle name="Neutral 2" xfId="10"/>
    <cellStyle name="Neutral 2 2" xfId="2722"/>
    <cellStyle name="Neutral 2 2 2" xfId="8339"/>
    <cellStyle name="Neutral 2 3" xfId="8340"/>
    <cellStyle name="Neutral 20" xfId="2723"/>
    <cellStyle name="Neutral 20 2" xfId="8341"/>
    <cellStyle name="Neutral 21" xfId="2724"/>
    <cellStyle name="Neutral 21 2" xfId="8342"/>
    <cellStyle name="Neutral 22" xfId="2725"/>
    <cellStyle name="Neutral 22 2" xfId="8343"/>
    <cellStyle name="Neutral 23" xfId="2726"/>
    <cellStyle name="Neutral 23 2" xfId="8344"/>
    <cellStyle name="Neutral 24" xfId="2727"/>
    <cellStyle name="Neutral 24 2" xfId="8345"/>
    <cellStyle name="Neutral 25" xfId="2728"/>
    <cellStyle name="Neutral 25 2" xfId="8346"/>
    <cellStyle name="Neutral 26" xfId="2729"/>
    <cellStyle name="Neutral 26 2" xfId="8347"/>
    <cellStyle name="Neutral 27" xfId="2730"/>
    <cellStyle name="Neutral 27 2" xfId="8348"/>
    <cellStyle name="Neutral 28" xfId="2731"/>
    <cellStyle name="Neutral 28 2" xfId="8349"/>
    <cellStyle name="Neutral 29" xfId="2732"/>
    <cellStyle name="Neutral 29 2" xfId="8350"/>
    <cellStyle name="Neutral 3" xfId="2733"/>
    <cellStyle name="Neutral 3 2" xfId="8351"/>
    <cellStyle name="Neutral 30" xfId="2734"/>
    <cellStyle name="Neutral 30 2" xfId="8352"/>
    <cellStyle name="Neutral 31" xfId="2735"/>
    <cellStyle name="Neutral 31 2" xfId="8353"/>
    <cellStyle name="Neutral 32" xfId="2736"/>
    <cellStyle name="Neutral 32 2" xfId="8354"/>
    <cellStyle name="Neutral 33" xfId="2737"/>
    <cellStyle name="Neutral 33 2" xfId="8355"/>
    <cellStyle name="Neutral 34" xfId="2738"/>
    <cellStyle name="Neutral 34 2" xfId="8356"/>
    <cellStyle name="Neutral 35" xfId="2739"/>
    <cellStyle name="Neutral 35 2" xfId="8357"/>
    <cellStyle name="Neutral 36" xfId="2740"/>
    <cellStyle name="Neutral 36 2" xfId="8358"/>
    <cellStyle name="Neutral 37" xfId="2741"/>
    <cellStyle name="Neutral 37 2" xfId="8359"/>
    <cellStyle name="Neutral 38" xfId="2742"/>
    <cellStyle name="Neutral 38 2" xfId="8360"/>
    <cellStyle name="Neutral 39" xfId="2743"/>
    <cellStyle name="Neutral 39 2" xfId="8361"/>
    <cellStyle name="Neutral 4" xfId="2744"/>
    <cellStyle name="Neutral 4 2" xfId="8362"/>
    <cellStyle name="Neutral 40" xfId="2745"/>
    <cellStyle name="Neutral 40 2" xfId="8363"/>
    <cellStyle name="Neutral 41" xfId="2746"/>
    <cellStyle name="Neutral 41 2" xfId="8364"/>
    <cellStyle name="Neutral 42" xfId="2747"/>
    <cellStyle name="Neutral 42 2" xfId="8365"/>
    <cellStyle name="Neutral 43" xfId="2748"/>
    <cellStyle name="Neutral 43 2" xfId="8366"/>
    <cellStyle name="Neutral 44" xfId="2749"/>
    <cellStyle name="Neutral 44 2" xfId="8367"/>
    <cellStyle name="Neutral 45" xfId="2750"/>
    <cellStyle name="Neutral 45 2" xfId="8368"/>
    <cellStyle name="Neutral 46" xfId="2751"/>
    <cellStyle name="Neutral 46 2" xfId="8369"/>
    <cellStyle name="Neutral 47" xfId="2752"/>
    <cellStyle name="Neutral 47 2" xfId="8370"/>
    <cellStyle name="Neutral 48" xfId="2753"/>
    <cellStyle name="Neutral 48 2" xfId="8371"/>
    <cellStyle name="Neutral 49" xfId="2754"/>
    <cellStyle name="Neutral 49 2" xfId="8372"/>
    <cellStyle name="Neutral 5" xfId="2755"/>
    <cellStyle name="Neutral 5 2" xfId="8373"/>
    <cellStyle name="Neutral 50" xfId="2756"/>
    <cellStyle name="Neutral 50 2" xfId="8374"/>
    <cellStyle name="Neutral 51" xfId="2757"/>
    <cellStyle name="Neutral 51 2" xfId="8375"/>
    <cellStyle name="Neutral 52" xfId="2758"/>
    <cellStyle name="Neutral 52 2" xfId="8376"/>
    <cellStyle name="Neutral 53" xfId="2759"/>
    <cellStyle name="Neutral 53 2" xfId="8377"/>
    <cellStyle name="Neutral 54" xfId="2760"/>
    <cellStyle name="Neutral 54 2" xfId="8378"/>
    <cellStyle name="Neutral 55" xfId="2761"/>
    <cellStyle name="Neutral 55 2" xfId="8379"/>
    <cellStyle name="Neutral 56" xfId="2762"/>
    <cellStyle name="Neutral 56 2" xfId="8380"/>
    <cellStyle name="Neutral 57" xfId="2763"/>
    <cellStyle name="Neutral 57 2" xfId="8381"/>
    <cellStyle name="Neutral 58" xfId="2764"/>
    <cellStyle name="Neutral 58 2" xfId="8382"/>
    <cellStyle name="Neutral 59" xfId="2765"/>
    <cellStyle name="Neutral 59 2" xfId="8383"/>
    <cellStyle name="Neutral 6" xfId="2766"/>
    <cellStyle name="Neutral 6 2" xfId="8384"/>
    <cellStyle name="Neutral 60" xfId="8385"/>
    <cellStyle name="Neutral 7" xfId="2767"/>
    <cellStyle name="Neutral 7 2" xfId="8386"/>
    <cellStyle name="Neutral 8" xfId="2768"/>
    <cellStyle name="Neutral 8 2" xfId="8387"/>
    <cellStyle name="Neutral 9" xfId="2769"/>
    <cellStyle name="Neutral 9 2" xfId="8388"/>
    <cellStyle name="New Times Roman" xfId="16810"/>
    <cellStyle name="no dec" xfId="16811"/>
    <cellStyle name="ÑONVÒ" xfId="16812"/>
    <cellStyle name="Normal" xfId="0" builtinId="0"/>
    <cellStyle name="Normal - Style1" xfId="16813"/>
    <cellStyle name="Normal - 유형1" xfId="16814"/>
    <cellStyle name="Normal 10" xfId="11"/>
    <cellStyle name="Normal 10 2" xfId="8389"/>
    <cellStyle name="Normal 11" xfId="2770"/>
    <cellStyle name="Normal 11 2" xfId="8390"/>
    <cellStyle name="Normal 12" xfId="12"/>
    <cellStyle name="Normal 12 10" xfId="2771"/>
    <cellStyle name="Normal 12 10 2" xfId="8391"/>
    <cellStyle name="Normal 12 11" xfId="2772"/>
    <cellStyle name="Normal 12 11 2" xfId="8392"/>
    <cellStyle name="Normal 12 12" xfId="2773"/>
    <cellStyle name="Normal 12 12 2" xfId="8393"/>
    <cellStyle name="Normal 12 13" xfId="2774"/>
    <cellStyle name="Normal 12 13 2" xfId="8394"/>
    <cellStyle name="Normal 12 14" xfId="8395"/>
    <cellStyle name="Normal 12 2" xfId="2775"/>
    <cellStyle name="Normal 12 2 2" xfId="8396"/>
    <cellStyle name="Normal 12 3" xfId="2776"/>
    <cellStyle name="Normal 12 3 2" xfId="8397"/>
    <cellStyle name="Normal 12 4" xfId="2777"/>
    <cellStyle name="Normal 12 4 2" xfId="8398"/>
    <cellStyle name="Normal 12 5" xfId="2778"/>
    <cellStyle name="Normal 12 5 2" xfId="8399"/>
    <cellStyle name="Normal 12 6" xfId="2779"/>
    <cellStyle name="Normal 12 6 2" xfId="8400"/>
    <cellStyle name="Normal 12 7" xfId="2780"/>
    <cellStyle name="Normal 12 7 2" xfId="8401"/>
    <cellStyle name="Normal 12 8" xfId="2781"/>
    <cellStyle name="Normal 12 8 2" xfId="8402"/>
    <cellStyle name="Normal 12 9" xfId="2782"/>
    <cellStyle name="Normal 12 9 2" xfId="8403"/>
    <cellStyle name="Normal 13" xfId="2783"/>
    <cellStyle name="Normal 13 2" xfId="2784"/>
    <cellStyle name="Normal 14" xfId="2785"/>
    <cellStyle name="Normal 14 2" xfId="2786"/>
    <cellStyle name="Normal 14 3" xfId="16915"/>
    <cellStyle name="Normal 15" xfId="2787"/>
    <cellStyle name="Normal 15 2" xfId="2788"/>
    <cellStyle name="Normal 16" xfId="2789"/>
    <cellStyle name="Normal 16 2" xfId="2790"/>
    <cellStyle name="Normal 17" xfId="2791"/>
    <cellStyle name="Normal 17 2" xfId="2792"/>
    <cellStyle name="Normal 18" xfId="2793"/>
    <cellStyle name="Normal 18 2" xfId="2794"/>
    <cellStyle name="Normal 19" xfId="13"/>
    <cellStyle name="Normal 19 10" xfId="2795"/>
    <cellStyle name="Normal 19 10 2" xfId="8404"/>
    <cellStyle name="Normal 19 11" xfId="2796"/>
    <cellStyle name="Normal 19 11 2" xfId="8405"/>
    <cellStyle name="Normal 19 12" xfId="2797"/>
    <cellStyle name="Normal 19 12 2" xfId="8406"/>
    <cellStyle name="Normal 19 13" xfId="2798"/>
    <cellStyle name="Normal 19 13 2" xfId="8407"/>
    <cellStyle name="Normal 19 14" xfId="8408"/>
    <cellStyle name="Normal 19 2" xfId="2799"/>
    <cellStyle name="Normal 19 2 2" xfId="8409"/>
    <cellStyle name="Normal 19 3" xfId="2800"/>
    <cellStyle name="Normal 19 3 2" xfId="8410"/>
    <cellStyle name="Normal 19 4" xfId="2801"/>
    <cellStyle name="Normal 19 4 2" xfId="8411"/>
    <cellStyle name="Normal 19 5" xfId="2802"/>
    <cellStyle name="Normal 19 5 2" xfId="8412"/>
    <cellStyle name="Normal 19 6" xfId="2803"/>
    <cellStyle name="Normal 19 6 2" xfId="8413"/>
    <cellStyle name="Normal 19 7" xfId="2804"/>
    <cellStyle name="Normal 19 7 2" xfId="8414"/>
    <cellStyle name="Normal 19 8" xfId="2805"/>
    <cellStyle name="Normal 19 8 2" xfId="8415"/>
    <cellStyle name="Normal 19 9" xfId="2806"/>
    <cellStyle name="Normal 19 9 2" xfId="8416"/>
    <cellStyle name="Normal 2" xfId="14"/>
    <cellStyle name="Normal 2 10" xfId="2807"/>
    <cellStyle name="Normal 2 10 2" xfId="2808"/>
    <cellStyle name="Normal 2 11" xfId="2809"/>
    <cellStyle name="Normal 2 11 2" xfId="2810"/>
    <cellStyle name="Normal 2 12" xfId="2811"/>
    <cellStyle name="Normal 2 12 2" xfId="2812"/>
    <cellStyle name="Normal 2 13" xfId="2813"/>
    <cellStyle name="Normal 2 13 2" xfId="2814"/>
    <cellStyle name="Normal 2 14" xfId="2815"/>
    <cellStyle name="Normal 2 14 2" xfId="2816"/>
    <cellStyle name="Normal 2 15" xfId="2817"/>
    <cellStyle name="Normal 2 15 2" xfId="2818"/>
    <cellStyle name="Normal 2 16" xfId="2819"/>
    <cellStyle name="Normal 2 16 2" xfId="2820"/>
    <cellStyle name="Normal 2 17" xfId="2821"/>
    <cellStyle name="Normal 2 17 2" xfId="2822"/>
    <cellStyle name="Normal 2 18" xfId="2823"/>
    <cellStyle name="Normal 2 18 2" xfId="2824"/>
    <cellStyle name="Normal 2 19" xfId="2825"/>
    <cellStyle name="Normal 2 19 2" xfId="2826"/>
    <cellStyle name="Normal 2 2" xfId="15"/>
    <cellStyle name="Normal 2 2 10" xfId="2827"/>
    <cellStyle name="Normal 2 2 11" xfId="2828"/>
    <cellStyle name="Normal 2 2 12" xfId="2829"/>
    <cellStyle name="Normal 2 2 13" xfId="2830"/>
    <cellStyle name="Normal 2 2 14" xfId="2831"/>
    <cellStyle name="Normal 2 2 15" xfId="2832"/>
    <cellStyle name="Normal 2 2 16" xfId="2833"/>
    <cellStyle name="Normal 2 2 17" xfId="2834"/>
    <cellStyle name="Normal 2 2 18" xfId="2835"/>
    <cellStyle name="Normal 2 2 19" xfId="2836"/>
    <cellStyle name="Normal 2 2 2" xfId="2837"/>
    <cellStyle name="Normal 2 2 2 2" xfId="8417"/>
    <cellStyle name="Normal 2 2 20" xfId="2838"/>
    <cellStyle name="Normal 2 2 21" xfId="2839"/>
    <cellStyle name="Normal 2 2 22" xfId="2840"/>
    <cellStyle name="Normal 2 2 23" xfId="2841"/>
    <cellStyle name="Normal 2 2 24" xfId="2842"/>
    <cellStyle name="Normal 2 2 25" xfId="2843"/>
    <cellStyle name="Normal 2 2 26" xfId="2844"/>
    <cellStyle name="Normal 2 2 27" xfId="2845"/>
    <cellStyle name="Normal 2 2 28" xfId="2846"/>
    <cellStyle name="Normal 2 2 29" xfId="2847"/>
    <cellStyle name="Normal 2 2 3" xfId="2848"/>
    <cellStyle name="Normal 2 2 30" xfId="2849"/>
    <cellStyle name="Normal 2 2 31" xfId="35"/>
    <cellStyle name="Normal 2 2 32" xfId="2850"/>
    <cellStyle name="Normal 2 2 33" xfId="36"/>
    <cellStyle name="Normal 2 2 34" xfId="2851"/>
    <cellStyle name="Normal 2 2 35" xfId="2852"/>
    <cellStyle name="Normal 2 2 36" xfId="2853"/>
    <cellStyle name="Normal 2 2 37" xfId="2854"/>
    <cellStyle name="Normal 2 2 38" xfId="2855"/>
    <cellStyle name="Normal 2 2 39" xfId="2856"/>
    <cellStyle name="Normal 2 2 4" xfId="2857"/>
    <cellStyle name="Normal 2 2 40" xfId="2858"/>
    <cellStyle name="Normal 2 2 41" xfId="2859"/>
    <cellStyle name="Normal 2 2 42" xfId="2860"/>
    <cellStyle name="Normal 2 2 43" xfId="2861"/>
    <cellStyle name="Normal 2 2 44" xfId="2862"/>
    <cellStyle name="Normal 2 2 45" xfId="2863"/>
    <cellStyle name="Normal 2 2 46" xfId="2864"/>
    <cellStyle name="Normal 2 2 47" xfId="2865"/>
    <cellStyle name="Normal 2 2 48" xfId="2866"/>
    <cellStyle name="Normal 2 2 49" xfId="2867"/>
    <cellStyle name="Normal 2 2 5" xfId="2868"/>
    <cellStyle name="Normal 2 2 50" xfId="2869"/>
    <cellStyle name="Normal 2 2 51" xfId="2870"/>
    <cellStyle name="Normal 2 2 52" xfId="2871"/>
    <cellStyle name="Normal 2 2 53" xfId="2872"/>
    <cellStyle name="Normal 2 2 54" xfId="2873"/>
    <cellStyle name="Normal 2 2 55" xfId="2874"/>
    <cellStyle name="Normal 2 2 56" xfId="2875"/>
    <cellStyle name="Normal 2 2 57" xfId="2876"/>
    <cellStyle name="Normal 2 2 58" xfId="2877"/>
    <cellStyle name="Normal 2 2 59" xfId="2878"/>
    <cellStyle name="Normal 2 2 6" xfId="2879"/>
    <cellStyle name="Normal 2 2 60" xfId="2880"/>
    <cellStyle name="Normal 2 2 61" xfId="2881"/>
    <cellStyle name="Normal 2 2 62" xfId="2882"/>
    <cellStyle name="Normal 2 2 63" xfId="2883"/>
    <cellStyle name="Normal 2 2 64" xfId="2884"/>
    <cellStyle name="Normal 2 2 7" xfId="2885"/>
    <cellStyle name="Normal 2 2 8" xfId="2886"/>
    <cellStyle name="Normal 2 2 9" xfId="2887"/>
    <cellStyle name="Normal 2 2_MT LIST-2013 - Tong hop" xfId="2888"/>
    <cellStyle name="Normal 2 20" xfId="2889"/>
    <cellStyle name="Normal 2 20 2" xfId="2890"/>
    <cellStyle name="Normal 2 21" xfId="2891"/>
    <cellStyle name="Normal 2 21 2" xfId="2892"/>
    <cellStyle name="Normal 2 22" xfId="2893"/>
    <cellStyle name="Normal 2 22 2" xfId="2894"/>
    <cellStyle name="Normal 2 23" xfId="2895"/>
    <cellStyle name="Normal 2 23 2" xfId="2896"/>
    <cellStyle name="Normal 2 24" xfId="2897"/>
    <cellStyle name="Normal 2 24 2" xfId="2898"/>
    <cellStyle name="Normal 2 25" xfId="2899"/>
    <cellStyle name="Normal 2 25 2" xfId="2900"/>
    <cellStyle name="Normal 2 26" xfId="2901"/>
    <cellStyle name="Normal 2 26 2" xfId="2902"/>
    <cellStyle name="Normal 2 27" xfId="2903"/>
    <cellStyle name="Normal 2 27 2" xfId="2904"/>
    <cellStyle name="Normal 2 28" xfId="2905"/>
    <cellStyle name="Normal 2 28 2" xfId="2906"/>
    <cellStyle name="Normal 2 29" xfId="2907"/>
    <cellStyle name="Normal 2 29 2" xfId="2908"/>
    <cellStyle name="Normal 2 3" xfId="16"/>
    <cellStyle name="Normal 2 3 2" xfId="2909"/>
    <cellStyle name="Normal 2 3 2 10" xfId="8418"/>
    <cellStyle name="Normal 2 3 2 11" xfId="8419"/>
    <cellStyle name="Normal 2 3 2 12" xfId="8420"/>
    <cellStyle name="Normal 2 3 2 13" xfId="8421"/>
    <cellStyle name="Normal 2 3 2 14" xfId="8422"/>
    <cellStyle name="Normal 2 3 2 15" xfId="8423"/>
    <cellStyle name="Normal 2 3 2 16" xfId="8424"/>
    <cellStyle name="Normal 2 3 2 17" xfId="8425"/>
    <cellStyle name="Normal 2 3 2 18" xfId="8426"/>
    <cellStyle name="Normal 2 3 2 19" xfId="8427"/>
    <cellStyle name="Normal 2 3 2 2" xfId="8428"/>
    <cellStyle name="Normal 2 3 2 2 10" xfId="8429"/>
    <cellStyle name="Normal 2 3 2 2 11" xfId="8430"/>
    <cellStyle name="Normal 2 3 2 2 12" xfId="8431"/>
    <cellStyle name="Normal 2 3 2 2 13" xfId="8432"/>
    <cellStyle name="Normal 2 3 2 2 14" xfId="8433"/>
    <cellStyle name="Normal 2 3 2 2 15" xfId="8434"/>
    <cellStyle name="Normal 2 3 2 2 16" xfId="8435"/>
    <cellStyle name="Normal 2 3 2 2 17" xfId="8436"/>
    <cellStyle name="Normal 2 3 2 2 18" xfId="8437"/>
    <cellStyle name="Normal 2 3 2 2 19" xfId="8438"/>
    <cellStyle name="Normal 2 3 2 2 2" xfId="8439"/>
    <cellStyle name="Normal 2 3 2 2 2 10" xfId="8440"/>
    <cellStyle name="Normal 2 3 2 2 2 11" xfId="8441"/>
    <cellStyle name="Normal 2 3 2 2 2 12" xfId="8442"/>
    <cellStyle name="Normal 2 3 2 2 2 13" xfId="8443"/>
    <cellStyle name="Normal 2 3 2 2 2 14" xfId="8444"/>
    <cellStyle name="Normal 2 3 2 2 2 15" xfId="8445"/>
    <cellStyle name="Normal 2 3 2 2 2 16" xfId="8446"/>
    <cellStyle name="Normal 2 3 2 2 2 17" xfId="8447"/>
    <cellStyle name="Normal 2 3 2 2 2 18" xfId="8448"/>
    <cellStyle name="Normal 2 3 2 2 2 19" xfId="8449"/>
    <cellStyle name="Normal 2 3 2 2 2 2" xfId="8450"/>
    <cellStyle name="Normal 2 3 2 2 2 3" xfId="8451"/>
    <cellStyle name="Normal 2 3 2 2 2 4" xfId="8452"/>
    <cellStyle name="Normal 2 3 2 2 2 5" xfId="8453"/>
    <cellStyle name="Normal 2 3 2 2 2 6" xfId="8454"/>
    <cellStyle name="Normal 2 3 2 2 2 7" xfId="8455"/>
    <cellStyle name="Normal 2 3 2 2 2 8" xfId="8456"/>
    <cellStyle name="Normal 2 3 2 2 2 9" xfId="8457"/>
    <cellStyle name="Normal 2 3 2 2 20" xfId="8458"/>
    <cellStyle name="Normal 2 3 2 2 3" xfId="8459"/>
    <cellStyle name="Normal 2 3 2 2 4" xfId="8460"/>
    <cellStyle name="Normal 2 3 2 2 5" xfId="8461"/>
    <cellStyle name="Normal 2 3 2 2 6" xfId="8462"/>
    <cellStyle name="Normal 2 3 2 2 7" xfId="8463"/>
    <cellStyle name="Normal 2 3 2 2 8" xfId="8464"/>
    <cellStyle name="Normal 2 3 2 2 9" xfId="8465"/>
    <cellStyle name="Normal 2 3 2 20" xfId="8466"/>
    <cellStyle name="Normal 2 3 2 21" xfId="8467"/>
    <cellStyle name="Normal 2 3 2 3" xfId="8468"/>
    <cellStyle name="Normal 2 3 2 3 10" xfId="8469"/>
    <cellStyle name="Normal 2 3 2 3 11" xfId="8470"/>
    <cellStyle name="Normal 2 3 2 3 12" xfId="8471"/>
    <cellStyle name="Normal 2 3 2 3 13" xfId="8472"/>
    <cellStyle name="Normal 2 3 2 3 14" xfId="8473"/>
    <cellStyle name="Normal 2 3 2 3 15" xfId="8474"/>
    <cellStyle name="Normal 2 3 2 3 16" xfId="8475"/>
    <cellStyle name="Normal 2 3 2 3 17" xfId="8476"/>
    <cellStyle name="Normal 2 3 2 3 18" xfId="8477"/>
    <cellStyle name="Normal 2 3 2 3 19" xfId="8478"/>
    <cellStyle name="Normal 2 3 2 3 2" xfId="8479"/>
    <cellStyle name="Normal 2 3 2 3 3" xfId="8480"/>
    <cellStyle name="Normal 2 3 2 3 4" xfId="8481"/>
    <cellStyle name="Normal 2 3 2 3 5" xfId="8482"/>
    <cellStyle name="Normal 2 3 2 3 6" xfId="8483"/>
    <cellStyle name="Normal 2 3 2 3 7" xfId="8484"/>
    <cellStyle name="Normal 2 3 2 3 8" xfId="8485"/>
    <cellStyle name="Normal 2 3 2 3 9" xfId="8486"/>
    <cellStyle name="Normal 2 3 2 4" xfId="8487"/>
    <cellStyle name="Normal 2 3 2 5" xfId="8488"/>
    <cellStyle name="Normal 2 3 2 6" xfId="8489"/>
    <cellStyle name="Normal 2 3 2 7" xfId="8490"/>
    <cellStyle name="Normal 2 3 2 8" xfId="8491"/>
    <cellStyle name="Normal 2 3 2 9" xfId="8492"/>
    <cellStyle name="Normal 2 3 3" xfId="2910"/>
    <cellStyle name="Normal 2 3 3 10" xfId="8493"/>
    <cellStyle name="Normal 2 3 3 11" xfId="8494"/>
    <cellStyle name="Normal 2 3 3 12" xfId="8495"/>
    <cellStyle name="Normal 2 3 3 13" xfId="8496"/>
    <cellStyle name="Normal 2 3 3 14" xfId="8497"/>
    <cellStyle name="Normal 2 3 3 15" xfId="8498"/>
    <cellStyle name="Normal 2 3 3 16" xfId="8499"/>
    <cellStyle name="Normal 2 3 3 17" xfId="8500"/>
    <cellStyle name="Normal 2 3 3 18" xfId="8501"/>
    <cellStyle name="Normal 2 3 3 19" xfId="8502"/>
    <cellStyle name="Normal 2 3 3 2" xfId="8503"/>
    <cellStyle name="Normal 2 3 3 2 10" xfId="8504"/>
    <cellStyle name="Normal 2 3 3 2 11" xfId="8505"/>
    <cellStyle name="Normal 2 3 3 2 12" xfId="8506"/>
    <cellStyle name="Normal 2 3 3 2 13" xfId="8507"/>
    <cellStyle name="Normal 2 3 3 2 14" xfId="8508"/>
    <cellStyle name="Normal 2 3 3 2 15" xfId="8509"/>
    <cellStyle name="Normal 2 3 3 2 16" xfId="8510"/>
    <cellStyle name="Normal 2 3 3 2 17" xfId="8511"/>
    <cellStyle name="Normal 2 3 3 2 18" xfId="8512"/>
    <cellStyle name="Normal 2 3 3 2 19" xfId="8513"/>
    <cellStyle name="Normal 2 3 3 2 2" xfId="8514"/>
    <cellStyle name="Normal 2 3 3 2 2 10" xfId="8515"/>
    <cellStyle name="Normal 2 3 3 2 2 11" xfId="8516"/>
    <cellStyle name="Normal 2 3 3 2 2 12" xfId="8517"/>
    <cellStyle name="Normal 2 3 3 2 2 13" xfId="8518"/>
    <cellStyle name="Normal 2 3 3 2 2 14" xfId="8519"/>
    <cellStyle name="Normal 2 3 3 2 2 15" xfId="8520"/>
    <cellStyle name="Normal 2 3 3 2 2 16" xfId="8521"/>
    <cellStyle name="Normal 2 3 3 2 2 17" xfId="8522"/>
    <cellStyle name="Normal 2 3 3 2 2 18" xfId="8523"/>
    <cellStyle name="Normal 2 3 3 2 2 19" xfId="8524"/>
    <cellStyle name="Normal 2 3 3 2 2 2" xfId="8525"/>
    <cellStyle name="Normal 2 3 3 2 2 3" xfId="8526"/>
    <cellStyle name="Normal 2 3 3 2 2 4" xfId="8527"/>
    <cellStyle name="Normal 2 3 3 2 2 5" xfId="8528"/>
    <cellStyle name="Normal 2 3 3 2 2 6" xfId="8529"/>
    <cellStyle name="Normal 2 3 3 2 2 7" xfId="8530"/>
    <cellStyle name="Normal 2 3 3 2 2 8" xfId="8531"/>
    <cellStyle name="Normal 2 3 3 2 2 9" xfId="8532"/>
    <cellStyle name="Normal 2 3 3 2 20" xfId="8533"/>
    <cellStyle name="Normal 2 3 3 2 3" xfId="8534"/>
    <cellStyle name="Normal 2 3 3 2 4" xfId="8535"/>
    <cellStyle name="Normal 2 3 3 2 5" xfId="8536"/>
    <cellStyle name="Normal 2 3 3 2 6" xfId="8537"/>
    <cellStyle name="Normal 2 3 3 2 7" xfId="8538"/>
    <cellStyle name="Normal 2 3 3 2 8" xfId="8539"/>
    <cellStyle name="Normal 2 3 3 2 9" xfId="8540"/>
    <cellStyle name="Normal 2 3 3 20" xfId="8541"/>
    <cellStyle name="Normal 2 3 3 21" xfId="8542"/>
    <cellStyle name="Normal 2 3 3 3" xfId="8543"/>
    <cellStyle name="Normal 2 3 3 3 10" xfId="8544"/>
    <cellStyle name="Normal 2 3 3 3 11" xfId="8545"/>
    <cellStyle name="Normal 2 3 3 3 12" xfId="8546"/>
    <cellStyle name="Normal 2 3 3 3 13" xfId="8547"/>
    <cellStyle name="Normal 2 3 3 3 14" xfId="8548"/>
    <cellStyle name="Normal 2 3 3 3 15" xfId="8549"/>
    <cellStyle name="Normal 2 3 3 3 16" xfId="8550"/>
    <cellStyle name="Normal 2 3 3 3 17" xfId="8551"/>
    <cellStyle name="Normal 2 3 3 3 18" xfId="8552"/>
    <cellStyle name="Normal 2 3 3 3 19" xfId="8553"/>
    <cellStyle name="Normal 2 3 3 3 2" xfId="8554"/>
    <cellStyle name="Normal 2 3 3 3 3" xfId="8555"/>
    <cellStyle name="Normal 2 3 3 3 4" xfId="8556"/>
    <cellStyle name="Normal 2 3 3 3 5" xfId="8557"/>
    <cellStyle name="Normal 2 3 3 3 6" xfId="8558"/>
    <cellStyle name="Normal 2 3 3 3 7" xfId="8559"/>
    <cellStyle name="Normal 2 3 3 3 8" xfId="8560"/>
    <cellStyle name="Normal 2 3 3 3 9" xfId="8561"/>
    <cellStyle name="Normal 2 3 3 4" xfId="8562"/>
    <cellStyle name="Normal 2 3 3 5" xfId="8563"/>
    <cellStyle name="Normal 2 3 3 6" xfId="8564"/>
    <cellStyle name="Normal 2 3 3 7" xfId="8565"/>
    <cellStyle name="Normal 2 3 3 8" xfId="8566"/>
    <cellStyle name="Normal 2 3 3 9" xfId="8567"/>
    <cellStyle name="Normal 2 3 4" xfId="8568"/>
    <cellStyle name="Normal 2 30" xfId="2911"/>
    <cellStyle name="Normal 2 30 2" xfId="2912"/>
    <cellStyle name="Normal 2 31" xfId="2913"/>
    <cellStyle name="Normal 2 31 2" xfId="2914"/>
    <cellStyle name="Normal 2 32" xfId="2915"/>
    <cellStyle name="Normal 2 32 2" xfId="2916"/>
    <cellStyle name="Normal 2 33" xfId="2917"/>
    <cellStyle name="Normal 2 33 2" xfId="2918"/>
    <cellStyle name="Normal 2 34" xfId="2919"/>
    <cellStyle name="Normal 2 34 2" xfId="2920"/>
    <cellStyle name="Normal 2 35" xfId="2921"/>
    <cellStyle name="Normal 2 35 2" xfId="2922"/>
    <cellStyle name="Normal 2 36" xfId="2923"/>
    <cellStyle name="Normal 2 36 2" xfId="2924"/>
    <cellStyle name="Normal 2 37" xfId="2925"/>
    <cellStyle name="Normal 2 37 2" xfId="2926"/>
    <cellStyle name="Normal 2 38" xfId="2927"/>
    <cellStyle name="Normal 2 38 2" xfId="2928"/>
    <cellStyle name="Normal 2 39" xfId="2929"/>
    <cellStyle name="Normal 2 39 2" xfId="2930"/>
    <cellStyle name="Normal 2 4" xfId="2931"/>
    <cellStyle name="Normal 2 4 2" xfId="2932"/>
    <cellStyle name="Normal 2 40" xfId="2933"/>
    <cellStyle name="Normal 2 40 2" xfId="2934"/>
    <cellStyle name="Normal 2 41" xfId="2935"/>
    <cellStyle name="Normal 2 41 2" xfId="2936"/>
    <cellStyle name="Normal 2 42" xfId="2937"/>
    <cellStyle name="Normal 2 42 2" xfId="2938"/>
    <cellStyle name="Normal 2 43" xfId="2939"/>
    <cellStyle name="Normal 2 43 2" xfId="2940"/>
    <cellStyle name="Normal 2 44" xfId="2941"/>
    <cellStyle name="Normal 2 44 2" xfId="2942"/>
    <cellStyle name="Normal 2 45" xfId="2943"/>
    <cellStyle name="Normal 2 45 2" xfId="2944"/>
    <cellStyle name="Normal 2 46" xfId="2945"/>
    <cellStyle name="Normal 2 46 2" xfId="2946"/>
    <cellStyle name="Normal 2 47" xfId="2947"/>
    <cellStyle name="Normal 2 47 2" xfId="2948"/>
    <cellStyle name="Normal 2 48" xfId="2949"/>
    <cellStyle name="Normal 2 48 2" xfId="2950"/>
    <cellStyle name="Normal 2 49" xfId="2951"/>
    <cellStyle name="Normal 2 49 2" xfId="2952"/>
    <cellStyle name="Normal 2 5" xfId="2953"/>
    <cellStyle name="Normal 2 5 2" xfId="2954"/>
    <cellStyle name="Normal 2 50" xfId="2955"/>
    <cellStyle name="Normal 2 50 2" xfId="2956"/>
    <cellStyle name="Normal 2 51" xfId="2957"/>
    <cellStyle name="Normal 2 51 2" xfId="2958"/>
    <cellStyle name="Normal 2 52" xfId="2959"/>
    <cellStyle name="Normal 2 52 2" xfId="2960"/>
    <cellStyle name="Normal 2 53" xfId="2961"/>
    <cellStyle name="Normal 2 53 2" xfId="2962"/>
    <cellStyle name="Normal 2 54" xfId="2963"/>
    <cellStyle name="Normal 2 54 2" xfId="2964"/>
    <cellStyle name="Normal 2 55" xfId="2965"/>
    <cellStyle name="Normal 2 55 2" xfId="2966"/>
    <cellStyle name="Normal 2 56" xfId="2967"/>
    <cellStyle name="Normal 2 56 2" xfId="2968"/>
    <cellStyle name="Normal 2 57" xfId="2969"/>
    <cellStyle name="Normal 2 57 2" xfId="2970"/>
    <cellStyle name="Normal 2 58" xfId="2971"/>
    <cellStyle name="Normal 2 58 2" xfId="2972"/>
    <cellStyle name="Normal 2 59" xfId="2973"/>
    <cellStyle name="Normal 2 59 2" xfId="2974"/>
    <cellStyle name="Normal 2 6" xfId="2975"/>
    <cellStyle name="Normal 2 6 2" xfId="2976"/>
    <cellStyle name="Normal 2 60" xfId="2977"/>
    <cellStyle name="Normal 2 60 2" xfId="2978"/>
    <cellStyle name="Normal 2 61" xfId="2979"/>
    <cellStyle name="Normal 2 61 2" xfId="2980"/>
    <cellStyle name="Normal 2 62" xfId="2981"/>
    <cellStyle name="Normal 2 62 2" xfId="2982"/>
    <cellStyle name="Normal 2 63" xfId="2983"/>
    <cellStyle name="Normal 2 63 2" xfId="2984"/>
    <cellStyle name="Normal 2 64" xfId="2985"/>
    <cellStyle name="Normal 2 64 2" xfId="32"/>
    <cellStyle name="Normal 2 65" xfId="2986"/>
    <cellStyle name="Normal 2 65 2" xfId="8569"/>
    <cellStyle name="Normal 2 66" xfId="2987"/>
    <cellStyle name="Normal 2 66 2" xfId="8570"/>
    <cellStyle name="Normal 2 67" xfId="2988"/>
    <cellStyle name="Normal 2 67 2" xfId="8571"/>
    <cellStyle name="Normal 2 68" xfId="2989"/>
    <cellStyle name="Normal 2 68 2" xfId="8572"/>
    <cellStyle name="Normal 2 69" xfId="2990"/>
    <cellStyle name="Normal 2 69 2" xfId="8573"/>
    <cellStyle name="Normal 2 7" xfId="2991"/>
    <cellStyle name="Normal 2 7 2" xfId="2992"/>
    <cellStyle name="Normal 2 70" xfId="2993"/>
    <cellStyle name="Normal 2 70 2" xfId="8574"/>
    <cellStyle name="Normal 2 71" xfId="2994"/>
    <cellStyle name="Normal 2 71 2" xfId="8575"/>
    <cellStyle name="Normal 2 72" xfId="2995"/>
    <cellStyle name="Normal 2 72 2" xfId="8576"/>
    <cellStyle name="Normal 2 73" xfId="2996"/>
    <cellStyle name="Normal 2 73 2" xfId="8577"/>
    <cellStyle name="Normal 2 74" xfId="2997"/>
    <cellStyle name="Normal 2 74 2" xfId="8578"/>
    <cellStyle name="Normal 2 75" xfId="2998"/>
    <cellStyle name="Normal 2 76" xfId="2999"/>
    <cellStyle name="Normal 2 77" xfId="3000"/>
    <cellStyle name="Normal 2 78" xfId="3001"/>
    <cellStyle name="Normal 2 79" xfId="3002"/>
    <cellStyle name="Normal 2 8" xfId="3003"/>
    <cellStyle name="Normal 2 8 2" xfId="3004"/>
    <cellStyle name="Normal 2 80" xfId="3005"/>
    <cellStyle name="Normal 2 81" xfId="3006"/>
    <cellStyle name="Normal 2 82" xfId="3007"/>
    <cellStyle name="Normal 2 83" xfId="16919"/>
    <cellStyle name="Normal 2 9" xfId="3008"/>
    <cellStyle name="Normal 2 9 2" xfId="3009"/>
    <cellStyle name="Normal 2_H_Thịnh Phát" xfId="3010"/>
    <cellStyle name="Normal 20" xfId="17"/>
    <cellStyle name="Normal 20 10" xfId="3011"/>
    <cellStyle name="Normal 20 10 2" xfId="8579"/>
    <cellStyle name="Normal 20 11" xfId="3012"/>
    <cellStyle name="Normal 20 11 2" xfId="8580"/>
    <cellStyle name="Normal 20 12" xfId="3013"/>
    <cellStyle name="Normal 20 12 2" xfId="8581"/>
    <cellStyle name="Normal 20 13" xfId="3014"/>
    <cellStyle name="Normal 20 13 2" xfId="8582"/>
    <cellStyle name="Normal 20 14" xfId="8583"/>
    <cellStyle name="Normal 20 2" xfId="3015"/>
    <cellStyle name="Normal 20 2 2" xfId="8584"/>
    <cellStyle name="Normal 20 3" xfId="3016"/>
    <cellStyle name="Normal 20 3 2" xfId="8585"/>
    <cellStyle name="Normal 20 4" xfId="3017"/>
    <cellStyle name="Normal 20 4 2" xfId="8586"/>
    <cellStyle name="Normal 20 5" xfId="3018"/>
    <cellStyle name="Normal 20 5 2" xfId="8587"/>
    <cellStyle name="Normal 20 6" xfId="3019"/>
    <cellStyle name="Normal 20 6 2" xfId="8588"/>
    <cellStyle name="Normal 20 7" xfId="3020"/>
    <cellStyle name="Normal 20 7 2" xfId="8589"/>
    <cellStyle name="Normal 20 8" xfId="3021"/>
    <cellStyle name="Normal 20 8 2" xfId="8590"/>
    <cellStyle name="Normal 20 9" xfId="3022"/>
    <cellStyle name="Normal 20 9 2" xfId="8591"/>
    <cellStyle name="Normal 21" xfId="3023"/>
    <cellStyle name="Normal 21 10" xfId="8592"/>
    <cellStyle name="Normal 21 11" xfId="8593"/>
    <cellStyle name="Normal 21 12" xfId="8594"/>
    <cellStyle name="Normal 21 13" xfId="8595"/>
    <cellStyle name="Normal 21 14" xfId="8596"/>
    <cellStyle name="Normal 21 15" xfId="8597"/>
    <cellStyle name="Normal 21 16" xfId="8598"/>
    <cellStyle name="Normal 21 17" xfId="8599"/>
    <cellStyle name="Normal 21 18" xfId="8600"/>
    <cellStyle name="Normal 21 19" xfId="8601"/>
    <cellStyle name="Normal 21 2" xfId="8602"/>
    <cellStyle name="Normal 21 2 10" xfId="8603"/>
    <cellStyle name="Normal 21 2 11" xfId="8604"/>
    <cellStyle name="Normal 21 2 12" xfId="8605"/>
    <cellStyle name="Normal 21 2 13" xfId="8606"/>
    <cellStyle name="Normal 21 2 14" xfId="8607"/>
    <cellStyle name="Normal 21 2 15" xfId="8608"/>
    <cellStyle name="Normal 21 2 16" xfId="8609"/>
    <cellStyle name="Normal 21 2 17" xfId="8610"/>
    <cellStyle name="Normal 21 2 18" xfId="8611"/>
    <cellStyle name="Normal 21 2 19" xfId="8612"/>
    <cellStyle name="Normal 21 2 2" xfId="8613"/>
    <cellStyle name="Normal 21 2 2 10" xfId="8614"/>
    <cellStyle name="Normal 21 2 2 11" xfId="8615"/>
    <cellStyle name="Normal 21 2 2 12" xfId="8616"/>
    <cellStyle name="Normal 21 2 2 13" xfId="8617"/>
    <cellStyle name="Normal 21 2 2 14" xfId="8618"/>
    <cellStyle name="Normal 21 2 2 15" xfId="8619"/>
    <cellStyle name="Normal 21 2 2 16" xfId="8620"/>
    <cellStyle name="Normal 21 2 2 17" xfId="8621"/>
    <cellStyle name="Normal 21 2 2 18" xfId="8622"/>
    <cellStyle name="Normal 21 2 2 19" xfId="8623"/>
    <cellStyle name="Normal 21 2 2 2" xfId="8624"/>
    <cellStyle name="Normal 21 2 2 3" xfId="8625"/>
    <cellStyle name="Normal 21 2 2 4" xfId="8626"/>
    <cellStyle name="Normal 21 2 2 5" xfId="8627"/>
    <cellStyle name="Normal 21 2 2 6" xfId="8628"/>
    <cellStyle name="Normal 21 2 2 7" xfId="8629"/>
    <cellStyle name="Normal 21 2 2 8" xfId="8630"/>
    <cellStyle name="Normal 21 2 2 9" xfId="8631"/>
    <cellStyle name="Normal 21 2 20" xfId="8632"/>
    <cellStyle name="Normal 21 2 3" xfId="8633"/>
    <cellStyle name="Normal 21 2 4" xfId="8634"/>
    <cellStyle name="Normal 21 2 5" xfId="8635"/>
    <cellStyle name="Normal 21 2 6" xfId="8636"/>
    <cellStyle name="Normal 21 2 7" xfId="8637"/>
    <cellStyle name="Normal 21 2 8" xfId="8638"/>
    <cellStyle name="Normal 21 2 9" xfId="8639"/>
    <cellStyle name="Normal 21 20" xfId="8640"/>
    <cellStyle name="Normal 21 21" xfId="8641"/>
    <cellStyle name="Normal 21 3" xfId="8642"/>
    <cellStyle name="Normal 21 3 10" xfId="8643"/>
    <cellStyle name="Normal 21 3 11" xfId="8644"/>
    <cellStyle name="Normal 21 3 12" xfId="8645"/>
    <cellStyle name="Normal 21 3 13" xfId="8646"/>
    <cellStyle name="Normal 21 3 14" xfId="8647"/>
    <cellStyle name="Normal 21 3 15" xfId="8648"/>
    <cellStyle name="Normal 21 3 16" xfId="8649"/>
    <cellStyle name="Normal 21 3 17" xfId="8650"/>
    <cellStyle name="Normal 21 3 18" xfId="8651"/>
    <cellStyle name="Normal 21 3 19" xfId="8652"/>
    <cellStyle name="Normal 21 3 2" xfId="8653"/>
    <cellStyle name="Normal 21 3 3" xfId="8654"/>
    <cellStyle name="Normal 21 3 4" xfId="8655"/>
    <cellStyle name="Normal 21 3 5" xfId="8656"/>
    <cellStyle name="Normal 21 3 6" xfId="8657"/>
    <cellStyle name="Normal 21 3 7" xfId="8658"/>
    <cellStyle name="Normal 21 3 8" xfId="8659"/>
    <cellStyle name="Normal 21 3 9" xfId="8660"/>
    <cellStyle name="Normal 21 4" xfId="8661"/>
    <cellStyle name="Normal 21 5" xfId="8662"/>
    <cellStyle name="Normal 21 6" xfId="8663"/>
    <cellStyle name="Normal 21 7" xfId="8664"/>
    <cellStyle name="Normal 21 8" xfId="8665"/>
    <cellStyle name="Normal 21 9" xfId="8666"/>
    <cellStyle name="Normal 22" xfId="3024"/>
    <cellStyle name="Normal 22 10" xfId="8667"/>
    <cellStyle name="Normal 22 11" xfId="8668"/>
    <cellStyle name="Normal 22 12" xfId="8669"/>
    <cellStyle name="Normal 22 13" xfId="8670"/>
    <cellStyle name="Normal 22 14" xfId="8671"/>
    <cellStyle name="Normal 22 15" xfId="8672"/>
    <cellStyle name="Normal 22 16" xfId="8673"/>
    <cellStyle name="Normal 22 17" xfId="8674"/>
    <cellStyle name="Normal 22 18" xfId="8675"/>
    <cellStyle name="Normal 22 19" xfId="8676"/>
    <cellStyle name="Normal 22 2" xfId="8677"/>
    <cellStyle name="Normal 22 2 10" xfId="8678"/>
    <cellStyle name="Normal 22 2 11" xfId="8679"/>
    <cellStyle name="Normal 22 2 12" xfId="8680"/>
    <cellStyle name="Normal 22 2 13" xfId="8681"/>
    <cellStyle name="Normal 22 2 14" xfId="8682"/>
    <cellStyle name="Normal 22 2 15" xfId="8683"/>
    <cellStyle name="Normal 22 2 16" xfId="8684"/>
    <cellStyle name="Normal 22 2 17" xfId="8685"/>
    <cellStyle name="Normal 22 2 18" xfId="8686"/>
    <cellStyle name="Normal 22 2 19" xfId="8687"/>
    <cellStyle name="Normal 22 2 2" xfId="8688"/>
    <cellStyle name="Normal 22 2 2 10" xfId="8689"/>
    <cellStyle name="Normal 22 2 2 11" xfId="8690"/>
    <cellStyle name="Normal 22 2 2 12" xfId="8691"/>
    <cellStyle name="Normal 22 2 2 13" xfId="8692"/>
    <cellStyle name="Normal 22 2 2 14" xfId="8693"/>
    <cellStyle name="Normal 22 2 2 15" xfId="8694"/>
    <cellStyle name="Normal 22 2 2 16" xfId="8695"/>
    <cellStyle name="Normal 22 2 2 17" xfId="8696"/>
    <cellStyle name="Normal 22 2 2 18" xfId="8697"/>
    <cellStyle name="Normal 22 2 2 19" xfId="8698"/>
    <cellStyle name="Normal 22 2 2 2" xfId="8699"/>
    <cellStyle name="Normal 22 2 2 3" xfId="8700"/>
    <cellStyle name="Normal 22 2 2 4" xfId="8701"/>
    <cellStyle name="Normal 22 2 2 5" xfId="8702"/>
    <cellStyle name="Normal 22 2 2 6" xfId="8703"/>
    <cellStyle name="Normal 22 2 2 7" xfId="8704"/>
    <cellStyle name="Normal 22 2 2 8" xfId="8705"/>
    <cellStyle name="Normal 22 2 2 9" xfId="8706"/>
    <cellStyle name="Normal 22 2 20" xfId="8707"/>
    <cellStyle name="Normal 22 2 3" xfId="8708"/>
    <cellStyle name="Normal 22 2 4" xfId="8709"/>
    <cellStyle name="Normal 22 2 5" xfId="8710"/>
    <cellStyle name="Normal 22 2 6" xfId="8711"/>
    <cellStyle name="Normal 22 2 7" xfId="8712"/>
    <cellStyle name="Normal 22 2 8" xfId="8713"/>
    <cellStyle name="Normal 22 2 9" xfId="8714"/>
    <cellStyle name="Normal 22 20" xfId="8715"/>
    <cellStyle name="Normal 22 21" xfId="8716"/>
    <cellStyle name="Normal 22 3" xfId="8717"/>
    <cellStyle name="Normal 22 3 10" xfId="8718"/>
    <cellStyle name="Normal 22 3 11" xfId="8719"/>
    <cellStyle name="Normal 22 3 12" xfId="8720"/>
    <cellStyle name="Normal 22 3 13" xfId="8721"/>
    <cellStyle name="Normal 22 3 14" xfId="8722"/>
    <cellStyle name="Normal 22 3 15" xfId="8723"/>
    <cellStyle name="Normal 22 3 16" xfId="8724"/>
    <cellStyle name="Normal 22 3 17" xfId="8725"/>
    <cellStyle name="Normal 22 3 18" xfId="8726"/>
    <cellStyle name="Normal 22 3 19" xfId="8727"/>
    <cellStyle name="Normal 22 3 2" xfId="8728"/>
    <cellStyle name="Normal 22 3 3" xfId="8729"/>
    <cellStyle name="Normal 22 3 4" xfId="8730"/>
    <cellStyle name="Normal 22 3 5" xfId="8731"/>
    <cellStyle name="Normal 22 3 6" xfId="8732"/>
    <cellStyle name="Normal 22 3 7" xfId="8733"/>
    <cellStyle name="Normal 22 3 8" xfId="8734"/>
    <cellStyle name="Normal 22 3 9" xfId="8735"/>
    <cellStyle name="Normal 22 4" xfId="8736"/>
    <cellStyle name="Normal 22 5" xfId="8737"/>
    <cellStyle name="Normal 22 6" xfId="8738"/>
    <cellStyle name="Normal 22 7" xfId="8739"/>
    <cellStyle name="Normal 22 8" xfId="8740"/>
    <cellStyle name="Normal 22 9" xfId="8741"/>
    <cellStyle name="Normal 23" xfId="3025"/>
    <cellStyle name="Normal 23 10" xfId="8742"/>
    <cellStyle name="Normal 23 11" xfId="8743"/>
    <cellStyle name="Normal 23 12" xfId="8744"/>
    <cellStyle name="Normal 23 13" xfId="8745"/>
    <cellStyle name="Normal 23 14" xfId="8746"/>
    <cellStyle name="Normal 23 15" xfId="8747"/>
    <cellStyle name="Normal 23 16" xfId="8748"/>
    <cellStyle name="Normal 23 17" xfId="8749"/>
    <cellStyle name="Normal 23 18" xfId="8750"/>
    <cellStyle name="Normal 23 19" xfId="8751"/>
    <cellStyle name="Normal 23 2" xfId="8752"/>
    <cellStyle name="Normal 23 20" xfId="8753"/>
    <cellStyle name="Normal 23 3" xfId="8754"/>
    <cellStyle name="Normal 23 4" xfId="8755"/>
    <cellStyle name="Normal 23 5" xfId="8756"/>
    <cellStyle name="Normal 23 6" xfId="8757"/>
    <cellStyle name="Normal 23 7" xfId="8758"/>
    <cellStyle name="Normal 23 8" xfId="8759"/>
    <cellStyle name="Normal 23 9" xfId="8760"/>
    <cellStyle name="Normal 24" xfId="33"/>
    <cellStyle name="Normal 25" xfId="34"/>
    <cellStyle name="Normal 26" xfId="16918"/>
    <cellStyle name="Normal 3" xfId="18"/>
    <cellStyle name="Normal 3 2" xfId="3026"/>
    <cellStyle name="Normal 3 2 2" xfId="8761"/>
    <cellStyle name="Normal 3 3" xfId="3027"/>
    <cellStyle name="Normal 3 3 2" xfId="8762"/>
    <cellStyle name="Normal 3 4" xfId="3028"/>
    <cellStyle name="Normal 3 4 2" xfId="16815"/>
    <cellStyle name="Normal 3 5" xfId="16816"/>
    <cellStyle name="Normal 3 6" xfId="16817"/>
    <cellStyle name="Normal 33" xfId="3029"/>
    <cellStyle name="Normal 35" xfId="3030"/>
    <cellStyle name="Normal 37" xfId="3031"/>
    <cellStyle name="Normal 4" xfId="19"/>
    <cellStyle name="Normal 4 10" xfId="3032"/>
    <cellStyle name="Normal 4 10 2" xfId="8763"/>
    <cellStyle name="Normal 4 11" xfId="3033"/>
    <cellStyle name="Normal 4 11 2" xfId="8764"/>
    <cellStyle name="Normal 4 12" xfId="3034"/>
    <cellStyle name="Normal 4 12 2" xfId="8765"/>
    <cellStyle name="Normal 4 13" xfId="3035"/>
    <cellStyle name="Normal 4 13 2" xfId="8766"/>
    <cellStyle name="Normal 4 14" xfId="3036"/>
    <cellStyle name="Normal 4 14 2" xfId="8767"/>
    <cellStyle name="Normal 4 15" xfId="3037"/>
    <cellStyle name="Normal 4 15 2" xfId="8768"/>
    <cellStyle name="Normal 4 16" xfId="8769"/>
    <cellStyle name="Normal 4 2" xfId="20"/>
    <cellStyle name="Normal 4 2 2" xfId="21"/>
    <cellStyle name="Normal 4 2 2 10" xfId="8770"/>
    <cellStyle name="Normal 4 2 2 11" xfId="8771"/>
    <cellStyle name="Normal 4 2 2 12" xfId="8772"/>
    <cellStyle name="Normal 4 2 2 13" xfId="8773"/>
    <cellStyle name="Normal 4 2 2 14" xfId="8774"/>
    <cellStyle name="Normal 4 2 2 15" xfId="8775"/>
    <cellStyle name="Normal 4 2 2 16" xfId="8776"/>
    <cellStyle name="Normal 4 2 2 17" xfId="8777"/>
    <cellStyle name="Normal 4 2 2 18" xfId="8778"/>
    <cellStyle name="Normal 4 2 2 19" xfId="8779"/>
    <cellStyle name="Normal 4 2 2 2" xfId="8780"/>
    <cellStyle name="Normal 4 2 2 2 10" xfId="8781"/>
    <cellStyle name="Normal 4 2 2 2 11" xfId="8782"/>
    <cellStyle name="Normal 4 2 2 2 12" xfId="8783"/>
    <cellStyle name="Normal 4 2 2 2 13" xfId="8784"/>
    <cellStyle name="Normal 4 2 2 2 14" xfId="8785"/>
    <cellStyle name="Normal 4 2 2 2 15" xfId="8786"/>
    <cellStyle name="Normal 4 2 2 2 16" xfId="8787"/>
    <cellStyle name="Normal 4 2 2 2 17" xfId="8788"/>
    <cellStyle name="Normal 4 2 2 2 18" xfId="8789"/>
    <cellStyle name="Normal 4 2 2 2 19" xfId="8790"/>
    <cellStyle name="Normal 4 2 2 2 2" xfId="8791"/>
    <cellStyle name="Normal 4 2 2 2 2 10" xfId="8792"/>
    <cellStyle name="Normal 4 2 2 2 2 11" xfId="8793"/>
    <cellStyle name="Normal 4 2 2 2 2 12" xfId="8794"/>
    <cellStyle name="Normal 4 2 2 2 2 13" xfId="8795"/>
    <cellStyle name="Normal 4 2 2 2 2 14" xfId="8796"/>
    <cellStyle name="Normal 4 2 2 2 2 15" xfId="8797"/>
    <cellStyle name="Normal 4 2 2 2 2 16" xfId="8798"/>
    <cellStyle name="Normal 4 2 2 2 2 17" xfId="8799"/>
    <cellStyle name="Normal 4 2 2 2 2 18" xfId="8800"/>
    <cellStyle name="Normal 4 2 2 2 2 19" xfId="8801"/>
    <cellStyle name="Normal 4 2 2 2 2 2" xfId="8802"/>
    <cellStyle name="Normal 4 2 2 2 2 3" xfId="8803"/>
    <cellStyle name="Normal 4 2 2 2 2 4" xfId="8804"/>
    <cellStyle name="Normal 4 2 2 2 2 5" xfId="8805"/>
    <cellStyle name="Normal 4 2 2 2 2 6" xfId="8806"/>
    <cellStyle name="Normal 4 2 2 2 2 7" xfId="8807"/>
    <cellStyle name="Normal 4 2 2 2 2 8" xfId="8808"/>
    <cellStyle name="Normal 4 2 2 2 2 9" xfId="8809"/>
    <cellStyle name="Normal 4 2 2 2 20" xfId="8810"/>
    <cellStyle name="Normal 4 2 2 2 3" xfId="8811"/>
    <cellStyle name="Normal 4 2 2 2 4" xfId="8812"/>
    <cellStyle name="Normal 4 2 2 2 5" xfId="8813"/>
    <cellStyle name="Normal 4 2 2 2 6" xfId="8814"/>
    <cellStyle name="Normal 4 2 2 2 7" xfId="8815"/>
    <cellStyle name="Normal 4 2 2 2 8" xfId="8816"/>
    <cellStyle name="Normal 4 2 2 2 9" xfId="8817"/>
    <cellStyle name="Normal 4 2 2 20" xfId="8818"/>
    <cellStyle name="Normal 4 2 2 21" xfId="8819"/>
    <cellStyle name="Normal 4 2 2 3" xfId="8820"/>
    <cellStyle name="Normal 4 2 2 3 10" xfId="8821"/>
    <cellStyle name="Normal 4 2 2 3 11" xfId="8822"/>
    <cellStyle name="Normal 4 2 2 3 12" xfId="8823"/>
    <cellStyle name="Normal 4 2 2 3 13" xfId="8824"/>
    <cellStyle name="Normal 4 2 2 3 14" xfId="8825"/>
    <cellStyle name="Normal 4 2 2 3 15" xfId="8826"/>
    <cellStyle name="Normal 4 2 2 3 16" xfId="8827"/>
    <cellStyle name="Normal 4 2 2 3 17" xfId="8828"/>
    <cellStyle name="Normal 4 2 2 3 18" xfId="8829"/>
    <cellStyle name="Normal 4 2 2 3 19" xfId="8830"/>
    <cellStyle name="Normal 4 2 2 3 2" xfId="8831"/>
    <cellStyle name="Normal 4 2 2 3 3" xfId="8832"/>
    <cellStyle name="Normal 4 2 2 3 4" xfId="8833"/>
    <cellStyle name="Normal 4 2 2 3 5" xfId="8834"/>
    <cellStyle name="Normal 4 2 2 3 6" xfId="8835"/>
    <cellStyle name="Normal 4 2 2 3 7" xfId="8836"/>
    <cellStyle name="Normal 4 2 2 3 8" xfId="8837"/>
    <cellStyle name="Normal 4 2 2 3 9" xfId="8838"/>
    <cellStyle name="Normal 4 2 2 4" xfId="8839"/>
    <cellStyle name="Normal 4 2 2 5" xfId="8840"/>
    <cellStyle name="Normal 4 2 2 6" xfId="8841"/>
    <cellStyle name="Normal 4 2 2 7" xfId="8842"/>
    <cellStyle name="Normal 4 2 2 8" xfId="8843"/>
    <cellStyle name="Normal 4 2 2 9" xfId="8844"/>
    <cellStyle name="Normal 4 2 3" xfId="3038"/>
    <cellStyle name="Normal 4 2 3 10" xfId="8845"/>
    <cellStyle name="Normal 4 2 3 11" xfId="8846"/>
    <cellStyle name="Normal 4 2 3 12" xfId="8847"/>
    <cellStyle name="Normal 4 2 3 13" xfId="8848"/>
    <cellStyle name="Normal 4 2 3 14" xfId="8849"/>
    <cellStyle name="Normal 4 2 3 15" xfId="8850"/>
    <cellStyle name="Normal 4 2 3 16" xfId="8851"/>
    <cellStyle name="Normal 4 2 3 17" xfId="8852"/>
    <cellStyle name="Normal 4 2 3 18" xfId="8853"/>
    <cellStyle name="Normal 4 2 3 19" xfId="8854"/>
    <cellStyle name="Normal 4 2 3 2" xfId="8855"/>
    <cellStyle name="Normal 4 2 3 2 10" xfId="8856"/>
    <cellStyle name="Normal 4 2 3 2 11" xfId="8857"/>
    <cellStyle name="Normal 4 2 3 2 12" xfId="8858"/>
    <cellStyle name="Normal 4 2 3 2 13" xfId="8859"/>
    <cellStyle name="Normal 4 2 3 2 14" xfId="8860"/>
    <cellStyle name="Normal 4 2 3 2 15" xfId="8861"/>
    <cellStyle name="Normal 4 2 3 2 16" xfId="8862"/>
    <cellStyle name="Normal 4 2 3 2 17" xfId="8863"/>
    <cellStyle name="Normal 4 2 3 2 18" xfId="8864"/>
    <cellStyle name="Normal 4 2 3 2 19" xfId="8865"/>
    <cellStyle name="Normal 4 2 3 2 2" xfId="8866"/>
    <cellStyle name="Normal 4 2 3 2 2 10" xfId="8867"/>
    <cellStyle name="Normal 4 2 3 2 2 11" xfId="8868"/>
    <cellStyle name="Normal 4 2 3 2 2 12" xfId="8869"/>
    <cellStyle name="Normal 4 2 3 2 2 13" xfId="8870"/>
    <cellStyle name="Normal 4 2 3 2 2 14" xfId="8871"/>
    <cellStyle name="Normal 4 2 3 2 2 15" xfId="8872"/>
    <cellStyle name="Normal 4 2 3 2 2 16" xfId="8873"/>
    <cellStyle name="Normal 4 2 3 2 2 17" xfId="8874"/>
    <cellStyle name="Normal 4 2 3 2 2 18" xfId="8875"/>
    <cellStyle name="Normal 4 2 3 2 2 19" xfId="8876"/>
    <cellStyle name="Normal 4 2 3 2 2 2" xfId="8877"/>
    <cellStyle name="Normal 4 2 3 2 2 3" xfId="8878"/>
    <cellStyle name="Normal 4 2 3 2 2 4" xfId="8879"/>
    <cellStyle name="Normal 4 2 3 2 2 5" xfId="8880"/>
    <cellStyle name="Normal 4 2 3 2 2 6" xfId="8881"/>
    <cellStyle name="Normal 4 2 3 2 2 7" xfId="8882"/>
    <cellStyle name="Normal 4 2 3 2 2 8" xfId="8883"/>
    <cellStyle name="Normal 4 2 3 2 2 9" xfId="8884"/>
    <cellStyle name="Normal 4 2 3 2 20" xfId="8885"/>
    <cellStyle name="Normal 4 2 3 2 3" xfId="8886"/>
    <cellStyle name="Normal 4 2 3 2 4" xfId="8887"/>
    <cellStyle name="Normal 4 2 3 2 5" xfId="8888"/>
    <cellStyle name="Normal 4 2 3 2 6" xfId="8889"/>
    <cellStyle name="Normal 4 2 3 2 7" xfId="8890"/>
    <cellStyle name="Normal 4 2 3 2 8" xfId="8891"/>
    <cellStyle name="Normal 4 2 3 2 9" xfId="8892"/>
    <cellStyle name="Normal 4 2 3 20" xfId="8893"/>
    <cellStyle name="Normal 4 2 3 21" xfId="8894"/>
    <cellStyle name="Normal 4 2 3 3" xfId="8895"/>
    <cellStyle name="Normal 4 2 3 3 10" xfId="8896"/>
    <cellStyle name="Normal 4 2 3 3 11" xfId="8897"/>
    <cellStyle name="Normal 4 2 3 3 12" xfId="8898"/>
    <cellStyle name="Normal 4 2 3 3 13" xfId="8899"/>
    <cellStyle name="Normal 4 2 3 3 14" xfId="8900"/>
    <cellStyle name="Normal 4 2 3 3 15" xfId="8901"/>
    <cellStyle name="Normal 4 2 3 3 16" xfId="8902"/>
    <cellStyle name="Normal 4 2 3 3 17" xfId="8903"/>
    <cellStyle name="Normal 4 2 3 3 18" xfId="8904"/>
    <cellStyle name="Normal 4 2 3 3 19" xfId="8905"/>
    <cellStyle name="Normal 4 2 3 3 2" xfId="8906"/>
    <cellStyle name="Normal 4 2 3 3 3" xfId="8907"/>
    <cellStyle name="Normal 4 2 3 3 4" xfId="8908"/>
    <cellStyle name="Normal 4 2 3 3 5" xfId="8909"/>
    <cellStyle name="Normal 4 2 3 3 6" xfId="8910"/>
    <cellStyle name="Normal 4 2 3 3 7" xfId="8911"/>
    <cellStyle name="Normal 4 2 3 3 8" xfId="8912"/>
    <cellStyle name="Normal 4 2 3 3 9" xfId="8913"/>
    <cellStyle name="Normal 4 2 3 4" xfId="8914"/>
    <cellStyle name="Normal 4 2 3 5" xfId="8915"/>
    <cellStyle name="Normal 4 2 3 6" xfId="8916"/>
    <cellStyle name="Normal 4 2 3 7" xfId="8917"/>
    <cellStyle name="Normal 4 2 3 8" xfId="8918"/>
    <cellStyle name="Normal 4 2 3 9" xfId="8919"/>
    <cellStyle name="Normal 4 2 4" xfId="8920"/>
    <cellStyle name="Normal 4 3" xfId="3039"/>
    <cellStyle name="Normal 4 3 2" xfId="8921"/>
    <cellStyle name="Normal 4 4" xfId="3040"/>
    <cellStyle name="Normal 4 4 2" xfId="8922"/>
    <cellStyle name="Normal 4 5" xfId="3041"/>
    <cellStyle name="Normal 4 5 2" xfId="8923"/>
    <cellStyle name="Normal 4 6" xfId="3042"/>
    <cellStyle name="Normal 4 6 2" xfId="8924"/>
    <cellStyle name="Normal 4 7" xfId="3043"/>
    <cellStyle name="Normal 4 7 2" xfId="8925"/>
    <cellStyle name="Normal 4 8" xfId="3044"/>
    <cellStyle name="Normal 4 8 2" xfId="8926"/>
    <cellStyle name="Normal 4 9" xfId="3045"/>
    <cellStyle name="Normal 4 9 2" xfId="8927"/>
    <cellStyle name="Normal 45" xfId="3046"/>
    <cellStyle name="Normal 47" xfId="3047"/>
    <cellStyle name="Normal 49" xfId="3048"/>
    <cellStyle name="Normal 5" xfId="2"/>
    <cellStyle name="Normal 5 10" xfId="3049"/>
    <cellStyle name="Normal 5 10 2" xfId="8928"/>
    <cellStyle name="Normal 5 11" xfId="3050"/>
    <cellStyle name="Normal 5 11 2" xfId="8929"/>
    <cellStyle name="Normal 5 12" xfId="3051"/>
    <cellStyle name="Normal 5 12 2" xfId="8930"/>
    <cellStyle name="Normal 5 13" xfId="3052"/>
    <cellStyle name="Normal 5 13 2" xfId="8931"/>
    <cellStyle name="Normal 5 14" xfId="3053"/>
    <cellStyle name="Normal 5 15" xfId="3054"/>
    <cellStyle name="Normal 5 16" xfId="8932"/>
    <cellStyle name="Normal 5 2" xfId="3055"/>
    <cellStyle name="Normal 5 2 2" xfId="8933"/>
    <cellStyle name="Normal 5 3" xfId="3056"/>
    <cellStyle name="Normal 5 3 2" xfId="8934"/>
    <cellStyle name="Normal 5 4" xfId="3057"/>
    <cellStyle name="Normal 5 4 2" xfId="8935"/>
    <cellStyle name="Normal 5 5" xfId="3058"/>
    <cellStyle name="Normal 5 5 2" xfId="8936"/>
    <cellStyle name="Normal 5 6" xfId="3059"/>
    <cellStyle name="Normal 5 6 2" xfId="8937"/>
    <cellStyle name="Normal 5 7" xfId="3060"/>
    <cellStyle name="Normal 5 7 2" xfId="8938"/>
    <cellStyle name="Normal 5 8" xfId="3061"/>
    <cellStyle name="Normal 5 8 2" xfId="8939"/>
    <cellStyle name="Normal 5 9" xfId="3062"/>
    <cellStyle name="Normal 5 9 2" xfId="8940"/>
    <cellStyle name="Normal 57" xfId="3063"/>
    <cellStyle name="Normal 6" xfId="22"/>
    <cellStyle name="Normal 6 10" xfId="3064"/>
    <cellStyle name="Normal 6 10 2" xfId="8941"/>
    <cellStyle name="Normal 6 11" xfId="3065"/>
    <cellStyle name="Normal 6 11 2" xfId="8942"/>
    <cellStyle name="Normal 6 12" xfId="3066"/>
    <cellStyle name="Normal 6 12 2" xfId="8943"/>
    <cellStyle name="Normal 6 13" xfId="3067"/>
    <cellStyle name="Normal 6 13 2" xfId="8944"/>
    <cellStyle name="Normal 6 14" xfId="3068"/>
    <cellStyle name="Normal 6 15" xfId="3069"/>
    <cellStyle name="Normal 6 16" xfId="8945"/>
    <cellStyle name="Normal 6 2" xfId="3070"/>
    <cellStyle name="Normal 6 2 2" xfId="8946"/>
    <cellStyle name="Normal 6 3" xfId="3071"/>
    <cellStyle name="Normal 6 3 2" xfId="8947"/>
    <cellStyle name="Normal 6 4" xfId="3072"/>
    <cellStyle name="Normal 6 4 2" xfId="8948"/>
    <cellStyle name="Normal 6 5" xfId="3073"/>
    <cellStyle name="Normal 6 5 2" xfId="8949"/>
    <cellStyle name="Normal 6 6" xfId="3074"/>
    <cellStyle name="Normal 6 6 2" xfId="8950"/>
    <cellStyle name="Normal 6 7" xfId="3075"/>
    <cellStyle name="Normal 6 7 2" xfId="8951"/>
    <cellStyle name="Normal 6 8" xfId="3076"/>
    <cellStyle name="Normal 6 8 2" xfId="8952"/>
    <cellStyle name="Normal 6 9" xfId="3077"/>
    <cellStyle name="Normal 6 9 2" xfId="8953"/>
    <cellStyle name="Normal 63" xfId="3078"/>
    <cellStyle name="Normal 65" xfId="3079"/>
    <cellStyle name="Normal 67" xfId="3080"/>
    <cellStyle name="Normal 69" xfId="3081"/>
    <cellStyle name="Normal 7" xfId="23"/>
    <cellStyle name="Normal 7 10" xfId="3082"/>
    <cellStyle name="Normal 7 10 2" xfId="8954"/>
    <cellStyle name="Normal 7 11" xfId="3083"/>
    <cellStyle name="Normal 7 11 2" xfId="8955"/>
    <cellStyle name="Normal 7 12" xfId="3084"/>
    <cellStyle name="Normal 7 12 2" xfId="8956"/>
    <cellStyle name="Normal 7 13" xfId="3085"/>
    <cellStyle name="Normal 7 13 2" xfId="8957"/>
    <cellStyle name="Normal 7 14" xfId="8958"/>
    <cellStyle name="Normal 7 2" xfId="3086"/>
    <cellStyle name="Normal 7 2 2" xfId="8959"/>
    <cellStyle name="Normal 7 3" xfId="3087"/>
    <cellStyle name="Normal 7 3 2" xfId="8960"/>
    <cellStyle name="Normal 7 4" xfId="3088"/>
    <cellStyle name="Normal 7 4 2" xfId="8961"/>
    <cellStyle name="Normal 7 5" xfId="3089"/>
    <cellStyle name="Normal 7 5 2" xfId="8962"/>
    <cellStyle name="Normal 7 6" xfId="3090"/>
    <cellStyle name="Normal 7 6 2" xfId="8963"/>
    <cellStyle name="Normal 7 7" xfId="3091"/>
    <cellStyle name="Normal 7 7 2" xfId="8964"/>
    <cellStyle name="Normal 7 8" xfId="3092"/>
    <cellStyle name="Normal 7 8 2" xfId="8965"/>
    <cellStyle name="Normal 7 9" xfId="3093"/>
    <cellStyle name="Normal 7 9 2" xfId="8966"/>
    <cellStyle name="Normal 71" xfId="3094"/>
    <cellStyle name="Normal 72" xfId="3095"/>
    <cellStyle name="Normal 8" xfId="24"/>
    <cellStyle name="Normal 8 10" xfId="3096"/>
    <cellStyle name="Normal 8 10 2" xfId="8967"/>
    <cellStyle name="Normal 8 11" xfId="3097"/>
    <cellStyle name="Normal 8 11 2" xfId="8968"/>
    <cellStyle name="Normal 8 12" xfId="3098"/>
    <cellStyle name="Normal 8 12 2" xfId="8969"/>
    <cellStyle name="Normal 8 13" xfId="3099"/>
    <cellStyle name="Normal 8 13 2" xfId="8970"/>
    <cellStyle name="Normal 8 14" xfId="8971"/>
    <cellStyle name="Normal 8 2" xfId="3100"/>
    <cellStyle name="Normal 8 2 2" xfId="8972"/>
    <cellStyle name="Normal 8 3" xfId="3101"/>
    <cellStyle name="Normal 8 3 2" xfId="8973"/>
    <cellStyle name="Normal 8 4" xfId="3102"/>
    <cellStyle name="Normal 8 4 2" xfId="8974"/>
    <cellStyle name="Normal 8 5" xfId="3103"/>
    <cellStyle name="Normal 8 5 2" xfId="8975"/>
    <cellStyle name="Normal 8 6" xfId="3104"/>
    <cellStyle name="Normal 8 6 2" xfId="8976"/>
    <cellStyle name="Normal 8 7" xfId="3105"/>
    <cellStyle name="Normal 8 7 2" xfId="8977"/>
    <cellStyle name="Normal 8 8" xfId="3106"/>
    <cellStyle name="Normal 8 8 2" xfId="8978"/>
    <cellStyle name="Normal 8 9" xfId="3107"/>
    <cellStyle name="Normal 8 9 2" xfId="8979"/>
    <cellStyle name="Normal 9" xfId="3108"/>
    <cellStyle name="Normal 9 2" xfId="3109"/>
    <cellStyle name="Note 10" xfId="3110"/>
    <cellStyle name="Note 10 10" xfId="8980"/>
    <cellStyle name="Note 10 11" xfId="8981"/>
    <cellStyle name="Note 10 12" xfId="8982"/>
    <cellStyle name="Note 10 13" xfId="8983"/>
    <cellStyle name="Note 10 14" xfId="8984"/>
    <cellStyle name="Note 10 15" xfId="8985"/>
    <cellStyle name="Note 10 16" xfId="8986"/>
    <cellStyle name="Note 10 17" xfId="8987"/>
    <cellStyle name="Note 10 18" xfId="8988"/>
    <cellStyle name="Note 10 19" xfId="8989"/>
    <cellStyle name="Note 10 2" xfId="8990"/>
    <cellStyle name="Note 10 20" xfId="8991"/>
    <cellStyle name="Note 10 21" xfId="8992"/>
    <cellStyle name="Note 10 3" xfId="8993"/>
    <cellStyle name="Note 10 4" xfId="8994"/>
    <cellStyle name="Note 10 5" xfId="8995"/>
    <cellStyle name="Note 10 6" xfId="8996"/>
    <cellStyle name="Note 10 7" xfId="8997"/>
    <cellStyle name="Note 10 8" xfId="8998"/>
    <cellStyle name="Note 10 9" xfId="8999"/>
    <cellStyle name="Note 100" xfId="3111"/>
    <cellStyle name="Note 100 10" xfId="9000"/>
    <cellStyle name="Note 100 11" xfId="9001"/>
    <cellStyle name="Note 100 12" xfId="9002"/>
    <cellStyle name="Note 100 13" xfId="9003"/>
    <cellStyle name="Note 100 14" xfId="9004"/>
    <cellStyle name="Note 100 15" xfId="9005"/>
    <cellStyle name="Note 100 16" xfId="9006"/>
    <cellStyle name="Note 100 17" xfId="9007"/>
    <cellStyle name="Note 100 18" xfId="9008"/>
    <cellStyle name="Note 100 19" xfId="9009"/>
    <cellStyle name="Note 100 2" xfId="9010"/>
    <cellStyle name="Note 100 20" xfId="9011"/>
    <cellStyle name="Note 100 21" xfId="9012"/>
    <cellStyle name="Note 100 3" xfId="9013"/>
    <cellStyle name="Note 100 4" xfId="9014"/>
    <cellStyle name="Note 100 5" xfId="9015"/>
    <cellStyle name="Note 100 6" xfId="9016"/>
    <cellStyle name="Note 100 7" xfId="9017"/>
    <cellStyle name="Note 100 8" xfId="9018"/>
    <cellStyle name="Note 100 9" xfId="9019"/>
    <cellStyle name="Note 101" xfId="3112"/>
    <cellStyle name="Note 101 10" xfId="9020"/>
    <cellStyle name="Note 101 11" xfId="9021"/>
    <cellStyle name="Note 101 12" xfId="9022"/>
    <cellStyle name="Note 101 13" xfId="9023"/>
    <cellStyle name="Note 101 14" xfId="9024"/>
    <cellStyle name="Note 101 15" xfId="9025"/>
    <cellStyle name="Note 101 16" xfId="9026"/>
    <cellStyle name="Note 101 17" xfId="9027"/>
    <cellStyle name="Note 101 18" xfId="9028"/>
    <cellStyle name="Note 101 19" xfId="9029"/>
    <cellStyle name="Note 101 2" xfId="9030"/>
    <cellStyle name="Note 101 20" xfId="9031"/>
    <cellStyle name="Note 101 21" xfId="9032"/>
    <cellStyle name="Note 101 3" xfId="9033"/>
    <cellStyle name="Note 101 4" xfId="9034"/>
    <cellStyle name="Note 101 5" xfId="9035"/>
    <cellStyle name="Note 101 6" xfId="9036"/>
    <cellStyle name="Note 101 7" xfId="9037"/>
    <cellStyle name="Note 101 8" xfId="9038"/>
    <cellStyle name="Note 101 9" xfId="9039"/>
    <cellStyle name="Note 102" xfId="9040"/>
    <cellStyle name="Note 103" xfId="9041"/>
    <cellStyle name="Note 104" xfId="9042"/>
    <cellStyle name="Note 105" xfId="9043"/>
    <cellStyle name="Note 106" xfId="9044"/>
    <cellStyle name="Note 107" xfId="9045"/>
    <cellStyle name="Note 108" xfId="9046"/>
    <cellStyle name="Note 109" xfId="9047"/>
    <cellStyle name="Note 11" xfId="3113"/>
    <cellStyle name="Note 11 10" xfId="9048"/>
    <cellStyle name="Note 11 11" xfId="9049"/>
    <cellStyle name="Note 11 12" xfId="9050"/>
    <cellStyle name="Note 11 13" xfId="9051"/>
    <cellStyle name="Note 11 14" xfId="9052"/>
    <cellStyle name="Note 11 15" xfId="9053"/>
    <cellStyle name="Note 11 16" xfId="9054"/>
    <cellStyle name="Note 11 17" xfId="9055"/>
    <cellStyle name="Note 11 18" xfId="9056"/>
    <cellStyle name="Note 11 19" xfId="9057"/>
    <cellStyle name="Note 11 2" xfId="9058"/>
    <cellStyle name="Note 11 20" xfId="9059"/>
    <cellStyle name="Note 11 21" xfId="9060"/>
    <cellStyle name="Note 11 3" xfId="9061"/>
    <cellStyle name="Note 11 4" xfId="9062"/>
    <cellStyle name="Note 11 5" xfId="9063"/>
    <cellStyle name="Note 11 6" xfId="9064"/>
    <cellStyle name="Note 11 7" xfId="9065"/>
    <cellStyle name="Note 11 8" xfId="9066"/>
    <cellStyle name="Note 11 9" xfId="9067"/>
    <cellStyle name="Note 110" xfId="9068"/>
    <cellStyle name="Note 111" xfId="9069"/>
    <cellStyle name="Note 112" xfId="9070"/>
    <cellStyle name="Note 113" xfId="9071"/>
    <cellStyle name="Note 114" xfId="9072"/>
    <cellStyle name="Note 115" xfId="9073"/>
    <cellStyle name="Note 116" xfId="9074"/>
    <cellStyle name="Note 117" xfId="9075"/>
    <cellStyle name="Note 118" xfId="9076"/>
    <cellStyle name="Note 119" xfId="9077"/>
    <cellStyle name="Note 12" xfId="3114"/>
    <cellStyle name="Note 12 10" xfId="9078"/>
    <cellStyle name="Note 12 11" xfId="9079"/>
    <cellStyle name="Note 12 12" xfId="9080"/>
    <cellStyle name="Note 12 13" xfId="9081"/>
    <cellStyle name="Note 12 14" xfId="9082"/>
    <cellStyle name="Note 12 15" xfId="9083"/>
    <cellStyle name="Note 12 16" xfId="9084"/>
    <cellStyle name="Note 12 17" xfId="9085"/>
    <cellStyle name="Note 12 18" xfId="9086"/>
    <cellStyle name="Note 12 19" xfId="9087"/>
    <cellStyle name="Note 12 2" xfId="9088"/>
    <cellStyle name="Note 12 20" xfId="9089"/>
    <cellStyle name="Note 12 21" xfId="9090"/>
    <cellStyle name="Note 12 3" xfId="9091"/>
    <cellStyle name="Note 12 4" xfId="9092"/>
    <cellStyle name="Note 12 5" xfId="9093"/>
    <cellStyle name="Note 12 6" xfId="9094"/>
    <cellStyle name="Note 12 7" xfId="9095"/>
    <cellStyle name="Note 12 8" xfId="9096"/>
    <cellStyle name="Note 12 9" xfId="9097"/>
    <cellStyle name="Note 120" xfId="9098"/>
    <cellStyle name="Note 121" xfId="9099"/>
    <cellStyle name="Note 13" xfId="3115"/>
    <cellStyle name="Note 13 10" xfId="9100"/>
    <cellStyle name="Note 13 11" xfId="9101"/>
    <cellStyle name="Note 13 12" xfId="9102"/>
    <cellStyle name="Note 13 13" xfId="9103"/>
    <cellStyle name="Note 13 14" xfId="9104"/>
    <cellStyle name="Note 13 15" xfId="9105"/>
    <cellStyle name="Note 13 16" xfId="9106"/>
    <cellStyle name="Note 13 17" xfId="9107"/>
    <cellStyle name="Note 13 18" xfId="9108"/>
    <cellStyle name="Note 13 19" xfId="9109"/>
    <cellStyle name="Note 13 2" xfId="9110"/>
    <cellStyle name="Note 13 20" xfId="9111"/>
    <cellStyle name="Note 13 21" xfId="9112"/>
    <cellStyle name="Note 13 3" xfId="9113"/>
    <cellStyle name="Note 13 4" xfId="9114"/>
    <cellStyle name="Note 13 5" xfId="9115"/>
    <cellStyle name="Note 13 6" xfId="9116"/>
    <cellStyle name="Note 13 7" xfId="9117"/>
    <cellStyle name="Note 13 8" xfId="9118"/>
    <cellStyle name="Note 13 9" xfId="9119"/>
    <cellStyle name="Note 14" xfId="3116"/>
    <cellStyle name="Note 14 10" xfId="9120"/>
    <cellStyle name="Note 14 11" xfId="9121"/>
    <cellStyle name="Note 14 12" xfId="9122"/>
    <cellStyle name="Note 14 13" xfId="9123"/>
    <cellStyle name="Note 14 14" xfId="9124"/>
    <cellStyle name="Note 14 15" xfId="9125"/>
    <cellStyle name="Note 14 16" xfId="9126"/>
    <cellStyle name="Note 14 17" xfId="9127"/>
    <cellStyle name="Note 14 18" xfId="9128"/>
    <cellStyle name="Note 14 19" xfId="9129"/>
    <cellStyle name="Note 14 2" xfId="9130"/>
    <cellStyle name="Note 14 20" xfId="9131"/>
    <cellStyle name="Note 14 21" xfId="9132"/>
    <cellStyle name="Note 14 3" xfId="9133"/>
    <cellStyle name="Note 14 4" xfId="9134"/>
    <cellStyle name="Note 14 5" xfId="9135"/>
    <cellStyle name="Note 14 6" xfId="9136"/>
    <cellStyle name="Note 14 7" xfId="9137"/>
    <cellStyle name="Note 14 8" xfId="9138"/>
    <cellStyle name="Note 14 9" xfId="9139"/>
    <cellStyle name="Note 15" xfId="3117"/>
    <cellStyle name="Note 15 10" xfId="9140"/>
    <cellStyle name="Note 15 11" xfId="9141"/>
    <cellStyle name="Note 15 12" xfId="9142"/>
    <cellStyle name="Note 15 13" xfId="9143"/>
    <cellStyle name="Note 15 14" xfId="9144"/>
    <cellStyle name="Note 15 15" xfId="9145"/>
    <cellStyle name="Note 15 16" xfId="9146"/>
    <cellStyle name="Note 15 17" xfId="9147"/>
    <cellStyle name="Note 15 18" xfId="9148"/>
    <cellStyle name="Note 15 19" xfId="9149"/>
    <cellStyle name="Note 15 2" xfId="9150"/>
    <cellStyle name="Note 15 20" xfId="9151"/>
    <cellStyle name="Note 15 21" xfId="9152"/>
    <cellStyle name="Note 15 3" xfId="9153"/>
    <cellStyle name="Note 15 4" xfId="9154"/>
    <cellStyle name="Note 15 5" xfId="9155"/>
    <cellStyle name="Note 15 6" xfId="9156"/>
    <cellStyle name="Note 15 7" xfId="9157"/>
    <cellStyle name="Note 15 8" xfId="9158"/>
    <cellStyle name="Note 15 9" xfId="9159"/>
    <cellStyle name="Note 16" xfId="3118"/>
    <cellStyle name="Note 16 10" xfId="9160"/>
    <cellStyle name="Note 16 11" xfId="9161"/>
    <cellStyle name="Note 16 12" xfId="9162"/>
    <cellStyle name="Note 16 13" xfId="9163"/>
    <cellStyle name="Note 16 14" xfId="9164"/>
    <cellStyle name="Note 16 15" xfId="9165"/>
    <cellStyle name="Note 16 16" xfId="9166"/>
    <cellStyle name="Note 16 17" xfId="9167"/>
    <cellStyle name="Note 16 18" xfId="9168"/>
    <cellStyle name="Note 16 19" xfId="9169"/>
    <cellStyle name="Note 16 2" xfId="9170"/>
    <cellStyle name="Note 16 20" xfId="9171"/>
    <cellStyle name="Note 16 21" xfId="9172"/>
    <cellStyle name="Note 16 3" xfId="9173"/>
    <cellStyle name="Note 16 4" xfId="9174"/>
    <cellStyle name="Note 16 5" xfId="9175"/>
    <cellStyle name="Note 16 6" xfId="9176"/>
    <cellStyle name="Note 16 7" xfId="9177"/>
    <cellStyle name="Note 16 8" xfId="9178"/>
    <cellStyle name="Note 16 9" xfId="9179"/>
    <cellStyle name="Note 17" xfId="3119"/>
    <cellStyle name="Note 17 10" xfId="9180"/>
    <cellStyle name="Note 17 11" xfId="9181"/>
    <cellStyle name="Note 17 12" xfId="9182"/>
    <cellStyle name="Note 17 13" xfId="9183"/>
    <cellStyle name="Note 17 14" xfId="9184"/>
    <cellStyle name="Note 17 15" xfId="9185"/>
    <cellStyle name="Note 17 16" xfId="9186"/>
    <cellStyle name="Note 17 17" xfId="9187"/>
    <cellStyle name="Note 17 18" xfId="9188"/>
    <cellStyle name="Note 17 19" xfId="9189"/>
    <cellStyle name="Note 17 2" xfId="9190"/>
    <cellStyle name="Note 17 20" xfId="9191"/>
    <cellStyle name="Note 17 21" xfId="9192"/>
    <cellStyle name="Note 17 3" xfId="9193"/>
    <cellStyle name="Note 17 4" xfId="9194"/>
    <cellStyle name="Note 17 5" xfId="9195"/>
    <cellStyle name="Note 17 6" xfId="9196"/>
    <cellStyle name="Note 17 7" xfId="9197"/>
    <cellStyle name="Note 17 8" xfId="9198"/>
    <cellStyle name="Note 17 9" xfId="9199"/>
    <cellStyle name="Note 18" xfId="3120"/>
    <cellStyle name="Note 18 10" xfId="9200"/>
    <cellStyle name="Note 18 11" xfId="9201"/>
    <cellStyle name="Note 18 12" xfId="9202"/>
    <cellStyle name="Note 18 13" xfId="9203"/>
    <cellStyle name="Note 18 14" xfId="9204"/>
    <cellStyle name="Note 18 15" xfId="9205"/>
    <cellStyle name="Note 18 16" xfId="9206"/>
    <cellStyle name="Note 18 17" xfId="9207"/>
    <cellStyle name="Note 18 18" xfId="9208"/>
    <cellStyle name="Note 18 19" xfId="9209"/>
    <cellStyle name="Note 18 2" xfId="9210"/>
    <cellStyle name="Note 18 20" xfId="9211"/>
    <cellStyle name="Note 18 21" xfId="9212"/>
    <cellStyle name="Note 18 3" xfId="9213"/>
    <cellStyle name="Note 18 4" xfId="9214"/>
    <cellStyle name="Note 18 5" xfId="9215"/>
    <cellStyle name="Note 18 6" xfId="9216"/>
    <cellStyle name="Note 18 7" xfId="9217"/>
    <cellStyle name="Note 18 8" xfId="9218"/>
    <cellStyle name="Note 18 9" xfId="9219"/>
    <cellStyle name="Note 19" xfId="3121"/>
    <cellStyle name="Note 19 10" xfId="9220"/>
    <cellStyle name="Note 19 11" xfId="9221"/>
    <cellStyle name="Note 19 12" xfId="9222"/>
    <cellStyle name="Note 19 13" xfId="9223"/>
    <cellStyle name="Note 19 14" xfId="9224"/>
    <cellStyle name="Note 19 15" xfId="9225"/>
    <cellStyle name="Note 19 16" xfId="9226"/>
    <cellStyle name="Note 19 17" xfId="9227"/>
    <cellStyle name="Note 19 18" xfId="9228"/>
    <cellStyle name="Note 19 19" xfId="9229"/>
    <cellStyle name="Note 19 2" xfId="9230"/>
    <cellStyle name="Note 19 20" xfId="9231"/>
    <cellStyle name="Note 19 21" xfId="9232"/>
    <cellStyle name="Note 19 3" xfId="9233"/>
    <cellStyle name="Note 19 4" xfId="9234"/>
    <cellStyle name="Note 19 5" xfId="9235"/>
    <cellStyle name="Note 19 6" xfId="9236"/>
    <cellStyle name="Note 19 7" xfId="9237"/>
    <cellStyle name="Note 19 8" xfId="9238"/>
    <cellStyle name="Note 19 9" xfId="9239"/>
    <cellStyle name="Note 2" xfId="3122"/>
    <cellStyle name="Note 2 10" xfId="9240"/>
    <cellStyle name="Note 2 11" xfId="9241"/>
    <cellStyle name="Note 2 12" xfId="9242"/>
    <cellStyle name="Note 2 13" xfId="9243"/>
    <cellStyle name="Note 2 14" xfId="9244"/>
    <cellStyle name="Note 2 15" xfId="9245"/>
    <cellStyle name="Note 2 16" xfId="9246"/>
    <cellStyle name="Note 2 17" xfId="9247"/>
    <cellStyle name="Note 2 18" xfId="9248"/>
    <cellStyle name="Note 2 19" xfId="9249"/>
    <cellStyle name="Note 2 2" xfId="3123"/>
    <cellStyle name="Note 2 2 10" xfId="9250"/>
    <cellStyle name="Note 2 2 11" xfId="9251"/>
    <cellStyle name="Note 2 2 12" xfId="9252"/>
    <cellStyle name="Note 2 2 13" xfId="9253"/>
    <cellStyle name="Note 2 2 14" xfId="9254"/>
    <cellStyle name="Note 2 2 15" xfId="9255"/>
    <cellStyle name="Note 2 2 16" xfId="9256"/>
    <cellStyle name="Note 2 2 17" xfId="9257"/>
    <cellStyle name="Note 2 2 18" xfId="9258"/>
    <cellStyle name="Note 2 2 19" xfId="9259"/>
    <cellStyle name="Note 2 2 2" xfId="9260"/>
    <cellStyle name="Note 2 2 20" xfId="9261"/>
    <cellStyle name="Note 2 2 21" xfId="9262"/>
    <cellStyle name="Note 2 2 3" xfId="9263"/>
    <cellStyle name="Note 2 2 4" xfId="9264"/>
    <cellStyle name="Note 2 2 5" xfId="9265"/>
    <cellStyle name="Note 2 2 6" xfId="9266"/>
    <cellStyle name="Note 2 2 7" xfId="9267"/>
    <cellStyle name="Note 2 2 8" xfId="9268"/>
    <cellStyle name="Note 2 2 9" xfId="9269"/>
    <cellStyle name="Note 2 20" xfId="9270"/>
    <cellStyle name="Note 2 21" xfId="9271"/>
    <cellStyle name="Note 2 22" xfId="9272"/>
    <cellStyle name="Note 2 3" xfId="9273"/>
    <cellStyle name="Note 2 4" xfId="9274"/>
    <cellStyle name="Note 2 5" xfId="9275"/>
    <cellStyle name="Note 2 6" xfId="9276"/>
    <cellStyle name="Note 2 7" xfId="9277"/>
    <cellStyle name="Note 2 8" xfId="9278"/>
    <cellStyle name="Note 2 9" xfId="9279"/>
    <cellStyle name="Note 20" xfId="3124"/>
    <cellStyle name="Note 20 10" xfId="9280"/>
    <cellStyle name="Note 20 11" xfId="9281"/>
    <cellStyle name="Note 20 12" xfId="9282"/>
    <cellStyle name="Note 20 13" xfId="9283"/>
    <cellStyle name="Note 20 14" xfId="9284"/>
    <cellStyle name="Note 20 15" xfId="9285"/>
    <cellStyle name="Note 20 16" xfId="9286"/>
    <cellStyle name="Note 20 17" xfId="9287"/>
    <cellStyle name="Note 20 18" xfId="9288"/>
    <cellStyle name="Note 20 19" xfId="9289"/>
    <cellStyle name="Note 20 2" xfId="9290"/>
    <cellStyle name="Note 20 20" xfId="9291"/>
    <cellStyle name="Note 20 21" xfId="9292"/>
    <cellStyle name="Note 20 3" xfId="9293"/>
    <cellStyle name="Note 20 4" xfId="9294"/>
    <cellStyle name="Note 20 5" xfId="9295"/>
    <cellStyle name="Note 20 6" xfId="9296"/>
    <cellStyle name="Note 20 7" xfId="9297"/>
    <cellStyle name="Note 20 8" xfId="9298"/>
    <cellStyle name="Note 20 9" xfId="9299"/>
    <cellStyle name="Note 21" xfId="3125"/>
    <cellStyle name="Note 21 10" xfId="9300"/>
    <cellStyle name="Note 21 11" xfId="9301"/>
    <cellStyle name="Note 21 12" xfId="9302"/>
    <cellStyle name="Note 21 13" xfId="9303"/>
    <cellStyle name="Note 21 14" xfId="9304"/>
    <cellStyle name="Note 21 15" xfId="9305"/>
    <cellStyle name="Note 21 16" xfId="9306"/>
    <cellStyle name="Note 21 17" xfId="9307"/>
    <cellStyle name="Note 21 18" xfId="9308"/>
    <cellStyle name="Note 21 19" xfId="9309"/>
    <cellStyle name="Note 21 2" xfId="9310"/>
    <cellStyle name="Note 21 20" xfId="9311"/>
    <cellStyle name="Note 21 21" xfId="9312"/>
    <cellStyle name="Note 21 3" xfId="9313"/>
    <cellStyle name="Note 21 4" xfId="9314"/>
    <cellStyle name="Note 21 5" xfId="9315"/>
    <cellStyle name="Note 21 6" xfId="9316"/>
    <cellStyle name="Note 21 7" xfId="9317"/>
    <cellStyle name="Note 21 8" xfId="9318"/>
    <cellStyle name="Note 21 9" xfId="9319"/>
    <cellStyle name="Note 22" xfId="3126"/>
    <cellStyle name="Note 22 10" xfId="9320"/>
    <cellStyle name="Note 22 11" xfId="9321"/>
    <cellStyle name="Note 22 12" xfId="9322"/>
    <cellStyle name="Note 22 13" xfId="9323"/>
    <cellStyle name="Note 22 14" xfId="9324"/>
    <cellStyle name="Note 22 15" xfId="9325"/>
    <cellStyle name="Note 22 16" xfId="9326"/>
    <cellStyle name="Note 22 17" xfId="9327"/>
    <cellStyle name="Note 22 18" xfId="9328"/>
    <cellStyle name="Note 22 19" xfId="9329"/>
    <cellStyle name="Note 22 2" xfId="9330"/>
    <cellStyle name="Note 22 20" xfId="9331"/>
    <cellStyle name="Note 22 21" xfId="9332"/>
    <cellStyle name="Note 22 3" xfId="9333"/>
    <cellStyle name="Note 22 4" xfId="9334"/>
    <cellStyle name="Note 22 5" xfId="9335"/>
    <cellStyle name="Note 22 6" xfId="9336"/>
    <cellStyle name="Note 22 7" xfId="9337"/>
    <cellStyle name="Note 22 8" xfId="9338"/>
    <cellStyle name="Note 22 9" xfId="9339"/>
    <cellStyle name="Note 23" xfId="3127"/>
    <cellStyle name="Note 23 10" xfId="9340"/>
    <cellStyle name="Note 23 11" xfId="9341"/>
    <cellStyle name="Note 23 12" xfId="9342"/>
    <cellStyle name="Note 23 13" xfId="9343"/>
    <cellStyle name="Note 23 14" xfId="9344"/>
    <cellStyle name="Note 23 15" xfId="9345"/>
    <cellStyle name="Note 23 16" xfId="9346"/>
    <cellStyle name="Note 23 17" xfId="9347"/>
    <cellStyle name="Note 23 18" xfId="9348"/>
    <cellStyle name="Note 23 19" xfId="9349"/>
    <cellStyle name="Note 23 2" xfId="9350"/>
    <cellStyle name="Note 23 20" xfId="9351"/>
    <cellStyle name="Note 23 21" xfId="9352"/>
    <cellStyle name="Note 23 3" xfId="9353"/>
    <cellStyle name="Note 23 4" xfId="9354"/>
    <cellStyle name="Note 23 5" xfId="9355"/>
    <cellStyle name="Note 23 6" xfId="9356"/>
    <cellStyle name="Note 23 7" xfId="9357"/>
    <cellStyle name="Note 23 8" xfId="9358"/>
    <cellStyle name="Note 23 9" xfId="9359"/>
    <cellStyle name="Note 24" xfId="3128"/>
    <cellStyle name="Note 24 10" xfId="9360"/>
    <cellStyle name="Note 24 11" xfId="9361"/>
    <cellStyle name="Note 24 12" xfId="9362"/>
    <cellStyle name="Note 24 13" xfId="9363"/>
    <cellStyle name="Note 24 14" xfId="9364"/>
    <cellStyle name="Note 24 15" xfId="9365"/>
    <cellStyle name="Note 24 16" xfId="9366"/>
    <cellStyle name="Note 24 17" xfId="9367"/>
    <cellStyle name="Note 24 18" xfId="9368"/>
    <cellStyle name="Note 24 19" xfId="9369"/>
    <cellStyle name="Note 24 2" xfId="9370"/>
    <cellStyle name="Note 24 20" xfId="9371"/>
    <cellStyle name="Note 24 21" xfId="9372"/>
    <cellStyle name="Note 24 3" xfId="9373"/>
    <cellStyle name="Note 24 4" xfId="9374"/>
    <cellStyle name="Note 24 5" xfId="9375"/>
    <cellStyle name="Note 24 6" xfId="9376"/>
    <cellStyle name="Note 24 7" xfId="9377"/>
    <cellStyle name="Note 24 8" xfId="9378"/>
    <cellStyle name="Note 24 9" xfId="9379"/>
    <cellStyle name="Note 25" xfId="3129"/>
    <cellStyle name="Note 25 10" xfId="9380"/>
    <cellStyle name="Note 25 11" xfId="9381"/>
    <cellStyle name="Note 25 12" xfId="9382"/>
    <cellStyle name="Note 25 13" xfId="9383"/>
    <cellStyle name="Note 25 14" xfId="9384"/>
    <cellStyle name="Note 25 15" xfId="9385"/>
    <cellStyle name="Note 25 16" xfId="9386"/>
    <cellStyle name="Note 25 17" xfId="9387"/>
    <cellStyle name="Note 25 18" xfId="9388"/>
    <cellStyle name="Note 25 19" xfId="9389"/>
    <cellStyle name="Note 25 2" xfId="9390"/>
    <cellStyle name="Note 25 20" xfId="9391"/>
    <cellStyle name="Note 25 21" xfId="9392"/>
    <cellStyle name="Note 25 3" xfId="9393"/>
    <cellStyle name="Note 25 4" xfId="9394"/>
    <cellStyle name="Note 25 5" xfId="9395"/>
    <cellStyle name="Note 25 6" xfId="9396"/>
    <cellStyle name="Note 25 7" xfId="9397"/>
    <cellStyle name="Note 25 8" xfId="9398"/>
    <cellStyle name="Note 25 9" xfId="9399"/>
    <cellStyle name="Note 26" xfId="3130"/>
    <cellStyle name="Note 26 10" xfId="9400"/>
    <cellStyle name="Note 26 11" xfId="9401"/>
    <cellStyle name="Note 26 12" xfId="9402"/>
    <cellStyle name="Note 26 13" xfId="9403"/>
    <cellStyle name="Note 26 14" xfId="9404"/>
    <cellStyle name="Note 26 15" xfId="9405"/>
    <cellStyle name="Note 26 16" xfId="9406"/>
    <cellStyle name="Note 26 17" xfId="9407"/>
    <cellStyle name="Note 26 18" xfId="9408"/>
    <cellStyle name="Note 26 19" xfId="9409"/>
    <cellStyle name="Note 26 2" xfId="9410"/>
    <cellStyle name="Note 26 20" xfId="9411"/>
    <cellStyle name="Note 26 21" xfId="9412"/>
    <cellStyle name="Note 26 3" xfId="9413"/>
    <cellStyle name="Note 26 4" xfId="9414"/>
    <cellStyle name="Note 26 5" xfId="9415"/>
    <cellStyle name="Note 26 6" xfId="9416"/>
    <cellStyle name="Note 26 7" xfId="9417"/>
    <cellStyle name="Note 26 8" xfId="9418"/>
    <cellStyle name="Note 26 9" xfId="9419"/>
    <cellStyle name="Note 27" xfId="3131"/>
    <cellStyle name="Note 27 10" xfId="9420"/>
    <cellStyle name="Note 27 11" xfId="9421"/>
    <cellStyle name="Note 27 12" xfId="9422"/>
    <cellStyle name="Note 27 13" xfId="9423"/>
    <cellStyle name="Note 27 14" xfId="9424"/>
    <cellStyle name="Note 27 15" xfId="9425"/>
    <cellStyle name="Note 27 16" xfId="9426"/>
    <cellStyle name="Note 27 17" xfId="9427"/>
    <cellStyle name="Note 27 18" xfId="9428"/>
    <cellStyle name="Note 27 19" xfId="9429"/>
    <cellStyle name="Note 27 2" xfId="9430"/>
    <cellStyle name="Note 27 20" xfId="9431"/>
    <cellStyle name="Note 27 21" xfId="9432"/>
    <cellStyle name="Note 27 3" xfId="9433"/>
    <cellStyle name="Note 27 4" xfId="9434"/>
    <cellStyle name="Note 27 5" xfId="9435"/>
    <cellStyle name="Note 27 6" xfId="9436"/>
    <cellStyle name="Note 27 7" xfId="9437"/>
    <cellStyle name="Note 27 8" xfId="9438"/>
    <cellStyle name="Note 27 9" xfId="9439"/>
    <cellStyle name="Note 28" xfId="3132"/>
    <cellStyle name="Note 28 10" xfId="9440"/>
    <cellStyle name="Note 28 11" xfId="9441"/>
    <cellStyle name="Note 28 12" xfId="9442"/>
    <cellStyle name="Note 28 13" xfId="9443"/>
    <cellStyle name="Note 28 14" xfId="9444"/>
    <cellStyle name="Note 28 15" xfId="9445"/>
    <cellStyle name="Note 28 16" xfId="9446"/>
    <cellStyle name="Note 28 17" xfId="9447"/>
    <cellStyle name="Note 28 18" xfId="9448"/>
    <cellStyle name="Note 28 19" xfId="9449"/>
    <cellStyle name="Note 28 2" xfId="9450"/>
    <cellStyle name="Note 28 20" xfId="9451"/>
    <cellStyle name="Note 28 21" xfId="9452"/>
    <cellStyle name="Note 28 3" xfId="9453"/>
    <cellStyle name="Note 28 4" xfId="9454"/>
    <cellStyle name="Note 28 5" xfId="9455"/>
    <cellStyle name="Note 28 6" xfId="9456"/>
    <cellStyle name="Note 28 7" xfId="9457"/>
    <cellStyle name="Note 28 8" xfId="9458"/>
    <cellStyle name="Note 28 9" xfId="9459"/>
    <cellStyle name="Note 29" xfId="3133"/>
    <cellStyle name="Note 29 10" xfId="9460"/>
    <cellStyle name="Note 29 11" xfId="9461"/>
    <cellStyle name="Note 29 12" xfId="9462"/>
    <cellStyle name="Note 29 13" xfId="9463"/>
    <cellStyle name="Note 29 14" xfId="9464"/>
    <cellStyle name="Note 29 15" xfId="9465"/>
    <cellStyle name="Note 29 16" xfId="9466"/>
    <cellStyle name="Note 29 17" xfId="9467"/>
    <cellStyle name="Note 29 18" xfId="9468"/>
    <cellStyle name="Note 29 19" xfId="9469"/>
    <cellStyle name="Note 29 2" xfId="9470"/>
    <cellStyle name="Note 29 20" xfId="9471"/>
    <cellStyle name="Note 29 21" xfId="9472"/>
    <cellStyle name="Note 29 3" xfId="9473"/>
    <cellStyle name="Note 29 4" xfId="9474"/>
    <cellStyle name="Note 29 5" xfId="9475"/>
    <cellStyle name="Note 29 6" xfId="9476"/>
    <cellStyle name="Note 29 7" xfId="9477"/>
    <cellStyle name="Note 29 8" xfId="9478"/>
    <cellStyle name="Note 29 9" xfId="9479"/>
    <cellStyle name="Note 3" xfId="3134"/>
    <cellStyle name="Note 3 10" xfId="9480"/>
    <cellStyle name="Note 3 11" xfId="9481"/>
    <cellStyle name="Note 3 12" xfId="9482"/>
    <cellStyle name="Note 3 13" xfId="9483"/>
    <cellStyle name="Note 3 14" xfId="9484"/>
    <cellStyle name="Note 3 15" xfId="9485"/>
    <cellStyle name="Note 3 16" xfId="9486"/>
    <cellStyle name="Note 3 17" xfId="9487"/>
    <cellStyle name="Note 3 18" xfId="9488"/>
    <cellStyle name="Note 3 19" xfId="9489"/>
    <cellStyle name="Note 3 2" xfId="9490"/>
    <cellStyle name="Note 3 20" xfId="9491"/>
    <cellStyle name="Note 3 21" xfId="9492"/>
    <cellStyle name="Note 3 3" xfId="9493"/>
    <cellStyle name="Note 3 4" xfId="9494"/>
    <cellStyle name="Note 3 5" xfId="9495"/>
    <cellStyle name="Note 3 6" xfId="9496"/>
    <cellStyle name="Note 3 7" xfId="9497"/>
    <cellStyle name="Note 3 8" xfId="9498"/>
    <cellStyle name="Note 3 9" xfId="9499"/>
    <cellStyle name="Note 30" xfId="3135"/>
    <cellStyle name="Note 30 10" xfId="9500"/>
    <cellStyle name="Note 30 11" xfId="9501"/>
    <cellStyle name="Note 30 12" xfId="9502"/>
    <cellStyle name="Note 30 13" xfId="9503"/>
    <cellStyle name="Note 30 14" xfId="9504"/>
    <cellStyle name="Note 30 15" xfId="9505"/>
    <cellStyle name="Note 30 16" xfId="9506"/>
    <cellStyle name="Note 30 17" xfId="9507"/>
    <cellStyle name="Note 30 18" xfId="9508"/>
    <cellStyle name="Note 30 19" xfId="9509"/>
    <cellStyle name="Note 30 2" xfId="9510"/>
    <cellStyle name="Note 30 20" xfId="9511"/>
    <cellStyle name="Note 30 21" xfId="9512"/>
    <cellStyle name="Note 30 3" xfId="9513"/>
    <cellStyle name="Note 30 4" xfId="9514"/>
    <cellStyle name="Note 30 5" xfId="9515"/>
    <cellStyle name="Note 30 6" xfId="9516"/>
    <cellStyle name="Note 30 7" xfId="9517"/>
    <cellStyle name="Note 30 8" xfId="9518"/>
    <cellStyle name="Note 30 9" xfId="9519"/>
    <cellStyle name="Note 31" xfId="3136"/>
    <cellStyle name="Note 31 10" xfId="9520"/>
    <cellStyle name="Note 31 11" xfId="9521"/>
    <cellStyle name="Note 31 12" xfId="9522"/>
    <cellStyle name="Note 31 13" xfId="9523"/>
    <cellStyle name="Note 31 14" xfId="9524"/>
    <cellStyle name="Note 31 15" xfId="9525"/>
    <cellStyle name="Note 31 16" xfId="9526"/>
    <cellStyle name="Note 31 17" xfId="9527"/>
    <cellStyle name="Note 31 18" xfId="9528"/>
    <cellStyle name="Note 31 19" xfId="9529"/>
    <cellStyle name="Note 31 2" xfId="9530"/>
    <cellStyle name="Note 31 20" xfId="9531"/>
    <cellStyle name="Note 31 21" xfId="9532"/>
    <cellStyle name="Note 31 3" xfId="9533"/>
    <cellStyle name="Note 31 4" xfId="9534"/>
    <cellStyle name="Note 31 5" xfId="9535"/>
    <cellStyle name="Note 31 6" xfId="9536"/>
    <cellStyle name="Note 31 7" xfId="9537"/>
    <cellStyle name="Note 31 8" xfId="9538"/>
    <cellStyle name="Note 31 9" xfId="9539"/>
    <cellStyle name="Note 32" xfId="3137"/>
    <cellStyle name="Note 32 10" xfId="9540"/>
    <cellStyle name="Note 32 11" xfId="9541"/>
    <cellStyle name="Note 32 12" xfId="9542"/>
    <cellStyle name="Note 32 13" xfId="9543"/>
    <cellStyle name="Note 32 14" xfId="9544"/>
    <cellStyle name="Note 32 15" xfId="9545"/>
    <cellStyle name="Note 32 16" xfId="9546"/>
    <cellStyle name="Note 32 17" xfId="9547"/>
    <cellStyle name="Note 32 18" xfId="9548"/>
    <cellStyle name="Note 32 19" xfId="9549"/>
    <cellStyle name="Note 32 2" xfId="9550"/>
    <cellStyle name="Note 32 20" xfId="9551"/>
    <cellStyle name="Note 32 21" xfId="9552"/>
    <cellStyle name="Note 32 3" xfId="9553"/>
    <cellStyle name="Note 32 4" xfId="9554"/>
    <cellStyle name="Note 32 5" xfId="9555"/>
    <cellStyle name="Note 32 6" xfId="9556"/>
    <cellStyle name="Note 32 7" xfId="9557"/>
    <cellStyle name="Note 32 8" xfId="9558"/>
    <cellStyle name="Note 32 9" xfId="9559"/>
    <cellStyle name="Note 33" xfId="3138"/>
    <cellStyle name="Note 33 10" xfId="9560"/>
    <cellStyle name="Note 33 11" xfId="9561"/>
    <cellStyle name="Note 33 12" xfId="9562"/>
    <cellStyle name="Note 33 13" xfId="9563"/>
    <cellStyle name="Note 33 14" xfId="9564"/>
    <cellStyle name="Note 33 15" xfId="9565"/>
    <cellStyle name="Note 33 16" xfId="9566"/>
    <cellStyle name="Note 33 17" xfId="9567"/>
    <cellStyle name="Note 33 18" xfId="9568"/>
    <cellStyle name="Note 33 19" xfId="9569"/>
    <cellStyle name="Note 33 2" xfId="9570"/>
    <cellStyle name="Note 33 20" xfId="9571"/>
    <cellStyle name="Note 33 21" xfId="9572"/>
    <cellStyle name="Note 33 3" xfId="9573"/>
    <cellStyle name="Note 33 4" xfId="9574"/>
    <cellStyle name="Note 33 5" xfId="9575"/>
    <cellStyle name="Note 33 6" xfId="9576"/>
    <cellStyle name="Note 33 7" xfId="9577"/>
    <cellStyle name="Note 33 8" xfId="9578"/>
    <cellStyle name="Note 33 9" xfId="9579"/>
    <cellStyle name="Note 34" xfId="3139"/>
    <cellStyle name="Note 34 10" xfId="9580"/>
    <cellStyle name="Note 34 11" xfId="9581"/>
    <cellStyle name="Note 34 12" xfId="9582"/>
    <cellStyle name="Note 34 13" xfId="9583"/>
    <cellStyle name="Note 34 14" xfId="9584"/>
    <cellStyle name="Note 34 15" xfId="9585"/>
    <cellStyle name="Note 34 16" xfId="9586"/>
    <cellStyle name="Note 34 17" xfId="9587"/>
    <cellStyle name="Note 34 18" xfId="9588"/>
    <cellStyle name="Note 34 19" xfId="9589"/>
    <cellStyle name="Note 34 2" xfId="9590"/>
    <cellStyle name="Note 34 20" xfId="9591"/>
    <cellStyle name="Note 34 21" xfId="9592"/>
    <cellStyle name="Note 34 3" xfId="9593"/>
    <cellStyle name="Note 34 4" xfId="9594"/>
    <cellStyle name="Note 34 5" xfId="9595"/>
    <cellStyle name="Note 34 6" xfId="9596"/>
    <cellStyle name="Note 34 7" xfId="9597"/>
    <cellStyle name="Note 34 8" xfId="9598"/>
    <cellStyle name="Note 34 9" xfId="9599"/>
    <cellStyle name="Note 35" xfId="3140"/>
    <cellStyle name="Note 35 10" xfId="9600"/>
    <cellStyle name="Note 35 11" xfId="9601"/>
    <cellStyle name="Note 35 12" xfId="9602"/>
    <cellStyle name="Note 35 13" xfId="9603"/>
    <cellStyle name="Note 35 14" xfId="9604"/>
    <cellStyle name="Note 35 15" xfId="9605"/>
    <cellStyle name="Note 35 16" xfId="9606"/>
    <cellStyle name="Note 35 17" xfId="9607"/>
    <cellStyle name="Note 35 18" xfId="9608"/>
    <cellStyle name="Note 35 19" xfId="9609"/>
    <cellStyle name="Note 35 2" xfId="9610"/>
    <cellStyle name="Note 35 20" xfId="9611"/>
    <cellStyle name="Note 35 21" xfId="9612"/>
    <cellStyle name="Note 35 3" xfId="9613"/>
    <cellStyle name="Note 35 4" xfId="9614"/>
    <cellStyle name="Note 35 5" xfId="9615"/>
    <cellStyle name="Note 35 6" xfId="9616"/>
    <cellStyle name="Note 35 7" xfId="9617"/>
    <cellStyle name="Note 35 8" xfId="9618"/>
    <cellStyle name="Note 35 9" xfId="9619"/>
    <cellStyle name="Note 36" xfId="3141"/>
    <cellStyle name="Note 36 10" xfId="9620"/>
    <cellStyle name="Note 36 11" xfId="9621"/>
    <cellStyle name="Note 36 12" xfId="9622"/>
    <cellStyle name="Note 36 13" xfId="9623"/>
    <cellStyle name="Note 36 14" xfId="9624"/>
    <cellStyle name="Note 36 15" xfId="9625"/>
    <cellStyle name="Note 36 16" xfId="9626"/>
    <cellStyle name="Note 36 17" xfId="9627"/>
    <cellStyle name="Note 36 18" xfId="9628"/>
    <cellStyle name="Note 36 19" xfId="9629"/>
    <cellStyle name="Note 36 2" xfId="9630"/>
    <cellStyle name="Note 36 20" xfId="9631"/>
    <cellStyle name="Note 36 21" xfId="9632"/>
    <cellStyle name="Note 36 3" xfId="9633"/>
    <cellStyle name="Note 36 4" xfId="9634"/>
    <cellStyle name="Note 36 5" xfId="9635"/>
    <cellStyle name="Note 36 6" xfId="9636"/>
    <cellStyle name="Note 36 7" xfId="9637"/>
    <cellStyle name="Note 36 8" xfId="9638"/>
    <cellStyle name="Note 36 9" xfId="9639"/>
    <cellStyle name="Note 37" xfId="3142"/>
    <cellStyle name="Note 37 10" xfId="9640"/>
    <cellStyle name="Note 37 11" xfId="9641"/>
    <cellStyle name="Note 37 12" xfId="9642"/>
    <cellStyle name="Note 37 13" xfId="9643"/>
    <cellStyle name="Note 37 14" xfId="9644"/>
    <cellStyle name="Note 37 15" xfId="9645"/>
    <cellStyle name="Note 37 16" xfId="9646"/>
    <cellStyle name="Note 37 17" xfId="9647"/>
    <cellStyle name="Note 37 18" xfId="9648"/>
    <cellStyle name="Note 37 19" xfId="9649"/>
    <cellStyle name="Note 37 2" xfId="9650"/>
    <cellStyle name="Note 37 20" xfId="9651"/>
    <cellStyle name="Note 37 21" xfId="9652"/>
    <cellStyle name="Note 37 3" xfId="9653"/>
    <cellStyle name="Note 37 4" xfId="9654"/>
    <cellStyle name="Note 37 5" xfId="9655"/>
    <cellStyle name="Note 37 6" xfId="9656"/>
    <cellStyle name="Note 37 7" xfId="9657"/>
    <cellStyle name="Note 37 8" xfId="9658"/>
    <cellStyle name="Note 37 9" xfId="9659"/>
    <cellStyle name="Note 38" xfId="3143"/>
    <cellStyle name="Note 38 10" xfId="9660"/>
    <cellStyle name="Note 38 11" xfId="9661"/>
    <cellStyle name="Note 38 12" xfId="9662"/>
    <cellStyle name="Note 38 13" xfId="9663"/>
    <cellStyle name="Note 38 14" xfId="9664"/>
    <cellStyle name="Note 38 15" xfId="9665"/>
    <cellStyle name="Note 38 16" xfId="9666"/>
    <cellStyle name="Note 38 17" xfId="9667"/>
    <cellStyle name="Note 38 18" xfId="9668"/>
    <cellStyle name="Note 38 19" xfId="9669"/>
    <cellStyle name="Note 38 2" xfId="9670"/>
    <cellStyle name="Note 38 20" xfId="9671"/>
    <cellStyle name="Note 38 21" xfId="9672"/>
    <cellStyle name="Note 38 3" xfId="9673"/>
    <cellStyle name="Note 38 4" xfId="9674"/>
    <cellStyle name="Note 38 5" xfId="9675"/>
    <cellStyle name="Note 38 6" xfId="9676"/>
    <cellStyle name="Note 38 7" xfId="9677"/>
    <cellStyle name="Note 38 8" xfId="9678"/>
    <cellStyle name="Note 38 9" xfId="9679"/>
    <cellStyle name="Note 39" xfId="3144"/>
    <cellStyle name="Note 39 10" xfId="9680"/>
    <cellStyle name="Note 39 11" xfId="9681"/>
    <cellStyle name="Note 39 12" xfId="9682"/>
    <cellStyle name="Note 39 13" xfId="9683"/>
    <cellStyle name="Note 39 14" xfId="9684"/>
    <cellStyle name="Note 39 15" xfId="9685"/>
    <cellStyle name="Note 39 16" xfId="9686"/>
    <cellStyle name="Note 39 17" xfId="9687"/>
    <cellStyle name="Note 39 18" xfId="9688"/>
    <cellStyle name="Note 39 19" xfId="9689"/>
    <cellStyle name="Note 39 2" xfId="9690"/>
    <cellStyle name="Note 39 20" xfId="9691"/>
    <cellStyle name="Note 39 21" xfId="9692"/>
    <cellStyle name="Note 39 3" xfId="9693"/>
    <cellStyle name="Note 39 4" xfId="9694"/>
    <cellStyle name="Note 39 5" xfId="9695"/>
    <cellStyle name="Note 39 6" xfId="9696"/>
    <cellStyle name="Note 39 7" xfId="9697"/>
    <cellStyle name="Note 39 8" xfId="9698"/>
    <cellStyle name="Note 39 9" xfId="9699"/>
    <cellStyle name="Note 4" xfId="3145"/>
    <cellStyle name="Note 4 10" xfId="9700"/>
    <cellStyle name="Note 4 11" xfId="9701"/>
    <cellStyle name="Note 4 12" xfId="9702"/>
    <cellStyle name="Note 4 13" xfId="9703"/>
    <cellStyle name="Note 4 14" xfId="9704"/>
    <cellStyle name="Note 4 15" xfId="9705"/>
    <cellStyle name="Note 4 16" xfId="9706"/>
    <cellStyle name="Note 4 17" xfId="9707"/>
    <cellStyle name="Note 4 18" xfId="9708"/>
    <cellStyle name="Note 4 19" xfId="9709"/>
    <cellStyle name="Note 4 2" xfId="9710"/>
    <cellStyle name="Note 4 20" xfId="9711"/>
    <cellStyle name="Note 4 21" xfId="9712"/>
    <cellStyle name="Note 4 3" xfId="9713"/>
    <cellStyle name="Note 4 4" xfId="9714"/>
    <cellStyle name="Note 4 5" xfId="9715"/>
    <cellStyle name="Note 4 6" xfId="9716"/>
    <cellStyle name="Note 4 7" xfId="9717"/>
    <cellStyle name="Note 4 8" xfId="9718"/>
    <cellStyle name="Note 4 9" xfId="9719"/>
    <cellStyle name="Note 40" xfId="3146"/>
    <cellStyle name="Note 40 10" xfId="9720"/>
    <cellStyle name="Note 40 11" xfId="9721"/>
    <cellStyle name="Note 40 12" xfId="9722"/>
    <cellStyle name="Note 40 13" xfId="9723"/>
    <cellStyle name="Note 40 14" xfId="9724"/>
    <cellStyle name="Note 40 15" xfId="9725"/>
    <cellStyle name="Note 40 16" xfId="9726"/>
    <cellStyle name="Note 40 17" xfId="9727"/>
    <cellStyle name="Note 40 18" xfId="9728"/>
    <cellStyle name="Note 40 19" xfId="9729"/>
    <cellStyle name="Note 40 2" xfId="9730"/>
    <cellStyle name="Note 40 20" xfId="9731"/>
    <cellStyle name="Note 40 21" xfId="9732"/>
    <cellStyle name="Note 40 3" xfId="9733"/>
    <cellStyle name="Note 40 4" xfId="9734"/>
    <cellStyle name="Note 40 5" xfId="9735"/>
    <cellStyle name="Note 40 6" xfId="9736"/>
    <cellStyle name="Note 40 7" xfId="9737"/>
    <cellStyle name="Note 40 8" xfId="9738"/>
    <cellStyle name="Note 40 9" xfId="9739"/>
    <cellStyle name="Note 41" xfId="3147"/>
    <cellStyle name="Note 41 10" xfId="9740"/>
    <cellStyle name="Note 41 11" xfId="9741"/>
    <cellStyle name="Note 41 12" xfId="9742"/>
    <cellStyle name="Note 41 13" xfId="9743"/>
    <cellStyle name="Note 41 14" xfId="9744"/>
    <cellStyle name="Note 41 15" xfId="9745"/>
    <cellStyle name="Note 41 16" xfId="9746"/>
    <cellStyle name="Note 41 17" xfId="9747"/>
    <cellStyle name="Note 41 18" xfId="9748"/>
    <cellStyle name="Note 41 19" xfId="9749"/>
    <cellStyle name="Note 41 2" xfId="9750"/>
    <cellStyle name="Note 41 20" xfId="9751"/>
    <cellStyle name="Note 41 21" xfId="9752"/>
    <cellStyle name="Note 41 3" xfId="9753"/>
    <cellStyle name="Note 41 4" xfId="9754"/>
    <cellStyle name="Note 41 5" xfId="9755"/>
    <cellStyle name="Note 41 6" xfId="9756"/>
    <cellStyle name="Note 41 7" xfId="9757"/>
    <cellStyle name="Note 41 8" xfId="9758"/>
    <cellStyle name="Note 41 9" xfId="9759"/>
    <cellStyle name="Note 42" xfId="3148"/>
    <cellStyle name="Note 42 10" xfId="9760"/>
    <cellStyle name="Note 42 11" xfId="9761"/>
    <cellStyle name="Note 42 12" xfId="9762"/>
    <cellStyle name="Note 42 13" xfId="9763"/>
    <cellStyle name="Note 42 14" xfId="9764"/>
    <cellStyle name="Note 42 15" xfId="9765"/>
    <cellStyle name="Note 42 16" xfId="9766"/>
    <cellStyle name="Note 42 17" xfId="9767"/>
    <cellStyle name="Note 42 18" xfId="9768"/>
    <cellStyle name="Note 42 19" xfId="9769"/>
    <cellStyle name="Note 42 2" xfId="9770"/>
    <cellStyle name="Note 42 20" xfId="9771"/>
    <cellStyle name="Note 42 21" xfId="9772"/>
    <cellStyle name="Note 42 3" xfId="9773"/>
    <cellStyle name="Note 42 4" xfId="9774"/>
    <cellStyle name="Note 42 5" xfId="9775"/>
    <cellStyle name="Note 42 6" xfId="9776"/>
    <cellStyle name="Note 42 7" xfId="9777"/>
    <cellStyle name="Note 42 8" xfId="9778"/>
    <cellStyle name="Note 42 9" xfId="9779"/>
    <cellStyle name="Note 43" xfId="3149"/>
    <cellStyle name="Note 43 10" xfId="9780"/>
    <cellStyle name="Note 43 11" xfId="9781"/>
    <cellStyle name="Note 43 12" xfId="9782"/>
    <cellStyle name="Note 43 13" xfId="9783"/>
    <cellStyle name="Note 43 14" xfId="9784"/>
    <cellStyle name="Note 43 15" xfId="9785"/>
    <cellStyle name="Note 43 16" xfId="9786"/>
    <cellStyle name="Note 43 17" xfId="9787"/>
    <cellStyle name="Note 43 18" xfId="9788"/>
    <cellStyle name="Note 43 19" xfId="9789"/>
    <cellStyle name="Note 43 2" xfId="9790"/>
    <cellStyle name="Note 43 20" xfId="9791"/>
    <cellStyle name="Note 43 21" xfId="9792"/>
    <cellStyle name="Note 43 3" xfId="9793"/>
    <cellStyle name="Note 43 4" xfId="9794"/>
    <cellStyle name="Note 43 5" xfId="9795"/>
    <cellStyle name="Note 43 6" xfId="9796"/>
    <cellStyle name="Note 43 7" xfId="9797"/>
    <cellStyle name="Note 43 8" xfId="9798"/>
    <cellStyle name="Note 43 9" xfId="9799"/>
    <cellStyle name="Note 44" xfId="3150"/>
    <cellStyle name="Note 44 10" xfId="9800"/>
    <cellStyle name="Note 44 11" xfId="9801"/>
    <cellStyle name="Note 44 12" xfId="9802"/>
    <cellStyle name="Note 44 13" xfId="9803"/>
    <cellStyle name="Note 44 14" xfId="9804"/>
    <cellStyle name="Note 44 15" xfId="9805"/>
    <cellStyle name="Note 44 16" xfId="9806"/>
    <cellStyle name="Note 44 17" xfId="9807"/>
    <cellStyle name="Note 44 18" xfId="9808"/>
    <cellStyle name="Note 44 19" xfId="9809"/>
    <cellStyle name="Note 44 2" xfId="9810"/>
    <cellStyle name="Note 44 20" xfId="9811"/>
    <cellStyle name="Note 44 21" xfId="9812"/>
    <cellStyle name="Note 44 3" xfId="9813"/>
    <cellStyle name="Note 44 4" xfId="9814"/>
    <cellStyle name="Note 44 5" xfId="9815"/>
    <cellStyle name="Note 44 6" xfId="9816"/>
    <cellStyle name="Note 44 7" xfId="9817"/>
    <cellStyle name="Note 44 8" xfId="9818"/>
    <cellStyle name="Note 44 9" xfId="9819"/>
    <cellStyle name="Note 45" xfId="3151"/>
    <cellStyle name="Note 45 10" xfId="9820"/>
    <cellStyle name="Note 45 11" xfId="9821"/>
    <cellStyle name="Note 45 12" xfId="9822"/>
    <cellStyle name="Note 45 13" xfId="9823"/>
    <cellStyle name="Note 45 14" xfId="9824"/>
    <cellStyle name="Note 45 15" xfId="9825"/>
    <cellStyle name="Note 45 16" xfId="9826"/>
    <cellStyle name="Note 45 17" xfId="9827"/>
    <cellStyle name="Note 45 18" xfId="9828"/>
    <cellStyle name="Note 45 19" xfId="9829"/>
    <cellStyle name="Note 45 2" xfId="9830"/>
    <cellStyle name="Note 45 20" xfId="9831"/>
    <cellStyle name="Note 45 21" xfId="9832"/>
    <cellStyle name="Note 45 3" xfId="9833"/>
    <cellStyle name="Note 45 4" xfId="9834"/>
    <cellStyle name="Note 45 5" xfId="9835"/>
    <cellStyle name="Note 45 6" xfId="9836"/>
    <cellStyle name="Note 45 7" xfId="9837"/>
    <cellStyle name="Note 45 8" xfId="9838"/>
    <cellStyle name="Note 45 9" xfId="9839"/>
    <cellStyle name="Note 46" xfId="3152"/>
    <cellStyle name="Note 46 10" xfId="9840"/>
    <cellStyle name="Note 46 11" xfId="9841"/>
    <cellStyle name="Note 46 12" xfId="9842"/>
    <cellStyle name="Note 46 13" xfId="9843"/>
    <cellStyle name="Note 46 14" xfId="9844"/>
    <cellStyle name="Note 46 15" xfId="9845"/>
    <cellStyle name="Note 46 16" xfId="9846"/>
    <cellStyle name="Note 46 17" xfId="9847"/>
    <cellStyle name="Note 46 18" xfId="9848"/>
    <cellStyle name="Note 46 19" xfId="9849"/>
    <cellStyle name="Note 46 2" xfId="9850"/>
    <cellStyle name="Note 46 20" xfId="9851"/>
    <cellStyle name="Note 46 21" xfId="9852"/>
    <cellStyle name="Note 46 3" xfId="9853"/>
    <cellStyle name="Note 46 4" xfId="9854"/>
    <cellStyle name="Note 46 5" xfId="9855"/>
    <cellStyle name="Note 46 6" xfId="9856"/>
    <cellStyle name="Note 46 7" xfId="9857"/>
    <cellStyle name="Note 46 8" xfId="9858"/>
    <cellStyle name="Note 46 9" xfId="9859"/>
    <cellStyle name="Note 47" xfId="3153"/>
    <cellStyle name="Note 47 10" xfId="9860"/>
    <cellStyle name="Note 47 11" xfId="9861"/>
    <cellStyle name="Note 47 12" xfId="9862"/>
    <cellStyle name="Note 47 13" xfId="9863"/>
    <cellStyle name="Note 47 14" xfId="9864"/>
    <cellStyle name="Note 47 15" xfId="9865"/>
    <cellStyle name="Note 47 16" xfId="9866"/>
    <cellStyle name="Note 47 17" xfId="9867"/>
    <cellStyle name="Note 47 18" xfId="9868"/>
    <cellStyle name="Note 47 19" xfId="9869"/>
    <cellStyle name="Note 47 2" xfId="9870"/>
    <cellStyle name="Note 47 20" xfId="9871"/>
    <cellStyle name="Note 47 21" xfId="9872"/>
    <cellStyle name="Note 47 3" xfId="9873"/>
    <cellStyle name="Note 47 4" xfId="9874"/>
    <cellStyle name="Note 47 5" xfId="9875"/>
    <cellStyle name="Note 47 6" xfId="9876"/>
    <cellStyle name="Note 47 7" xfId="9877"/>
    <cellStyle name="Note 47 8" xfId="9878"/>
    <cellStyle name="Note 47 9" xfId="9879"/>
    <cellStyle name="Note 48" xfId="3154"/>
    <cellStyle name="Note 48 10" xfId="9880"/>
    <cellStyle name="Note 48 11" xfId="9881"/>
    <cellStyle name="Note 48 12" xfId="9882"/>
    <cellStyle name="Note 48 13" xfId="9883"/>
    <cellStyle name="Note 48 14" xfId="9884"/>
    <cellStyle name="Note 48 15" xfId="9885"/>
    <cellStyle name="Note 48 16" xfId="9886"/>
    <cellStyle name="Note 48 17" xfId="9887"/>
    <cellStyle name="Note 48 18" xfId="9888"/>
    <cellStyle name="Note 48 19" xfId="9889"/>
    <cellStyle name="Note 48 2" xfId="9890"/>
    <cellStyle name="Note 48 20" xfId="9891"/>
    <cellStyle name="Note 48 21" xfId="9892"/>
    <cellStyle name="Note 48 3" xfId="9893"/>
    <cellStyle name="Note 48 4" xfId="9894"/>
    <cellStyle name="Note 48 5" xfId="9895"/>
    <cellStyle name="Note 48 6" xfId="9896"/>
    <cellStyle name="Note 48 7" xfId="9897"/>
    <cellStyle name="Note 48 8" xfId="9898"/>
    <cellStyle name="Note 48 9" xfId="9899"/>
    <cellStyle name="Note 49" xfId="3155"/>
    <cellStyle name="Note 49 10" xfId="9900"/>
    <cellStyle name="Note 49 11" xfId="9901"/>
    <cellStyle name="Note 49 12" xfId="9902"/>
    <cellStyle name="Note 49 13" xfId="9903"/>
    <cellStyle name="Note 49 14" xfId="9904"/>
    <cellStyle name="Note 49 15" xfId="9905"/>
    <cellStyle name="Note 49 16" xfId="9906"/>
    <cellStyle name="Note 49 17" xfId="9907"/>
    <cellStyle name="Note 49 18" xfId="9908"/>
    <cellStyle name="Note 49 19" xfId="9909"/>
    <cellStyle name="Note 49 2" xfId="9910"/>
    <cellStyle name="Note 49 20" xfId="9911"/>
    <cellStyle name="Note 49 21" xfId="9912"/>
    <cellStyle name="Note 49 3" xfId="9913"/>
    <cellStyle name="Note 49 4" xfId="9914"/>
    <cellStyle name="Note 49 5" xfId="9915"/>
    <cellStyle name="Note 49 6" xfId="9916"/>
    <cellStyle name="Note 49 7" xfId="9917"/>
    <cellStyle name="Note 49 8" xfId="9918"/>
    <cellStyle name="Note 49 9" xfId="9919"/>
    <cellStyle name="Note 5" xfId="3156"/>
    <cellStyle name="Note 5 10" xfId="9920"/>
    <cellStyle name="Note 5 11" xfId="9921"/>
    <cellStyle name="Note 5 12" xfId="9922"/>
    <cellStyle name="Note 5 13" xfId="9923"/>
    <cellStyle name="Note 5 14" xfId="9924"/>
    <cellStyle name="Note 5 15" xfId="9925"/>
    <cellStyle name="Note 5 16" xfId="9926"/>
    <cellStyle name="Note 5 17" xfId="9927"/>
    <cellStyle name="Note 5 18" xfId="9928"/>
    <cellStyle name="Note 5 19" xfId="9929"/>
    <cellStyle name="Note 5 2" xfId="9930"/>
    <cellStyle name="Note 5 20" xfId="9931"/>
    <cellStyle name="Note 5 21" xfId="9932"/>
    <cellStyle name="Note 5 3" xfId="9933"/>
    <cellStyle name="Note 5 4" xfId="9934"/>
    <cellStyle name="Note 5 5" xfId="9935"/>
    <cellStyle name="Note 5 6" xfId="9936"/>
    <cellStyle name="Note 5 7" xfId="9937"/>
    <cellStyle name="Note 5 8" xfId="9938"/>
    <cellStyle name="Note 5 9" xfId="9939"/>
    <cellStyle name="Note 50" xfId="3157"/>
    <cellStyle name="Note 50 10" xfId="9940"/>
    <cellStyle name="Note 50 11" xfId="9941"/>
    <cellStyle name="Note 50 12" xfId="9942"/>
    <cellStyle name="Note 50 13" xfId="9943"/>
    <cellStyle name="Note 50 14" xfId="9944"/>
    <cellStyle name="Note 50 15" xfId="9945"/>
    <cellStyle name="Note 50 16" xfId="9946"/>
    <cellStyle name="Note 50 17" xfId="9947"/>
    <cellStyle name="Note 50 18" xfId="9948"/>
    <cellStyle name="Note 50 19" xfId="9949"/>
    <cellStyle name="Note 50 2" xfId="9950"/>
    <cellStyle name="Note 50 20" xfId="9951"/>
    <cellStyle name="Note 50 21" xfId="9952"/>
    <cellStyle name="Note 50 3" xfId="9953"/>
    <cellStyle name="Note 50 4" xfId="9954"/>
    <cellStyle name="Note 50 5" xfId="9955"/>
    <cellStyle name="Note 50 6" xfId="9956"/>
    <cellStyle name="Note 50 7" xfId="9957"/>
    <cellStyle name="Note 50 8" xfId="9958"/>
    <cellStyle name="Note 50 9" xfId="9959"/>
    <cellStyle name="Note 51" xfId="3158"/>
    <cellStyle name="Note 51 10" xfId="9960"/>
    <cellStyle name="Note 51 11" xfId="9961"/>
    <cellStyle name="Note 51 12" xfId="9962"/>
    <cellStyle name="Note 51 13" xfId="9963"/>
    <cellStyle name="Note 51 14" xfId="9964"/>
    <cellStyle name="Note 51 15" xfId="9965"/>
    <cellStyle name="Note 51 16" xfId="9966"/>
    <cellStyle name="Note 51 17" xfId="9967"/>
    <cellStyle name="Note 51 18" xfId="9968"/>
    <cellStyle name="Note 51 19" xfId="9969"/>
    <cellStyle name="Note 51 2" xfId="9970"/>
    <cellStyle name="Note 51 20" xfId="9971"/>
    <cellStyle name="Note 51 21" xfId="9972"/>
    <cellStyle name="Note 51 3" xfId="9973"/>
    <cellStyle name="Note 51 4" xfId="9974"/>
    <cellStyle name="Note 51 5" xfId="9975"/>
    <cellStyle name="Note 51 6" xfId="9976"/>
    <cellStyle name="Note 51 7" xfId="9977"/>
    <cellStyle name="Note 51 8" xfId="9978"/>
    <cellStyle name="Note 51 9" xfId="9979"/>
    <cellStyle name="Note 52" xfId="3159"/>
    <cellStyle name="Note 52 10" xfId="9980"/>
    <cellStyle name="Note 52 11" xfId="9981"/>
    <cellStyle name="Note 52 12" xfId="9982"/>
    <cellStyle name="Note 52 13" xfId="9983"/>
    <cellStyle name="Note 52 14" xfId="9984"/>
    <cellStyle name="Note 52 15" xfId="9985"/>
    <cellStyle name="Note 52 16" xfId="9986"/>
    <cellStyle name="Note 52 17" xfId="9987"/>
    <cellStyle name="Note 52 18" xfId="9988"/>
    <cellStyle name="Note 52 19" xfId="9989"/>
    <cellStyle name="Note 52 2" xfId="9990"/>
    <cellStyle name="Note 52 20" xfId="9991"/>
    <cellStyle name="Note 52 21" xfId="9992"/>
    <cellStyle name="Note 52 3" xfId="9993"/>
    <cellStyle name="Note 52 4" xfId="9994"/>
    <cellStyle name="Note 52 5" xfId="9995"/>
    <cellStyle name="Note 52 6" xfId="9996"/>
    <cellStyle name="Note 52 7" xfId="9997"/>
    <cellStyle name="Note 52 8" xfId="9998"/>
    <cellStyle name="Note 52 9" xfId="9999"/>
    <cellStyle name="Note 53" xfId="3160"/>
    <cellStyle name="Note 53 10" xfId="10000"/>
    <cellStyle name="Note 53 11" xfId="10001"/>
    <cellStyle name="Note 53 12" xfId="10002"/>
    <cellStyle name="Note 53 13" xfId="10003"/>
    <cellStyle name="Note 53 14" xfId="10004"/>
    <cellStyle name="Note 53 15" xfId="10005"/>
    <cellStyle name="Note 53 16" xfId="10006"/>
    <cellStyle name="Note 53 17" xfId="10007"/>
    <cellStyle name="Note 53 18" xfId="10008"/>
    <cellStyle name="Note 53 19" xfId="10009"/>
    <cellStyle name="Note 53 2" xfId="10010"/>
    <cellStyle name="Note 53 20" xfId="10011"/>
    <cellStyle name="Note 53 21" xfId="10012"/>
    <cellStyle name="Note 53 3" xfId="10013"/>
    <cellStyle name="Note 53 4" xfId="10014"/>
    <cellStyle name="Note 53 5" xfId="10015"/>
    <cellStyle name="Note 53 6" xfId="10016"/>
    <cellStyle name="Note 53 7" xfId="10017"/>
    <cellStyle name="Note 53 8" xfId="10018"/>
    <cellStyle name="Note 53 9" xfId="10019"/>
    <cellStyle name="Note 54" xfId="3161"/>
    <cellStyle name="Note 54 10" xfId="10020"/>
    <cellStyle name="Note 54 11" xfId="10021"/>
    <cellStyle name="Note 54 12" xfId="10022"/>
    <cellStyle name="Note 54 13" xfId="10023"/>
    <cellStyle name="Note 54 14" xfId="10024"/>
    <cellStyle name="Note 54 15" xfId="10025"/>
    <cellStyle name="Note 54 16" xfId="10026"/>
    <cellStyle name="Note 54 17" xfId="10027"/>
    <cellStyle name="Note 54 18" xfId="10028"/>
    <cellStyle name="Note 54 19" xfId="10029"/>
    <cellStyle name="Note 54 2" xfId="10030"/>
    <cellStyle name="Note 54 20" xfId="10031"/>
    <cellStyle name="Note 54 21" xfId="10032"/>
    <cellStyle name="Note 54 3" xfId="10033"/>
    <cellStyle name="Note 54 4" xfId="10034"/>
    <cellStyle name="Note 54 5" xfId="10035"/>
    <cellStyle name="Note 54 6" xfId="10036"/>
    <cellStyle name="Note 54 7" xfId="10037"/>
    <cellStyle name="Note 54 8" xfId="10038"/>
    <cellStyle name="Note 54 9" xfId="10039"/>
    <cellStyle name="Note 55" xfId="3162"/>
    <cellStyle name="Note 55 10" xfId="10040"/>
    <cellStyle name="Note 55 11" xfId="10041"/>
    <cellStyle name="Note 55 12" xfId="10042"/>
    <cellStyle name="Note 55 13" xfId="10043"/>
    <cellStyle name="Note 55 14" xfId="10044"/>
    <cellStyle name="Note 55 15" xfId="10045"/>
    <cellStyle name="Note 55 16" xfId="10046"/>
    <cellStyle name="Note 55 17" xfId="10047"/>
    <cellStyle name="Note 55 18" xfId="10048"/>
    <cellStyle name="Note 55 19" xfId="10049"/>
    <cellStyle name="Note 55 2" xfId="10050"/>
    <cellStyle name="Note 55 20" xfId="10051"/>
    <cellStyle name="Note 55 21" xfId="10052"/>
    <cellStyle name="Note 55 3" xfId="10053"/>
    <cellStyle name="Note 55 4" xfId="10054"/>
    <cellStyle name="Note 55 5" xfId="10055"/>
    <cellStyle name="Note 55 6" xfId="10056"/>
    <cellStyle name="Note 55 7" xfId="10057"/>
    <cellStyle name="Note 55 8" xfId="10058"/>
    <cellStyle name="Note 55 9" xfId="10059"/>
    <cellStyle name="Note 56" xfId="3163"/>
    <cellStyle name="Note 56 10" xfId="10060"/>
    <cellStyle name="Note 56 11" xfId="10061"/>
    <cellStyle name="Note 56 12" xfId="10062"/>
    <cellStyle name="Note 56 13" xfId="10063"/>
    <cellStyle name="Note 56 14" xfId="10064"/>
    <cellStyle name="Note 56 15" xfId="10065"/>
    <cellStyle name="Note 56 16" xfId="10066"/>
    <cellStyle name="Note 56 17" xfId="10067"/>
    <cellStyle name="Note 56 18" xfId="10068"/>
    <cellStyle name="Note 56 19" xfId="10069"/>
    <cellStyle name="Note 56 2" xfId="10070"/>
    <cellStyle name="Note 56 20" xfId="10071"/>
    <cellStyle name="Note 56 21" xfId="10072"/>
    <cellStyle name="Note 56 3" xfId="10073"/>
    <cellStyle name="Note 56 4" xfId="10074"/>
    <cellStyle name="Note 56 5" xfId="10075"/>
    <cellStyle name="Note 56 6" xfId="10076"/>
    <cellStyle name="Note 56 7" xfId="10077"/>
    <cellStyle name="Note 56 8" xfId="10078"/>
    <cellStyle name="Note 56 9" xfId="10079"/>
    <cellStyle name="Note 57" xfId="3164"/>
    <cellStyle name="Note 57 10" xfId="10080"/>
    <cellStyle name="Note 57 11" xfId="10081"/>
    <cellStyle name="Note 57 12" xfId="10082"/>
    <cellStyle name="Note 57 13" xfId="10083"/>
    <cellStyle name="Note 57 14" xfId="10084"/>
    <cellStyle name="Note 57 15" xfId="10085"/>
    <cellStyle name="Note 57 16" xfId="10086"/>
    <cellStyle name="Note 57 17" xfId="10087"/>
    <cellStyle name="Note 57 18" xfId="10088"/>
    <cellStyle name="Note 57 19" xfId="10089"/>
    <cellStyle name="Note 57 2" xfId="10090"/>
    <cellStyle name="Note 57 20" xfId="10091"/>
    <cellStyle name="Note 57 21" xfId="10092"/>
    <cellStyle name="Note 57 3" xfId="10093"/>
    <cellStyle name="Note 57 4" xfId="10094"/>
    <cellStyle name="Note 57 5" xfId="10095"/>
    <cellStyle name="Note 57 6" xfId="10096"/>
    <cellStyle name="Note 57 7" xfId="10097"/>
    <cellStyle name="Note 57 8" xfId="10098"/>
    <cellStyle name="Note 57 9" xfId="10099"/>
    <cellStyle name="Note 58" xfId="3165"/>
    <cellStyle name="Note 58 10" xfId="10100"/>
    <cellStyle name="Note 58 11" xfId="10101"/>
    <cellStyle name="Note 58 12" xfId="10102"/>
    <cellStyle name="Note 58 13" xfId="10103"/>
    <cellStyle name="Note 58 14" xfId="10104"/>
    <cellStyle name="Note 58 15" xfId="10105"/>
    <cellStyle name="Note 58 16" xfId="10106"/>
    <cellStyle name="Note 58 17" xfId="10107"/>
    <cellStyle name="Note 58 18" xfId="10108"/>
    <cellStyle name="Note 58 19" xfId="10109"/>
    <cellStyle name="Note 58 2" xfId="10110"/>
    <cellStyle name="Note 58 20" xfId="10111"/>
    <cellStyle name="Note 58 21" xfId="10112"/>
    <cellStyle name="Note 58 3" xfId="10113"/>
    <cellStyle name="Note 58 4" xfId="10114"/>
    <cellStyle name="Note 58 5" xfId="10115"/>
    <cellStyle name="Note 58 6" xfId="10116"/>
    <cellStyle name="Note 58 7" xfId="10117"/>
    <cellStyle name="Note 58 8" xfId="10118"/>
    <cellStyle name="Note 58 9" xfId="10119"/>
    <cellStyle name="Note 59" xfId="3166"/>
    <cellStyle name="Note 59 10" xfId="10120"/>
    <cellStyle name="Note 59 11" xfId="10121"/>
    <cellStyle name="Note 59 12" xfId="10122"/>
    <cellStyle name="Note 59 13" xfId="10123"/>
    <cellStyle name="Note 59 14" xfId="10124"/>
    <cellStyle name="Note 59 15" xfId="10125"/>
    <cellStyle name="Note 59 16" xfId="10126"/>
    <cellStyle name="Note 59 17" xfId="10127"/>
    <cellStyle name="Note 59 18" xfId="10128"/>
    <cellStyle name="Note 59 19" xfId="10129"/>
    <cellStyle name="Note 59 2" xfId="10130"/>
    <cellStyle name="Note 59 20" xfId="10131"/>
    <cellStyle name="Note 59 21" xfId="10132"/>
    <cellStyle name="Note 59 3" xfId="10133"/>
    <cellStyle name="Note 59 4" xfId="10134"/>
    <cellStyle name="Note 59 5" xfId="10135"/>
    <cellStyle name="Note 59 6" xfId="10136"/>
    <cellStyle name="Note 59 7" xfId="10137"/>
    <cellStyle name="Note 59 8" xfId="10138"/>
    <cellStyle name="Note 59 9" xfId="10139"/>
    <cellStyle name="Note 6" xfId="3167"/>
    <cellStyle name="Note 6 10" xfId="10140"/>
    <cellStyle name="Note 6 11" xfId="10141"/>
    <cellStyle name="Note 6 12" xfId="10142"/>
    <cellStyle name="Note 6 13" xfId="10143"/>
    <cellStyle name="Note 6 14" xfId="10144"/>
    <cellStyle name="Note 6 15" xfId="10145"/>
    <cellStyle name="Note 6 16" xfId="10146"/>
    <cellStyle name="Note 6 17" xfId="10147"/>
    <cellStyle name="Note 6 18" xfId="10148"/>
    <cellStyle name="Note 6 19" xfId="10149"/>
    <cellStyle name="Note 6 2" xfId="10150"/>
    <cellStyle name="Note 6 20" xfId="10151"/>
    <cellStyle name="Note 6 21" xfId="10152"/>
    <cellStyle name="Note 6 3" xfId="10153"/>
    <cellStyle name="Note 6 4" xfId="10154"/>
    <cellStyle name="Note 6 5" xfId="10155"/>
    <cellStyle name="Note 6 6" xfId="10156"/>
    <cellStyle name="Note 6 7" xfId="10157"/>
    <cellStyle name="Note 6 8" xfId="10158"/>
    <cellStyle name="Note 6 9" xfId="10159"/>
    <cellStyle name="Note 60" xfId="3168"/>
    <cellStyle name="Note 60 10" xfId="10160"/>
    <cellStyle name="Note 60 11" xfId="10161"/>
    <cellStyle name="Note 60 12" xfId="10162"/>
    <cellStyle name="Note 60 13" xfId="10163"/>
    <cellStyle name="Note 60 14" xfId="10164"/>
    <cellStyle name="Note 60 15" xfId="10165"/>
    <cellStyle name="Note 60 16" xfId="10166"/>
    <cellStyle name="Note 60 17" xfId="10167"/>
    <cellStyle name="Note 60 18" xfId="10168"/>
    <cellStyle name="Note 60 19" xfId="10169"/>
    <cellStyle name="Note 60 2" xfId="10170"/>
    <cellStyle name="Note 60 20" xfId="10171"/>
    <cellStyle name="Note 60 21" xfId="10172"/>
    <cellStyle name="Note 60 3" xfId="10173"/>
    <cellStyle name="Note 60 4" xfId="10174"/>
    <cellStyle name="Note 60 5" xfId="10175"/>
    <cellStyle name="Note 60 6" xfId="10176"/>
    <cellStyle name="Note 60 7" xfId="10177"/>
    <cellStyle name="Note 60 8" xfId="10178"/>
    <cellStyle name="Note 60 9" xfId="10179"/>
    <cellStyle name="Note 61" xfId="3169"/>
    <cellStyle name="Note 61 10" xfId="10180"/>
    <cellStyle name="Note 61 11" xfId="10181"/>
    <cellStyle name="Note 61 12" xfId="10182"/>
    <cellStyle name="Note 61 13" xfId="10183"/>
    <cellStyle name="Note 61 14" xfId="10184"/>
    <cellStyle name="Note 61 15" xfId="10185"/>
    <cellStyle name="Note 61 16" xfId="10186"/>
    <cellStyle name="Note 61 17" xfId="10187"/>
    <cellStyle name="Note 61 18" xfId="10188"/>
    <cellStyle name="Note 61 19" xfId="10189"/>
    <cellStyle name="Note 61 2" xfId="10190"/>
    <cellStyle name="Note 61 20" xfId="10191"/>
    <cellStyle name="Note 61 21" xfId="10192"/>
    <cellStyle name="Note 61 3" xfId="10193"/>
    <cellStyle name="Note 61 4" xfId="10194"/>
    <cellStyle name="Note 61 5" xfId="10195"/>
    <cellStyle name="Note 61 6" xfId="10196"/>
    <cellStyle name="Note 61 7" xfId="10197"/>
    <cellStyle name="Note 61 8" xfId="10198"/>
    <cellStyle name="Note 61 9" xfId="10199"/>
    <cellStyle name="Note 62" xfId="3170"/>
    <cellStyle name="Note 62 10" xfId="10200"/>
    <cellStyle name="Note 62 11" xfId="10201"/>
    <cellStyle name="Note 62 12" xfId="10202"/>
    <cellStyle name="Note 62 13" xfId="10203"/>
    <cellStyle name="Note 62 14" xfId="10204"/>
    <cellStyle name="Note 62 15" xfId="10205"/>
    <cellStyle name="Note 62 16" xfId="10206"/>
    <cellStyle name="Note 62 17" xfId="10207"/>
    <cellStyle name="Note 62 18" xfId="10208"/>
    <cellStyle name="Note 62 19" xfId="10209"/>
    <cellStyle name="Note 62 2" xfId="10210"/>
    <cellStyle name="Note 62 20" xfId="10211"/>
    <cellStyle name="Note 62 21" xfId="10212"/>
    <cellStyle name="Note 62 3" xfId="10213"/>
    <cellStyle name="Note 62 4" xfId="10214"/>
    <cellStyle name="Note 62 5" xfId="10215"/>
    <cellStyle name="Note 62 6" xfId="10216"/>
    <cellStyle name="Note 62 7" xfId="10217"/>
    <cellStyle name="Note 62 8" xfId="10218"/>
    <cellStyle name="Note 62 9" xfId="10219"/>
    <cellStyle name="Note 63" xfId="3171"/>
    <cellStyle name="Note 63 10" xfId="10220"/>
    <cellStyle name="Note 63 11" xfId="10221"/>
    <cellStyle name="Note 63 12" xfId="10222"/>
    <cellStyle name="Note 63 13" xfId="10223"/>
    <cellStyle name="Note 63 14" xfId="10224"/>
    <cellStyle name="Note 63 15" xfId="10225"/>
    <cellStyle name="Note 63 16" xfId="10226"/>
    <cellStyle name="Note 63 17" xfId="10227"/>
    <cellStyle name="Note 63 18" xfId="10228"/>
    <cellStyle name="Note 63 19" xfId="10229"/>
    <cellStyle name="Note 63 2" xfId="10230"/>
    <cellStyle name="Note 63 20" xfId="10231"/>
    <cellStyle name="Note 63 21" xfId="10232"/>
    <cellStyle name="Note 63 3" xfId="10233"/>
    <cellStyle name="Note 63 4" xfId="10234"/>
    <cellStyle name="Note 63 5" xfId="10235"/>
    <cellStyle name="Note 63 6" xfId="10236"/>
    <cellStyle name="Note 63 7" xfId="10237"/>
    <cellStyle name="Note 63 8" xfId="10238"/>
    <cellStyle name="Note 63 9" xfId="10239"/>
    <cellStyle name="Note 64" xfId="3172"/>
    <cellStyle name="Note 64 10" xfId="10240"/>
    <cellStyle name="Note 64 11" xfId="10241"/>
    <cellStyle name="Note 64 12" xfId="10242"/>
    <cellStyle name="Note 64 13" xfId="10243"/>
    <cellStyle name="Note 64 14" xfId="10244"/>
    <cellStyle name="Note 64 15" xfId="10245"/>
    <cellStyle name="Note 64 16" xfId="10246"/>
    <cellStyle name="Note 64 17" xfId="10247"/>
    <cellStyle name="Note 64 18" xfId="10248"/>
    <cellStyle name="Note 64 19" xfId="10249"/>
    <cellStyle name="Note 64 2" xfId="10250"/>
    <cellStyle name="Note 64 20" xfId="10251"/>
    <cellStyle name="Note 64 21" xfId="10252"/>
    <cellStyle name="Note 64 3" xfId="10253"/>
    <cellStyle name="Note 64 4" xfId="10254"/>
    <cellStyle name="Note 64 5" xfId="10255"/>
    <cellStyle name="Note 64 6" xfId="10256"/>
    <cellStyle name="Note 64 7" xfId="10257"/>
    <cellStyle name="Note 64 8" xfId="10258"/>
    <cellStyle name="Note 64 9" xfId="10259"/>
    <cellStyle name="Note 65" xfId="3173"/>
    <cellStyle name="Note 65 10" xfId="10260"/>
    <cellStyle name="Note 65 11" xfId="10261"/>
    <cellStyle name="Note 65 12" xfId="10262"/>
    <cellStyle name="Note 65 13" xfId="10263"/>
    <cellStyle name="Note 65 14" xfId="10264"/>
    <cellStyle name="Note 65 15" xfId="10265"/>
    <cellStyle name="Note 65 16" xfId="10266"/>
    <cellStyle name="Note 65 17" xfId="10267"/>
    <cellStyle name="Note 65 18" xfId="10268"/>
    <cellStyle name="Note 65 19" xfId="10269"/>
    <cellStyle name="Note 65 2" xfId="10270"/>
    <cellStyle name="Note 65 20" xfId="10271"/>
    <cellStyle name="Note 65 21" xfId="10272"/>
    <cellStyle name="Note 65 3" xfId="10273"/>
    <cellStyle name="Note 65 4" xfId="10274"/>
    <cellStyle name="Note 65 5" xfId="10275"/>
    <cellStyle name="Note 65 6" xfId="10276"/>
    <cellStyle name="Note 65 7" xfId="10277"/>
    <cellStyle name="Note 65 8" xfId="10278"/>
    <cellStyle name="Note 65 9" xfId="10279"/>
    <cellStyle name="Note 66" xfId="3174"/>
    <cellStyle name="Note 66 10" xfId="10280"/>
    <cellStyle name="Note 66 11" xfId="10281"/>
    <cellStyle name="Note 66 12" xfId="10282"/>
    <cellStyle name="Note 66 13" xfId="10283"/>
    <cellStyle name="Note 66 14" xfId="10284"/>
    <cellStyle name="Note 66 15" xfId="10285"/>
    <cellStyle name="Note 66 16" xfId="10286"/>
    <cellStyle name="Note 66 17" xfId="10287"/>
    <cellStyle name="Note 66 18" xfId="10288"/>
    <cellStyle name="Note 66 19" xfId="10289"/>
    <cellStyle name="Note 66 2" xfId="10290"/>
    <cellStyle name="Note 66 20" xfId="10291"/>
    <cellStyle name="Note 66 21" xfId="10292"/>
    <cellStyle name="Note 66 3" xfId="10293"/>
    <cellStyle name="Note 66 4" xfId="10294"/>
    <cellStyle name="Note 66 5" xfId="10295"/>
    <cellStyle name="Note 66 6" xfId="10296"/>
    <cellStyle name="Note 66 7" xfId="10297"/>
    <cellStyle name="Note 66 8" xfId="10298"/>
    <cellStyle name="Note 66 9" xfId="10299"/>
    <cellStyle name="Note 67" xfId="3175"/>
    <cellStyle name="Note 67 10" xfId="10300"/>
    <cellStyle name="Note 67 11" xfId="10301"/>
    <cellStyle name="Note 67 12" xfId="10302"/>
    <cellStyle name="Note 67 13" xfId="10303"/>
    <cellStyle name="Note 67 14" xfId="10304"/>
    <cellStyle name="Note 67 15" xfId="10305"/>
    <cellStyle name="Note 67 16" xfId="10306"/>
    <cellStyle name="Note 67 17" xfId="10307"/>
    <cellStyle name="Note 67 18" xfId="10308"/>
    <cellStyle name="Note 67 19" xfId="10309"/>
    <cellStyle name="Note 67 2" xfId="10310"/>
    <cellStyle name="Note 67 20" xfId="10311"/>
    <cellStyle name="Note 67 21" xfId="10312"/>
    <cellStyle name="Note 67 3" xfId="10313"/>
    <cellStyle name="Note 67 4" xfId="10314"/>
    <cellStyle name="Note 67 5" xfId="10315"/>
    <cellStyle name="Note 67 6" xfId="10316"/>
    <cellStyle name="Note 67 7" xfId="10317"/>
    <cellStyle name="Note 67 8" xfId="10318"/>
    <cellStyle name="Note 67 9" xfId="10319"/>
    <cellStyle name="Note 68" xfId="3176"/>
    <cellStyle name="Note 68 10" xfId="10320"/>
    <cellStyle name="Note 68 11" xfId="10321"/>
    <cellStyle name="Note 68 12" xfId="10322"/>
    <cellStyle name="Note 68 13" xfId="10323"/>
    <cellStyle name="Note 68 14" xfId="10324"/>
    <cellStyle name="Note 68 15" xfId="10325"/>
    <cellStyle name="Note 68 16" xfId="10326"/>
    <cellStyle name="Note 68 17" xfId="10327"/>
    <cellStyle name="Note 68 18" xfId="10328"/>
    <cellStyle name="Note 68 19" xfId="10329"/>
    <cellStyle name="Note 68 2" xfId="10330"/>
    <cellStyle name="Note 68 20" xfId="10331"/>
    <cellStyle name="Note 68 21" xfId="10332"/>
    <cellStyle name="Note 68 3" xfId="10333"/>
    <cellStyle name="Note 68 4" xfId="10334"/>
    <cellStyle name="Note 68 5" xfId="10335"/>
    <cellStyle name="Note 68 6" xfId="10336"/>
    <cellStyle name="Note 68 7" xfId="10337"/>
    <cellStyle name="Note 68 8" xfId="10338"/>
    <cellStyle name="Note 68 9" xfId="10339"/>
    <cellStyle name="Note 69" xfId="3177"/>
    <cellStyle name="Note 69 10" xfId="10340"/>
    <cellStyle name="Note 69 11" xfId="10341"/>
    <cellStyle name="Note 69 12" xfId="10342"/>
    <cellStyle name="Note 69 13" xfId="10343"/>
    <cellStyle name="Note 69 14" xfId="10344"/>
    <cellStyle name="Note 69 15" xfId="10345"/>
    <cellStyle name="Note 69 16" xfId="10346"/>
    <cellStyle name="Note 69 17" xfId="10347"/>
    <cellStyle name="Note 69 18" xfId="10348"/>
    <cellStyle name="Note 69 19" xfId="10349"/>
    <cellStyle name="Note 69 2" xfId="10350"/>
    <cellStyle name="Note 69 20" xfId="10351"/>
    <cellStyle name="Note 69 21" xfId="10352"/>
    <cellStyle name="Note 69 3" xfId="10353"/>
    <cellStyle name="Note 69 4" xfId="10354"/>
    <cellStyle name="Note 69 5" xfId="10355"/>
    <cellStyle name="Note 69 6" xfId="10356"/>
    <cellStyle name="Note 69 7" xfId="10357"/>
    <cellStyle name="Note 69 8" xfId="10358"/>
    <cellStyle name="Note 69 9" xfId="10359"/>
    <cellStyle name="Note 7" xfId="3178"/>
    <cellStyle name="Note 7 10" xfId="10360"/>
    <cellStyle name="Note 7 11" xfId="10361"/>
    <cellStyle name="Note 7 12" xfId="10362"/>
    <cellStyle name="Note 7 13" xfId="10363"/>
    <cellStyle name="Note 7 14" xfId="10364"/>
    <cellStyle name="Note 7 15" xfId="10365"/>
    <cellStyle name="Note 7 16" xfId="10366"/>
    <cellStyle name="Note 7 17" xfId="10367"/>
    <cellStyle name="Note 7 18" xfId="10368"/>
    <cellStyle name="Note 7 19" xfId="10369"/>
    <cellStyle name="Note 7 2" xfId="10370"/>
    <cellStyle name="Note 7 20" xfId="10371"/>
    <cellStyle name="Note 7 21" xfId="10372"/>
    <cellStyle name="Note 7 3" xfId="10373"/>
    <cellStyle name="Note 7 4" xfId="10374"/>
    <cellStyle name="Note 7 5" xfId="10375"/>
    <cellStyle name="Note 7 6" xfId="10376"/>
    <cellStyle name="Note 7 7" xfId="10377"/>
    <cellStyle name="Note 7 8" xfId="10378"/>
    <cellStyle name="Note 7 9" xfId="10379"/>
    <cellStyle name="Note 70" xfId="3179"/>
    <cellStyle name="Note 70 10" xfId="10380"/>
    <cellStyle name="Note 70 11" xfId="10381"/>
    <cellStyle name="Note 70 12" xfId="10382"/>
    <cellStyle name="Note 70 13" xfId="10383"/>
    <cellStyle name="Note 70 14" xfId="10384"/>
    <cellStyle name="Note 70 15" xfId="10385"/>
    <cellStyle name="Note 70 16" xfId="10386"/>
    <cellStyle name="Note 70 17" xfId="10387"/>
    <cellStyle name="Note 70 18" xfId="10388"/>
    <cellStyle name="Note 70 19" xfId="10389"/>
    <cellStyle name="Note 70 2" xfId="10390"/>
    <cellStyle name="Note 70 20" xfId="10391"/>
    <cellStyle name="Note 70 21" xfId="10392"/>
    <cellStyle name="Note 70 3" xfId="10393"/>
    <cellStyle name="Note 70 4" xfId="10394"/>
    <cellStyle name="Note 70 5" xfId="10395"/>
    <cellStyle name="Note 70 6" xfId="10396"/>
    <cellStyle name="Note 70 7" xfId="10397"/>
    <cellStyle name="Note 70 8" xfId="10398"/>
    <cellStyle name="Note 70 9" xfId="10399"/>
    <cellStyle name="Note 71" xfId="3180"/>
    <cellStyle name="Note 71 10" xfId="10400"/>
    <cellStyle name="Note 71 11" xfId="10401"/>
    <cellStyle name="Note 71 12" xfId="10402"/>
    <cellStyle name="Note 71 13" xfId="10403"/>
    <cellStyle name="Note 71 14" xfId="10404"/>
    <cellStyle name="Note 71 15" xfId="10405"/>
    <cellStyle name="Note 71 16" xfId="10406"/>
    <cellStyle name="Note 71 17" xfId="10407"/>
    <cellStyle name="Note 71 18" xfId="10408"/>
    <cellStyle name="Note 71 19" xfId="10409"/>
    <cellStyle name="Note 71 2" xfId="10410"/>
    <cellStyle name="Note 71 20" xfId="10411"/>
    <cellStyle name="Note 71 21" xfId="10412"/>
    <cellStyle name="Note 71 3" xfId="10413"/>
    <cellStyle name="Note 71 4" xfId="10414"/>
    <cellStyle name="Note 71 5" xfId="10415"/>
    <cellStyle name="Note 71 6" xfId="10416"/>
    <cellStyle name="Note 71 7" xfId="10417"/>
    <cellStyle name="Note 71 8" xfId="10418"/>
    <cellStyle name="Note 71 9" xfId="10419"/>
    <cellStyle name="Note 72" xfId="3181"/>
    <cellStyle name="Note 72 10" xfId="10420"/>
    <cellStyle name="Note 72 11" xfId="10421"/>
    <cellStyle name="Note 72 12" xfId="10422"/>
    <cellStyle name="Note 72 13" xfId="10423"/>
    <cellStyle name="Note 72 14" xfId="10424"/>
    <cellStyle name="Note 72 15" xfId="10425"/>
    <cellStyle name="Note 72 16" xfId="10426"/>
    <cellStyle name="Note 72 17" xfId="10427"/>
    <cellStyle name="Note 72 18" xfId="10428"/>
    <cellStyle name="Note 72 19" xfId="10429"/>
    <cellStyle name="Note 72 2" xfId="10430"/>
    <cellStyle name="Note 72 20" xfId="10431"/>
    <cellStyle name="Note 72 21" xfId="10432"/>
    <cellStyle name="Note 72 3" xfId="10433"/>
    <cellStyle name="Note 72 4" xfId="10434"/>
    <cellStyle name="Note 72 5" xfId="10435"/>
    <cellStyle name="Note 72 6" xfId="10436"/>
    <cellStyle name="Note 72 7" xfId="10437"/>
    <cellStyle name="Note 72 8" xfId="10438"/>
    <cellStyle name="Note 72 9" xfId="10439"/>
    <cellStyle name="Note 73" xfId="3182"/>
    <cellStyle name="Note 73 10" xfId="10440"/>
    <cellStyle name="Note 73 11" xfId="10441"/>
    <cellStyle name="Note 73 12" xfId="10442"/>
    <cellStyle name="Note 73 13" xfId="10443"/>
    <cellStyle name="Note 73 14" xfId="10444"/>
    <cellStyle name="Note 73 15" xfId="10445"/>
    <cellStyle name="Note 73 16" xfId="10446"/>
    <cellStyle name="Note 73 17" xfId="10447"/>
    <cellStyle name="Note 73 18" xfId="10448"/>
    <cellStyle name="Note 73 19" xfId="10449"/>
    <cellStyle name="Note 73 2" xfId="10450"/>
    <cellStyle name="Note 73 20" xfId="10451"/>
    <cellStyle name="Note 73 21" xfId="10452"/>
    <cellStyle name="Note 73 3" xfId="10453"/>
    <cellStyle name="Note 73 4" xfId="10454"/>
    <cellStyle name="Note 73 5" xfId="10455"/>
    <cellStyle name="Note 73 6" xfId="10456"/>
    <cellStyle name="Note 73 7" xfId="10457"/>
    <cellStyle name="Note 73 8" xfId="10458"/>
    <cellStyle name="Note 73 9" xfId="10459"/>
    <cellStyle name="Note 74" xfId="3183"/>
    <cellStyle name="Note 74 10" xfId="10460"/>
    <cellStyle name="Note 74 11" xfId="10461"/>
    <cellStyle name="Note 74 12" xfId="10462"/>
    <cellStyle name="Note 74 13" xfId="10463"/>
    <cellStyle name="Note 74 14" xfId="10464"/>
    <cellStyle name="Note 74 15" xfId="10465"/>
    <cellStyle name="Note 74 16" xfId="10466"/>
    <cellStyle name="Note 74 17" xfId="10467"/>
    <cellStyle name="Note 74 18" xfId="10468"/>
    <cellStyle name="Note 74 19" xfId="10469"/>
    <cellStyle name="Note 74 2" xfId="10470"/>
    <cellStyle name="Note 74 20" xfId="10471"/>
    <cellStyle name="Note 74 21" xfId="10472"/>
    <cellStyle name="Note 74 3" xfId="10473"/>
    <cellStyle name="Note 74 4" xfId="10474"/>
    <cellStyle name="Note 74 5" xfId="10475"/>
    <cellStyle name="Note 74 6" xfId="10476"/>
    <cellStyle name="Note 74 7" xfId="10477"/>
    <cellStyle name="Note 74 8" xfId="10478"/>
    <cellStyle name="Note 74 9" xfId="10479"/>
    <cellStyle name="Note 75" xfId="3184"/>
    <cellStyle name="Note 75 10" xfId="10480"/>
    <cellStyle name="Note 75 11" xfId="10481"/>
    <cellStyle name="Note 75 12" xfId="10482"/>
    <cellStyle name="Note 75 13" xfId="10483"/>
    <cellStyle name="Note 75 14" xfId="10484"/>
    <cellStyle name="Note 75 15" xfId="10485"/>
    <cellStyle name="Note 75 16" xfId="10486"/>
    <cellStyle name="Note 75 17" xfId="10487"/>
    <cellStyle name="Note 75 18" xfId="10488"/>
    <cellStyle name="Note 75 19" xfId="10489"/>
    <cellStyle name="Note 75 2" xfId="10490"/>
    <cellStyle name="Note 75 20" xfId="10491"/>
    <cellStyle name="Note 75 21" xfId="10492"/>
    <cellStyle name="Note 75 3" xfId="10493"/>
    <cellStyle name="Note 75 4" xfId="10494"/>
    <cellStyle name="Note 75 5" xfId="10495"/>
    <cellStyle name="Note 75 6" xfId="10496"/>
    <cellStyle name="Note 75 7" xfId="10497"/>
    <cellStyle name="Note 75 8" xfId="10498"/>
    <cellStyle name="Note 75 9" xfId="10499"/>
    <cellStyle name="Note 76" xfId="3185"/>
    <cellStyle name="Note 76 10" xfId="10500"/>
    <cellStyle name="Note 76 11" xfId="10501"/>
    <cellStyle name="Note 76 12" xfId="10502"/>
    <cellStyle name="Note 76 13" xfId="10503"/>
    <cellStyle name="Note 76 14" xfId="10504"/>
    <cellStyle name="Note 76 15" xfId="10505"/>
    <cellStyle name="Note 76 16" xfId="10506"/>
    <cellStyle name="Note 76 17" xfId="10507"/>
    <cellStyle name="Note 76 18" xfId="10508"/>
    <cellStyle name="Note 76 19" xfId="10509"/>
    <cellStyle name="Note 76 2" xfId="10510"/>
    <cellStyle name="Note 76 20" xfId="10511"/>
    <cellStyle name="Note 76 21" xfId="10512"/>
    <cellStyle name="Note 76 3" xfId="10513"/>
    <cellStyle name="Note 76 4" xfId="10514"/>
    <cellStyle name="Note 76 5" xfId="10515"/>
    <cellStyle name="Note 76 6" xfId="10516"/>
    <cellStyle name="Note 76 7" xfId="10517"/>
    <cellStyle name="Note 76 8" xfId="10518"/>
    <cellStyle name="Note 76 9" xfId="10519"/>
    <cellStyle name="Note 77" xfId="3186"/>
    <cellStyle name="Note 77 10" xfId="10520"/>
    <cellStyle name="Note 77 11" xfId="10521"/>
    <cellStyle name="Note 77 12" xfId="10522"/>
    <cellStyle name="Note 77 13" xfId="10523"/>
    <cellStyle name="Note 77 14" xfId="10524"/>
    <cellStyle name="Note 77 15" xfId="10525"/>
    <cellStyle name="Note 77 16" xfId="10526"/>
    <cellStyle name="Note 77 17" xfId="10527"/>
    <cellStyle name="Note 77 18" xfId="10528"/>
    <cellStyle name="Note 77 19" xfId="10529"/>
    <cellStyle name="Note 77 2" xfId="10530"/>
    <cellStyle name="Note 77 20" xfId="10531"/>
    <cellStyle name="Note 77 21" xfId="10532"/>
    <cellStyle name="Note 77 3" xfId="10533"/>
    <cellStyle name="Note 77 4" xfId="10534"/>
    <cellStyle name="Note 77 5" xfId="10535"/>
    <cellStyle name="Note 77 6" xfId="10536"/>
    <cellStyle name="Note 77 7" xfId="10537"/>
    <cellStyle name="Note 77 8" xfId="10538"/>
    <cellStyle name="Note 77 9" xfId="10539"/>
    <cellStyle name="Note 78" xfId="3187"/>
    <cellStyle name="Note 78 10" xfId="10540"/>
    <cellStyle name="Note 78 11" xfId="10541"/>
    <cellStyle name="Note 78 12" xfId="10542"/>
    <cellStyle name="Note 78 13" xfId="10543"/>
    <cellStyle name="Note 78 14" xfId="10544"/>
    <cellStyle name="Note 78 15" xfId="10545"/>
    <cellStyle name="Note 78 16" xfId="10546"/>
    <cellStyle name="Note 78 17" xfId="10547"/>
    <cellStyle name="Note 78 18" xfId="10548"/>
    <cellStyle name="Note 78 19" xfId="10549"/>
    <cellStyle name="Note 78 2" xfId="10550"/>
    <cellStyle name="Note 78 20" xfId="10551"/>
    <cellStyle name="Note 78 21" xfId="10552"/>
    <cellStyle name="Note 78 3" xfId="10553"/>
    <cellStyle name="Note 78 4" xfId="10554"/>
    <cellStyle name="Note 78 5" xfId="10555"/>
    <cellStyle name="Note 78 6" xfId="10556"/>
    <cellStyle name="Note 78 7" xfId="10557"/>
    <cellStyle name="Note 78 8" xfId="10558"/>
    <cellStyle name="Note 78 9" xfId="10559"/>
    <cellStyle name="Note 79" xfId="3188"/>
    <cellStyle name="Note 79 10" xfId="10560"/>
    <cellStyle name="Note 79 11" xfId="10561"/>
    <cellStyle name="Note 79 12" xfId="10562"/>
    <cellStyle name="Note 79 13" xfId="10563"/>
    <cellStyle name="Note 79 14" xfId="10564"/>
    <cellStyle name="Note 79 15" xfId="10565"/>
    <cellStyle name="Note 79 16" xfId="10566"/>
    <cellStyle name="Note 79 17" xfId="10567"/>
    <cellStyle name="Note 79 18" xfId="10568"/>
    <cellStyle name="Note 79 19" xfId="10569"/>
    <cellStyle name="Note 79 2" xfId="10570"/>
    <cellStyle name="Note 79 20" xfId="10571"/>
    <cellStyle name="Note 79 21" xfId="10572"/>
    <cellStyle name="Note 79 3" xfId="10573"/>
    <cellStyle name="Note 79 4" xfId="10574"/>
    <cellStyle name="Note 79 5" xfId="10575"/>
    <cellStyle name="Note 79 6" xfId="10576"/>
    <cellStyle name="Note 79 7" xfId="10577"/>
    <cellStyle name="Note 79 8" xfId="10578"/>
    <cellStyle name="Note 79 9" xfId="10579"/>
    <cellStyle name="Note 8" xfId="3189"/>
    <cellStyle name="Note 8 10" xfId="10580"/>
    <cellStyle name="Note 8 11" xfId="10581"/>
    <cellStyle name="Note 8 12" xfId="10582"/>
    <cellStyle name="Note 8 13" xfId="10583"/>
    <cellStyle name="Note 8 14" xfId="10584"/>
    <cellStyle name="Note 8 15" xfId="10585"/>
    <cellStyle name="Note 8 16" xfId="10586"/>
    <cellStyle name="Note 8 17" xfId="10587"/>
    <cellStyle name="Note 8 18" xfId="10588"/>
    <cellStyle name="Note 8 19" xfId="10589"/>
    <cellStyle name="Note 8 2" xfId="10590"/>
    <cellStyle name="Note 8 20" xfId="10591"/>
    <cellStyle name="Note 8 21" xfId="10592"/>
    <cellStyle name="Note 8 3" xfId="10593"/>
    <cellStyle name="Note 8 4" xfId="10594"/>
    <cellStyle name="Note 8 5" xfId="10595"/>
    <cellStyle name="Note 8 6" xfId="10596"/>
    <cellStyle name="Note 8 7" xfId="10597"/>
    <cellStyle name="Note 8 8" xfId="10598"/>
    <cellStyle name="Note 8 9" xfId="10599"/>
    <cellStyle name="Note 80" xfId="3190"/>
    <cellStyle name="Note 80 10" xfId="10600"/>
    <cellStyle name="Note 80 11" xfId="10601"/>
    <cellStyle name="Note 80 12" xfId="10602"/>
    <cellStyle name="Note 80 13" xfId="10603"/>
    <cellStyle name="Note 80 14" xfId="10604"/>
    <cellStyle name="Note 80 15" xfId="10605"/>
    <cellStyle name="Note 80 16" xfId="10606"/>
    <cellStyle name="Note 80 17" xfId="10607"/>
    <cellStyle name="Note 80 18" xfId="10608"/>
    <cellStyle name="Note 80 19" xfId="10609"/>
    <cellStyle name="Note 80 2" xfId="10610"/>
    <cellStyle name="Note 80 20" xfId="10611"/>
    <cellStyle name="Note 80 21" xfId="10612"/>
    <cellStyle name="Note 80 3" xfId="10613"/>
    <cellStyle name="Note 80 4" xfId="10614"/>
    <cellStyle name="Note 80 5" xfId="10615"/>
    <cellStyle name="Note 80 6" xfId="10616"/>
    <cellStyle name="Note 80 7" xfId="10617"/>
    <cellStyle name="Note 80 8" xfId="10618"/>
    <cellStyle name="Note 80 9" xfId="10619"/>
    <cellStyle name="Note 81" xfId="3191"/>
    <cellStyle name="Note 81 10" xfId="10620"/>
    <cellStyle name="Note 81 11" xfId="10621"/>
    <cellStyle name="Note 81 12" xfId="10622"/>
    <cellStyle name="Note 81 13" xfId="10623"/>
    <cellStyle name="Note 81 14" xfId="10624"/>
    <cellStyle name="Note 81 15" xfId="10625"/>
    <cellStyle name="Note 81 16" xfId="10626"/>
    <cellStyle name="Note 81 17" xfId="10627"/>
    <cellStyle name="Note 81 18" xfId="10628"/>
    <cellStyle name="Note 81 19" xfId="10629"/>
    <cellStyle name="Note 81 2" xfId="10630"/>
    <cellStyle name="Note 81 20" xfId="10631"/>
    <cellStyle name="Note 81 21" xfId="10632"/>
    <cellStyle name="Note 81 3" xfId="10633"/>
    <cellStyle name="Note 81 4" xfId="10634"/>
    <cellStyle name="Note 81 5" xfId="10635"/>
    <cellStyle name="Note 81 6" xfId="10636"/>
    <cellStyle name="Note 81 7" xfId="10637"/>
    <cellStyle name="Note 81 8" xfId="10638"/>
    <cellStyle name="Note 81 9" xfId="10639"/>
    <cellStyle name="Note 82" xfId="3192"/>
    <cellStyle name="Note 82 10" xfId="10640"/>
    <cellStyle name="Note 82 11" xfId="10641"/>
    <cellStyle name="Note 82 12" xfId="10642"/>
    <cellStyle name="Note 82 13" xfId="10643"/>
    <cellStyle name="Note 82 14" xfId="10644"/>
    <cellStyle name="Note 82 15" xfId="10645"/>
    <cellStyle name="Note 82 16" xfId="10646"/>
    <cellStyle name="Note 82 17" xfId="10647"/>
    <cellStyle name="Note 82 18" xfId="10648"/>
    <cellStyle name="Note 82 19" xfId="10649"/>
    <cellStyle name="Note 82 2" xfId="10650"/>
    <cellStyle name="Note 82 20" xfId="10651"/>
    <cellStyle name="Note 82 21" xfId="10652"/>
    <cellStyle name="Note 82 3" xfId="10653"/>
    <cellStyle name="Note 82 4" xfId="10654"/>
    <cellStyle name="Note 82 5" xfId="10655"/>
    <cellStyle name="Note 82 6" xfId="10656"/>
    <cellStyle name="Note 82 7" xfId="10657"/>
    <cellStyle name="Note 82 8" xfId="10658"/>
    <cellStyle name="Note 82 9" xfId="10659"/>
    <cellStyle name="Note 83" xfId="3193"/>
    <cellStyle name="Note 83 10" xfId="10660"/>
    <cellStyle name="Note 83 11" xfId="10661"/>
    <cellStyle name="Note 83 12" xfId="10662"/>
    <cellStyle name="Note 83 13" xfId="10663"/>
    <cellStyle name="Note 83 14" xfId="10664"/>
    <cellStyle name="Note 83 15" xfId="10665"/>
    <cellStyle name="Note 83 16" xfId="10666"/>
    <cellStyle name="Note 83 17" xfId="10667"/>
    <cellStyle name="Note 83 18" xfId="10668"/>
    <cellStyle name="Note 83 19" xfId="10669"/>
    <cellStyle name="Note 83 2" xfId="10670"/>
    <cellStyle name="Note 83 20" xfId="10671"/>
    <cellStyle name="Note 83 21" xfId="10672"/>
    <cellStyle name="Note 83 3" xfId="10673"/>
    <cellStyle name="Note 83 4" xfId="10674"/>
    <cellStyle name="Note 83 5" xfId="10675"/>
    <cellStyle name="Note 83 6" xfId="10676"/>
    <cellStyle name="Note 83 7" xfId="10677"/>
    <cellStyle name="Note 83 8" xfId="10678"/>
    <cellStyle name="Note 83 9" xfId="10679"/>
    <cellStyle name="Note 84" xfId="3194"/>
    <cellStyle name="Note 84 10" xfId="10680"/>
    <cellStyle name="Note 84 11" xfId="10681"/>
    <cellStyle name="Note 84 12" xfId="10682"/>
    <cellStyle name="Note 84 13" xfId="10683"/>
    <cellStyle name="Note 84 14" xfId="10684"/>
    <cellStyle name="Note 84 15" xfId="10685"/>
    <cellStyle name="Note 84 16" xfId="10686"/>
    <cellStyle name="Note 84 17" xfId="10687"/>
    <cellStyle name="Note 84 18" xfId="10688"/>
    <cellStyle name="Note 84 19" xfId="10689"/>
    <cellStyle name="Note 84 2" xfId="10690"/>
    <cellStyle name="Note 84 20" xfId="10691"/>
    <cellStyle name="Note 84 21" xfId="10692"/>
    <cellStyle name="Note 84 3" xfId="10693"/>
    <cellStyle name="Note 84 4" xfId="10694"/>
    <cellStyle name="Note 84 5" xfId="10695"/>
    <cellStyle name="Note 84 6" xfId="10696"/>
    <cellStyle name="Note 84 7" xfId="10697"/>
    <cellStyle name="Note 84 8" xfId="10698"/>
    <cellStyle name="Note 84 9" xfId="10699"/>
    <cellStyle name="Note 85" xfId="3195"/>
    <cellStyle name="Note 85 10" xfId="10700"/>
    <cellStyle name="Note 85 11" xfId="10701"/>
    <cellStyle name="Note 85 12" xfId="10702"/>
    <cellStyle name="Note 85 13" xfId="10703"/>
    <cellStyle name="Note 85 14" xfId="10704"/>
    <cellStyle name="Note 85 15" xfId="10705"/>
    <cellStyle name="Note 85 16" xfId="10706"/>
    <cellStyle name="Note 85 17" xfId="10707"/>
    <cellStyle name="Note 85 18" xfId="10708"/>
    <cellStyle name="Note 85 19" xfId="10709"/>
    <cellStyle name="Note 85 2" xfId="10710"/>
    <cellStyle name="Note 85 20" xfId="10711"/>
    <cellStyle name="Note 85 21" xfId="10712"/>
    <cellStyle name="Note 85 3" xfId="10713"/>
    <cellStyle name="Note 85 4" xfId="10714"/>
    <cellStyle name="Note 85 5" xfId="10715"/>
    <cellStyle name="Note 85 6" xfId="10716"/>
    <cellStyle name="Note 85 7" xfId="10717"/>
    <cellStyle name="Note 85 8" xfId="10718"/>
    <cellStyle name="Note 85 9" xfId="10719"/>
    <cellStyle name="Note 86" xfId="3196"/>
    <cellStyle name="Note 86 10" xfId="10720"/>
    <cellStyle name="Note 86 11" xfId="10721"/>
    <cellStyle name="Note 86 12" xfId="10722"/>
    <cellStyle name="Note 86 13" xfId="10723"/>
    <cellStyle name="Note 86 14" xfId="10724"/>
    <cellStyle name="Note 86 15" xfId="10725"/>
    <cellStyle name="Note 86 16" xfId="10726"/>
    <cellStyle name="Note 86 17" xfId="10727"/>
    <cellStyle name="Note 86 18" xfId="10728"/>
    <cellStyle name="Note 86 19" xfId="10729"/>
    <cellStyle name="Note 86 2" xfId="10730"/>
    <cellStyle name="Note 86 20" xfId="10731"/>
    <cellStyle name="Note 86 21" xfId="10732"/>
    <cellStyle name="Note 86 3" xfId="10733"/>
    <cellStyle name="Note 86 4" xfId="10734"/>
    <cellStyle name="Note 86 5" xfId="10735"/>
    <cellStyle name="Note 86 6" xfId="10736"/>
    <cellStyle name="Note 86 7" xfId="10737"/>
    <cellStyle name="Note 86 8" xfId="10738"/>
    <cellStyle name="Note 86 9" xfId="10739"/>
    <cellStyle name="Note 87" xfId="3197"/>
    <cellStyle name="Note 87 10" xfId="10740"/>
    <cellStyle name="Note 87 11" xfId="10741"/>
    <cellStyle name="Note 87 12" xfId="10742"/>
    <cellStyle name="Note 87 13" xfId="10743"/>
    <cellStyle name="Note 87 14" xfId="10744"/>
    <cellStyle name="Note 87 15" xfId="10745"/>
    <cellStyle name="Note 87 16" xfId="10746"/>
    <cellStyle name="Note 87 17" xfId="10747"/>
    <cellStyle name="Note 87 18" xfId="10748"/>
    <cellStyle name="Note 87 19" xfId="10749"/>
    <cellStyle name="Note 87 2" xfId="10750"/>
    <cellStyle name="Note 87 20" xfId="10751"/>
    <cellStyle name="Note 87 21" xfId="10752"/>
    <cellStyle name="Note 87 3" xfId="10753"/>
    <cellStyle name="Note 87 4" xfId="10754"/>
    <cellStyle name="Note 87 5" xfId="10755"/>
    <cellStyle name="Note 87 6" xfId="10756"/>
    <cellStyle name="Note 87 7" xfId="10757"/>
    <cellStyle name="Note 87 8" xfId="10758"/>
    <cellStyle name="Note 87 9" xfId="10759"/>
    <cellStyle name="Note 88" xfId="3198"/>
    <cellStyle name="Note 88 10" xfId="10760"/>
    <cellStyle name="Note 88 11" xfId="10761"/>
    <cellStyle name="Note 88 12" xfId="10762"/>
    <cellStyle name="Note 88 13" xfId="10763"/>
    <cellStyle name="Note 88 14" xfId="10764"/>
    <cellStyle name="Note 88 15" xfId="10765"/>
    <cellStyle name="Note 88 16" xfId="10766"/>
    <cellStyle name="Note 88 17" xfId="10767"/>
    <cellStyle name="Note 88 18" xfId="10768"/>
    <cellStyle name="Note 88 19" xfId="10769"/>
    <cellStyle name="Note 88 2" xfId="10770"/>
    <cellStyle name="Note 88 20" xfId="10771"/>
    <cellStyle name="Note 88 21" xfId="10772"/>
    <cellStyle name="Note 88 3" xfId="10773"/>
    <cellStyle name="Note 88 4" xfId="10774"/>
    <cellStyle name="Note 88 5" xfId="10775"/>
    <cellStyle name="Note 88 6" xfId="10776"/>
    <cellStyle name="Note 88 7" xfId="10777"/>
    <cellStyle name="Note 88 8" xfId="10778"/>
    <cellStyle name="Note 88 9" xfId="10779"/>
    <cellStyle name="Note 89" xfId="3199"/>
    <cellStyle name="Note 89 10" xfId="10780"/>
    <cellStyle name="Note 89 11" xfId="10781"/>
    <cellStyle name="Note 89 12" xfId="10782"/>
    <cellStyle name="Note 89 13" xfId="10783"/>
    <cellStyle name="Note 89 14" xfId="10784"/>
    <cellStyle name="Note 89 15" xfId="10785"/>
    <cellStyle name="Note 89 16" xfId="10786"/>
    <cellStyle name="Note 89 17" xfId="10787"/>
    <cellStyle name="Note 89 18" xfId="10788"/>
    <cellStyle name="Note 89 19" xfId="10789"/>
    <cellStyle name="Note 89 2" xfId="10790"/>
    <cellStyle name="Note 89 20" xfId="10791"/>
    <cellStyle name="Note 89 21" xfId="10792"/>
    <cellStyle name="Note 89 3" xfId="10793"/>
    <cellStyle name="Note 89 4" xfId="10794"/>
    <cellStyle name="Note 89 5" xfId="10795"/>
    <cellStyle name="Note 89 6" xfId="10796"/>
    <cellStyle name="Note 89 7" xfId="10797"/>
    <cellStyle name="Note 89 8" xfId="10798"/>
    <cellStyle name="Note 89 9" xfId="10799"/>
    <cellStyle name="Note 9" xfId="3200"/>
    <cellStyle name="Note 9 10" xfId="10800"/>
    <cellStyle name="Note 9 11" xfId="10801"/>
    <cellStyle name="Note 9 12" xfId="10802"/>
    <cellStyle name="Note 9 13" xfId="10803"/>
    <cellStyle name="Note 9 14" xfId="10804"/>
    <cellStyle name="Note 9 15" xfId="10805"/>
    <cellStyle name="Note 9 16" xfId="10806"/>
    <cellStyle name="Note 9 17" xfId="10807"/>
    <cellStyle name="Note 9 18" xfId="10808"/>
    <cellStyle name="Note 9 19" xfId="10809"/>
    <cellStyle name="Note 9 2" xfId="10810"/>
    <cellStyle name="Note 9 20" xfId="10811"/>
    <cellStyle name="Note 9 21" xfId="10812"/>
    <cellStyle name="Note 9 3" xfId="10813"/>
    <cellStyle name="Note 9 4" xfId="10814"/>
    <cellStyle name="Note 9 5" xfId="10815"/>
    <cellStyle name="Note 9 6" xfId="10816"/>
    <cellStyle name="Note 9 7" xfId="10817"/>
    <cellStyle name="Note 9 8" xfId="10818"/>
    <cellStyle name="Note 9 9" xfId="10819"/>
    <cellStyle name="Note 90" xfId="3201"/>
    <cellStyle name="Note 90 10" xfId="10820"/>
    <cellStyle name="Note 90 11" xfId="10821"/>
    <cellStyle name="Note 90 12" xfId="10822"/>
    <cellStyle name="Note 90 13" xfId="10823"/>
    <cellStyle name="Note 90 14" xfId="10824"/>
    <cellStyle name="Note 90 15" xfId="10825"/>
    <cellStyle name="Note 90 16" xfId="10826"/>
    <cellStyle name="Note 90 17" xfId="10827"/>
    <cellStyle name="Note 90 18" xfId="10828"/>
    <cellStyle name="Note 90 19" xfId="10829"/>
    <cellStyle name="Note 90 2" xfId="10830"/>
    <cellStyle name="Note 90 20" xfId="10831"/>
    <cellStyle name="Note 90 21" xfId="10832"/>
    <cellStyle name="Note 90 3" xfId="10833"/>
    <cellStyle name="Note 90 4" xfId="10834"/>
    <cellStyle name="Note 90 5" xfId="10835"/>
    <cellStyle name="Note 90 6" xfId="10836"/>
    <cellStyle name="Note 90 7" xfId="10837"/>
    <cellStyle name="Note 90 8" xfId="10838"/>
    <cellStyle name="Note 90 9" xfId="10839"/>
    <cellStyle name="Note 91" xfId="3202"/>
    <cellStyle name="Note 91 10" xfId="10840"/>
    <cellStyle name="Note 91 11" xfId="10841"/>
    <cellStyle name="Note 91 12" xfId="10842"/>
    <cellStyle name="Note 91 13" xfId="10843"/>
    <cellStyle name="Note 91 14" xfId="10844"/>
    <cellStyle name="Note 91 15" xfId="10845"/>
    <cellStyle name="Note 91 16" xfId="10846"/>
    <cellStyle name="Note 91 17" xfId="10847"/>
    <cellStyle name="Note 91 18" xfId="10848"/>
    <cellStyle name="Note 91 19" xfId="10849"/>
    <cellStyle name="Note 91 2" xfId="10850"/>
    <cellStyle name="Note 91 20" xfId="10851"/>
    <cellStyle name="Note 91 21" xfId="10852"/>
    <cellStyle name="Note 91 3" xfId="10853"/>
    <cellStyle name="Note 91 4" xfId="10854"/>
    <cellStyle name="Note 91 5" xfId="10855"/>
    <cellStyle name="Note 91 6" xfId="10856"/>
    <cellStyle name="Note 91 7" xfId="10857"/>
    <cellStyle name="Note 91 8" xfId="10858"/>
    <cellStyle name="Note 91 9" xfId="10859"/>
    <cellStyle name="Note 92" xfId="3203"/>
    <cellStyle name="Note 92 10" xfId="10860"/>
    <cellStyle name="Note 92 11" xfId="10861"/>
    <cellStyle name="Note 92 12" xfId="10862"/>
    <cellStyle name="Note 92 13" xfId="10863"/>
    <cellStyle name="Note 92 14" xfId="10864"/>
    <cellStyle name="Note 92 15" xfId="10865"/>
    <cellStyle name="Note 92 16" xfId="10866"/>
    <cellStyle name="Note 92 17" xfId="10867"/>
    <cellStyle name="Note 92 18" xfId="10868"/>
    <cellStyle name="Note 92 19" xfId="10869"/>
    <cellStyle name="Note 92 2" xfId="10870"/>
    <cellStyle name="Note 92 20" xfId="10871"/>
    <cellStyle name="Note 92 21" xfId="10872"/>
    <cellStyle name="Note 92 3" xfId="10873"/>
    <cellStyle name="Note 92 4" xfId="10874"/>
    <cellStyle name="Note 92 5" xfId="10875"/>
    <cellStyle name="Note 92 6" xfId="10876"/>
    <cellStyle name="Note 92 7" xfId="10877"/>
    <cellStyle name="Note 92 8" xfId="10878"/>
    <cellStyle name="Note 92 9" xfId="10879"/>
    <cellStyle name="Note 93" xfId="3204"/>
    <cellStyle name="Note 93 10" xfId="10880"/>
    <cellStyle name="Note 93 11" xfId="10881"/>
    <cellStyle name="Note 93 12" xfId="10882"/>
    <cellStyle name="Note 93 13" xfId="10883"/>
    <cellStyle name="Note 93 14" xfId="10884"/>
    <cellStyle name="Note 93 15" xfId="10885"/>
    <cellStyle name="Note 93 16" xfId="10886"/>
    <cellStyle name="Note 93 17" xfId="10887"/>
    <cellStyle name="Note 93 18" xfId="10888"/>
    <cellStyle name="Note 93 19" xfId="10889"/>
    <cellStyle name="Note 93 2" xfId="10890"/>
    <cellStyle name="Note 93 20" xfId="10891"/>
    <cellStyle name="Note 93 21" xfId="10892"/>
    <cellStyle name="Note 93 3" xfId="10893"/>
    <cellStyle name="Note 93 4" xfId="10894"/>
    <cellStyle name="Note 93 5" xfId="10895"/>
    <cellStyle name="Note 93 6" xfId="10896"/>
    <cellStyle name="Note 93 7" xfId="10897"/>
    <cellStyle name="Note 93 8" xfId="10898"/>
    <cellStyle name="Note 93 9" xfId="10899"/>
    <cellStyle name="Note 94" xfId="3205"/>
    <cellStyle name="Note 94 10" xfId="10900"/>
    <cellStyle name="Note 94 11" xfId="10901"/>
    <cellStyle name="Note 94 12" xfId="10902"/>
    <cellStyle name="Note 94 13" xfId="10903"/>
    <cellStyle name="Note 94 14" xfId="10904"/>
    <cellStyle name="Note 94 15" xfId="10905"/>
    <cellStyle name="Note 94 16" xfId="10906"/>
    <cellStyle name="Note 94 17" xfId="10907"/>
    <cellStyle name="Note 94 18" xfId="10908"/>
    <cellStyle name="Note 94 19" xfId="10909"/>
    <cellStyle name="Note 94 2" xfId="10910"/>
    <cellStyle name="Note 94 20" xfId="10911"/>
    <cellStyle name="Note 94 21" xfId="10912"/>
    <cellStyle name="Note 94 3" xfId="10913"/>
    <cellStyle name="Note 94 4" xfId="10914"/>
    <cellStyle name="Note 94 5" xfId="10915"/>
    <cellStyle name="Note 94 6" xfId="10916"/>
    <cellStyle name="Note 94 7" xfId="10917"/>
    <cellStyle name="Note 94 8" xfId="10918"/>
    <cellStyle name="Note 94 9" xfId="10919"/>
    <cellStyle name="Note 95" xfId="3206"/>
    <cellStyle name="Note 95 10" xfId="10920"/>
    <cellStyle name="Note 95 11" xfId="10921"/>
    <cellStyle name="Note 95 12" xfId="10922"/>
    <cellStyle name="Note 95 13" xfId="10923"/>
    <cellStyle name="Note 95 14" xfId="10924"/>
    <cellStyle name="Note 95 15" xfId="10925"/>
    <cellStyle name="Note 95 16" xfId="10926"/>
    <cellStyle name="Note 95 17" xfId="10927"/>
    <cellStyle name="Note 95 18" xfId="10928"/>
    <cellStyle name="Note 95 19" xfId="10929"/>
    <cellStyle name="Note 95 2" xfId="10930"/>
    <cellStyle name="Note 95 20" xfId="10931"/>
    <cellStyle name="Note 95 21" xfId="10932"/>
    <cellStyle name="Note 95 3" xfId="10933"/>
    <cellStyle name="Note 95 4" xfId="10934"/>
    <cellStyle name="Note 95 5" xfId="10935"/>
    <cellStyle name="Note 95 6" xfId="10936"/>
    <cellStyle name="Note 95 7" xfId="10937"/>
    <cellStyle name="Note 95 8" xfId="10938"/>
    <cellStyle name="Note 95 9" xfId="10939"/>
    <cellStyle name="Note 96" xfId="3207"/>
    <cellStyle name="Note 96 10" xfId="10940"/>
    <cellStyle name="Note 96 11" xfId="10941"/>
    <cellStyle name="Note 96 12" xfId="10942"/>
    <cellStyle name="Note 96 13" xfId="10943"/>
    <cellStyle name="Note 96 14" xfId="10944"/>
    <cellStyle name="Note 96 15" xfId="10945"/>
    <cellStyle name="Note 96 16" xfId="10946"/>
    <cellStyle name="Note 96 17" xfId="10947"/>
    <cellStyle name="Note 96 18" xfId="10948"/>
    <cellStyle name="Note 96 19" xfId="10949"/>
    <cellStyle name="Note 96 2" xfId="10950"/>
    <cellStyle name="Note 96 20" xfId="10951"/>
    <cellStyle name="Note 96 21" xfId="10952"/>
    <cellStyle name="Note 96 3" xfId="10953"/>
    <cellStyle name="Note 96 4" xfId="10954"/>
    <cellStyle name="Note 96 5" xfId="10955"/>
    <cellStyle name="Note 96 6" xfId="10956"/>
    <cellStyle name="Note 96 7" xfId="10957"/>
    <cellStyle name="Note 96 8" xfId="10958"/>
    <cellStyle name="Note 96 9" xfId="10959"/>
    <cellStyle name="Note 97" xfId="3208"/>
    <cellStyle name="Note 97 10" xfId="10960"/>
    <cellStyle name="Note 97 11" xfId="10961"/>
    <cellStyle name="Note 97 12" xfId="10962"/>
    <cellStyle name="Note 97 13" xfId="10963"/>
    <cellStyle name="Note 97 14" xfId="10964"/>
    <cellStyle name="Note 97 15" xfId="10965"/>
    <cellStyle name="Note 97 16" xfId="10966"/>
    <cellStyle name="Note 97 17" xfId="10967"/>
    <cellStyle name="Note 97 18" xfId="10968"/>
    <cellStyle name="Note 97 19" xfId="10969"/>
    <cellStyle name="Note 97 2" xfId="10970"/>
    <cellStyle name="Note 97 20" xfId="10971"/>
    <cellStyle name="Note 97 21" xfId="10972"/>
    <cellStyle name="Note 97 3" xfId="10973"/>
    <cellStyle name="Note 97 4" xfId="10974"/>
    <cellStyle name="Note 97 5" xfId="10975"/>
    <cellStyle name="Note 97 6" xfId="10976"/>
    <cellStyle name="Note 97 7" xfId="10977"/>
    <cellStyle name="Note 97 8" xfId="10978"/>
    <cellStyle name="Note 97 9" xfId="10979"/>
    <cellStyle name="Note 98" xfId="3209"/>
    <cellStyle name="Note 98 10" xfId="10980"/>
    <cellStyle name="Note 98 11" xfId="10981"/>
    <cellStyle name="Note 98 12" xfId="10982"/>
    <cellStyle name="Note 98 13" xfId="10983"/>
    <cellStyle name="Note 98 14" xfId="10984"/>
    <cellStyle name="Note 98 15" xfId="10985"/>
    <cellStyle name="Note 98 16" xfId="10986"/>
    <cellStyle name="Note 98 17" xfId="10987"/>
    <cellStyle name="Note 98 18" xfId="10988"/>
    <cellStyle name="Note 98 19" xfId="10989"/>
    <cellStyle name="Note 98 2" xfId="10990"/>
    <cellStyle name="Note 98 20" xfId="10991"/>
    <cellStyle name="Note 98 21" xfId="10992"/>
    <cellStyle name="Note 98 3" xfId="10993"/>
    <cellStyle name="Note 98 4" xfId="10994"/>
    <cellStyle name="Note 98 5" xfId="10995"/>
    <cellStyle name="Note 98 6" xfId="10996"/>
    <cellStyle name="Note 98 7" xfId="10997"/>
    <cellStyle name="Note 98 8" xfId="10998"/>
    <cellStyle name="Note 98 9" xfId="10999"/>
    <cellStyle name="Note 99" xfId="3210"/>
    <cellStyle name="Note 99 10" xfId="11000"/>
    <cellStyle name="Note 99 11" xfId="11001"/>
    <cellStyle name="Note 99 12" xfId="11002"/>
    <cellStyle name="Note 99 13" xfId="11003"/>
    <cellStyle name="Note 99 14" xfId="11004"/>
    <cellStyle name="Note 99 15" xfId="11005"/>
    <cellStyle name="Note 99 16" xfId="11006"/>
    <cellStyle name="Note 99 17" xfId="11007"/>
    <cellStyle name="Note 99 18" xfId="11008"/>
    <cellStyle name="Note 99 19" xfId="11009"/>
    <cellStyle name="Note 99 2" xfId="11010"/>
    <cellStyle name="Note 99 20" xfId="11011"/>
    <cellStyle name="Note 99 21" xfId="11012"/>
    <cellStyle name="Note 99 3" xfId="11013"/>
    <cellStyle name="Note 99 4" xfId="11014"/>
    <cellStyle name="Note 99 5" xfId="11015"/>
    <cellStyle name="Note 99 6" xfId="11016"/>
    <cellStyle name="Note 99 7" xfId="11017"/>
    <cellStyle name="Note 99 8" xfId="11018"/>
    <cellStyle name="Note 99 9" xfId="11019"/>
    <cellStyle name="Œ…‹æ_Ø‚è [0.00]_ÆÂ__" xfId="16818"/>
    <cellStyle name="omma [0]_Mktg Prog" xfId="16819"/>
    <cellStyle name="ormal_Sheet1_1" xfId="16820"/>
    <cellStyle name="Output 10" xfId="3211"/>
    <cellStyle name="Output 10 10" xfId="11020"/>
    <cellStyle name="Output 10 11" xfId="11021"/>
    <cellStyle name="Output 10 12" xfId="11022"/>
    <cellStyle name="Output 10 13" xfId="11023"/>
    <cellStyle name="Output 10 14" xfId="11024"/>
    <cellStyle name="Output 10 15" xfId="11025"/>
    <cellStyle name="Output 10 16" xfId="11026"/>
    <cellStyle name="Output 10 17" xfId="11027"/>
    <cellStyle name="Output 10 18" xfId="11028"/>
    <cellStyle name="Output 10 19" xfId="11029"/>
    <cellStyle name="Output 10 2" xfId="11030"/>
    <cellStyle name="Output 10 20" xfId="11031"/>
    <cellStyle name="Output 10 21" xfId="11032"/>
    <cellStyle name="Output 10 3" xfId="11033"/>
    <cellStyle name="Output 10 4" xfId="11034"/>
    <cellStyle name="Output 10 5" xfId="11035"/>
    <cellStyle name="Output 10 6" xfId="11036"/>
    <cellStyle name="Output 10 7" xfId="11037"/>
    <cellStyle name="Output 10 8" xfId="11038"/>
    <cellStyle name="Output 10 9" xfId="11039"/>
    <cellStyle name="Output 11" xfId="3212"/>
    <cellStyle name="Output 11 10" xfId="11040"/>
    <cellStyle name="Output 11 11" xfId="11041"/>
    <cellStyle name="Output 11 12" xfId="11042"/>
    <cellStyle name="Output 11 13" xfId="11043"/>
    <cellStyle name="Output 11 14" xfId="11044"/>
    <cellStyle name="Output 11 15" xfId="11045"/>
    <cellStyle name="Output 11 16" xfId="11046"/>
    <cellStyle name="Output 11 17" xfId="11047"/>
    <cellStyle name="Output 11 18" xfId="11048"/>
    <cellStyle name="Output 11 19" xfId="11049"/>
    <cellStyle name="Output 11 2" xfId="11050"/>
    <cellStyle name="Output 11 20" xfId="11051"/>
    <cellStyle name="Output 11 21" xfId="11052"/>
    <cellStyle name="Output 11 3" xfId="11053"/>
    <cellStyle name="Output 11 4" xfId="11054"/>
    <cellStyle name="Output 11 5" xfId="11055"/>
    <cellStyle name="Output 11 6" xfId="11056"/>
    <cellStyle name="Output 11 7" xfId="11057"/>
    <cellStyle name="Output 11 8" xfId="11058"/>
    <cellStyle name="Output 11 9" xfId="11059"/>
    <cellStyle name="Output 12" xfId="3213"/>
    <cellStyle name="Output 12 10" xfId="11060"/>
    <cellStyle name="Output 12 11" xfId="11061"/>
    <cellStyle name="Output 12 12" xfId="11062"/>
    <cellStyle name="Output 12 13" xfId="11063"/>
    <cellStyle name="Output 12 14" xfId="11064"/>
    <cellStyle name="Output 12 15" xfId="11065"/>
    <cellStyle name="Output 12 16" xfId="11066"/>
    <cellStyle name="Output 12 17" xfId="11067"/>
    <cellStyle name="Output 12 18" xfId="11068"/>
    <cellStyle name="Output 12 19" xfId="11069"/>
    <cellStyle name="Output 12 2" xfId="11070"/>
    <cellStyle name="Output 12 20" xfId="11071"/>
    <cellStyle name="Output 12 21" xfId="11072"/>
    <cellStyle name="Output 12 3" xfId="11073"/>
    <cellStyle name="Output 12 4" xfId="11074"/>
    <cellStyle name="Output 12 5" xfId="11075"/>
    <cellStyle name="Output 12 6" xfId="11076"/>
    <cellStyle name="Output 12 7" xfId="11077"/>
    <cellStyle name="Output 12 8" xfId="11078"/>
    <cellStyle name="Output 12 9" xfId="11079"/>
    <cellStyle name="Output 13" xfId="3214"/>
    <cellStyle name="Output 13 10" xfId="11080"/>
    <cellStyle name="Output 13 11" xfId="11081"/>
    <cellStyle name="Output 13 12" xfId="11082"/>
    <cellStyle name="Output 13 13" xfId="11083"/>
    <cellStyle name="Output 13 14" xfId="11084"/>
    <cellStyle name="Output 13 15" xfId="11085"/>
    <cellStyle name="Output 13 16" xfId="11086"/>
    <cellStyle name="Output 13 17" xfId="11087"/>
    <cellStyle name="Output 13 18" xfId="11088"/>
    <cellStyle name="Output 13 19" xfId="11089"/>
    <cellStyle name="Output 13 2" xfId="11090"/>
    <cellStyle name="Output 13 20" xfId="11091"/>
    <cellStyle name="Output 13 21" xfId="11092"/>
    <cellStyle name="Output 13 3" xfId="11093"/>
    <cellStyle name="Output 13 4" xfId="11094"/>
    <cellStyle name="Output 13 5" xfId="11095"/>
    <cellStyle name="Output 13 6" xfId="11096"/>
    <cellStyle name="Output 13 7" xfId="11097"/>
    <cellStyle name="Output 13 8" xfId="11098"/>
    <cellStyle name="Output 13 9" xfId="11099"/>
    <cellStyle name="Output 14" xfId="3215"/>
    <cellStyle name="Output 14 10" xfId="11100"/>
    <cellStyle name="Output 14 11" xfId="11101"/>
    <cellStyle name="Output 14 12" xfId="11102"/>
    <cellStyle name="Output 14 13" xfId="11103"/>
    <cellStyle name="Output 14 14" xfId="11104"/>
    <cellStyle name="Output 14 15" xfId="11105"/>
    <cellStyle name="Output 14 16" xfId="11106"/>
    <cellStyle name="Output 14 17" xfId="11107"/>
    <cellStyle name="Output 14 18" xfId="11108"/>
    <cellStyle name="Output 14 19" xfId="11109"/>
    <cellStyle name="Output 14 2" xfId="11110"/>
    <cellStyle name="Output 14 20" xfId="11111"/>
    <cellStyle name="Output 14 21" xfId="11112"/>
    <cellStyle name="Output 14 3" xfId="11113"/>
    <cellStyle name="Output 14 4" xfId="11114"/>
    <cellStyle name="Output 14 5" xfId="11115"/>
    <cellStyle name="Output 14 6" xfId="11116"/>
    <cellStyle name="Output 14 7" xfId="11117"/>
    <cellStyle name="Output 14 8" xfId="11118"/>
    <cellStyle name="Output 14 9" xfId="11119"/>
    <cellStyle name="Output 15" xfId="3216"/>
    <cellStyle name="Output 15 10" xfId="11120"/>
    <cellStyle name="Output 15 11" xfId="11121"/>
    <cellStyle name="Output 15 12" xfId="11122"/>
    <cellStyle name="Output 15 13" xfId="11123"/>
    <cellStyle name="Output 15 14" xfId="11124"/>
    <cellStyle name="Output 15 15" xfId="11125"/>
    <cellStyle name="Output 15 16" xfId="11126"/>
    <cellStyle name="Output 15 17" xfId="11127"/>
    <cellStyle name="Output 15 18" xfId="11128"/>
    <cellStyle name="Output 15 19" xfId="11129"/>
    <cellStyle name="Output 15 2" xfId="11130"/>
    <cellStyle name="Output 15 20" xfId="11131"/>
    <cellStyle name="Output 15 21" xfId="11132"/>
    <cellStyle name="Output 15 3" xfId="11133"/>
    <cellStyle name="Output 15 4" xfId="11134"/>
    <cellStyle name="Output 15 5" xfId="11135"/>
    <cellStyle name="Output 15 6" xfId="11136"/>
    <cellStyle name="Output 15 7" xfId="11137"/>
    <cellStyle name="Output 15 8" xfId="11138"/>
    <cellStyle name="Output 15 9" xfId="11139"/>
    <cellStyle name="Output 16" xfId="3217"/>
    <cellStyle name="Output 16 10" xfId="11140"/>
    <cellStyle name="Output 16 11" xfId="11141"/>
    <cellStyle name="Output 16 12" xfId="11142"/>
    <cellStyle name="Output 16 13" xfId="11143"/>
    <cellStyle name="Output 16 14" xfId="11144"/>
    <cellStyle name="Output 16 15" xfId="11145"/>
    <cellStyle name="Output 16 16" xfId="11146"/>
    <cellStyle name="Output 16 17" xfId="11147"/>
    <cellStyle name="Output 16 18" xfId="11148"/>
    <cellStyle name="Output 16 19" xfId="11149"/>
    <cellStyle name="Output 16 2" xfId="11150"/>
    <cellStyle name="Output 16 20" xfId="11151"/>
    <cellStyle name="Output 16 21" xfId="11152"/>
    <cellStyle name="Output 16 3" xfId="11153"/>
    <cellStyle name="Output 16 4" xfId="11154"/>
    <cellStyle name="Output 16 5" xfId="11155"/>
    <cellStyle name="Output 16 6" xfId="11156"/>
    <cellStyle name="Output 16 7" xfId="11157"/>
    <cellStyle name="Output 16 8" xfId="11158"/>
    <cellStyle name="Output 16 9" xfId="11159"/>
    <cellStyle name="Output 17" xfId="3218"/>
    <cellStyle name="Output 17 10" xfId="11160"/>
    <cellStyle name="Output 17 11" xfId="11161"/>
    <cellStyle name="Output 17 12" xfId="11162"/>
    <cellStyle name="Output 17 13" xfId="11163"/>
    <cellStyle name="Output 17 14" xfId="11164"/>
    <cellStyle name="Output 17 15" xfId="11165"/>
    <cellStyle name="Output 17 16" xfId="11166"/>
    <cellStyle name="Output 17 17" xfId="11167"/>
    <cellStyle name="Output 17 18" xfId="11168"/>
    <cellStyle name="Output 17 19" xfId="11169"/>
    <cellStyle name="Output 17 2" xfId="11170"/>
    <cellStyle name="Output 17 20" xfId="11171"/>
    <cellStyle name="Output 17 21" xfId="11172"/>
    <cellStyle name="Output 17 3" xfId="11173"/>
    <cellStyle name="Output 17 4" xfId="11174"/>
    <cellStyle name="Output 17 5" xfId="11175"/>
    <cellStyle name="Output 17 6" xfId="11176"/>
    <cellStyle name="Output 17 7" xfId="11177"/>
    <cellStyle name="Output 17 8" xfId="11178"/>
    <cellStyle name="Output 17 9" xfId="11179"/>
    <cellStyle name="Output 18" xfId="3219"/>
    <cellStyle name="Output 18 10" xfId="11180"/>
    <cellStyle name="Output 18 11" xfId="11181"/>
    <cellStyle name="Output 18 12" xfId="11182"/>
    <cellStyle name="Output 18 13" xfId="11183"/>
    <cellStyle name="Output 18 14" xfId="11184"/>
    <cellStyle name="Output 18 15" xfId="11185"/>
    <cellStyle name="Output 18 16" xfId="11186"/>
    <cellStyle name="Output 18 17" xfId="11187"/>
    <cellStyle name="Output 18 18" xfId="11188"/>
    <cellStyle name="Output 18 19" xfId="11189"/>
    <cellStyle name="Output 18 2" xfId="11190"/>
    <cellStyle name="Output 18 20" xfId="11191"/>
    <cellStyle name="Output 18 21" xfId="11192"/>
    <cellStyle name="Output 18 3" xfId="11193"/>
    <cellStyle name="Output 18 4" xfId="11194"/>
    <cellStyle name="Output 18 5" xfId="11195"/>
    <cellStyle name="Output 18 6" xfId="11196"/>
    <cellStyle name="Output 18 7" xfId="11197"/>
    <cellStyle name="Output 18 8" xfId="11198"/>
    <cellStyle name="Output 18 9" xfId="11199"/>
    <cellStyle name="Output 19" xfId="3220"/>
    <cellStyle name="Output 19 10" xfId="11200"/>
    <cellStyle name="Output 19 11" xfId="11201"/>
    <cellStyle name="Output 19 12" xfId="11202"/>
    <cellStyle name="Output 19 13" xfId="11203"/>
    <cellStyle name="Output 19 14" xfId="11204"/>
    <cellStyle name="Output 19 15" xfId="11205"/>
    <cellStyle name="Output 19 16" xfId="11206"/>
    <cellStyle name="Output 19 17" xfId="11207"/>
    <cellStyle name="Output 19 18" xfId="11208"/>
    <cellStyle name="Output 19 19" xfId="11209"/>
    <cellStyle name="Output 19 2" xfId="11210"/>
    <cellStyle name="Output 19 20" xfId="11211"/>
    <cellStyle name="Output 19 21" xfId="11212"/>
    <cellStyle name="Output 19 3" xfId="11213"/>
    <cellStyle name="Output 19 4" xfId="11214"/>
    <cellStyle name="Output 19 5" xfId="11215"/>
    <cellStyle name="Output 19 6" xfId="11216"/>
    <cellStyle name="Output 19 7" xfId="11217"/>
    <cellStyle name="Output 19 8" xfId="11218"/>
    <cellStyle name="Output 19 9" xfId="11219"/>
    <cellStyle name="Output 2" xfId="3221"/>
    <cellStyle name="Output 2 10" xfId="11220"/>
    <cellStyle name="Output 2 11" xfId="11221"/>
    <cellStyle name="Output 2 12" xfId="11222"/>
    <cellStyle name="Output 2 13" xfId="11223"/>
    <cellStyle name="Output 2 14" xfId="11224"/>
    <cellStyle name="Output 2 15" xfId="11225"/>
    <cellStyle name="Output 2 16" xfId="11226"/>
    <cellStyle name="Output 2 17" xfId="11227"/>
    <cellStyle name="Output 2 18" xfId="11228"/>
    <cellStyle name="Output 2 19" xfId="11229"/>
    <cellStyle name="Output 2 2" xfId="3222"/>
    <cellStyle name="Output 2 2 10" xfId="11230"/>
    <cellStyle name="Output 2 2 11" xfId="11231"/>
    <cellStyle name="Output 2 2 12" xfId="11232"/>
    <cellStyle name="Output 2 2 13" xfId="11233"/>
    <cellStyle name="Output 2 2 14" xfId="11234"/>
    <cellStyle name="Output 2 2 15" xfId="11235"/>
    <cellStyle name="Output 2 2 16" xfId="11236"/>
    <cellStyle name="Output 2 2 17" xfId="11237"/>
    <cellStyle name="Output 2 2 18" xfId="11238"/>
    <cellStyle name="Output 2 2 19" xfId="11239"/>
    <cellStyle name="Output 2 2 2" xfId="11240"/>
    <cellStyle name="Output 2 2 20" xfId="11241"/>
    <cellStyle name="Output 2 2 21" xfId="11242"/>
    <cellStyle name="Output 2 2 3" xfId="11243"/>
    <cellStyle name="Output 2 2 4" xfId="11244"/>
    <cellStyle name="Output 2 2 5" xfId="11245"/>
    <cellStyle name="Output 2 2 6" xfId="11246"/>
    <cellStyle name="Output 2 2 7" xfId="11247"/>
    <cellStyle name="Output 2 2 8" xfId="11248"/>
    <cellStyle name="Output 2 2 9" xfId="11249"/>
    <cellStyle name="Output 2 20" xfId="11250"/>
    <cellStyle name="Output 2 21" xfId="11251"/>
    <cellStyle name="Output 2 22" xfId="11252"/>
    <cellStyle name="Output 2 3" xfId="11253"/>
    <cellStyle name="Output 2 4" xfId="11254"/>
    <cellStyle name="Output 2 5" xfId="11255"/>
    <cellStyle name="Output 2 6" xfId="11256"/>
    <cellStyle name="Output 2 7" xfId="11257"/>
    <cellStyle name="Output 2 8" xfId="11258"/>
    <cellStyle name="Output 2 9" xfId="11259"/>
    <cellStyle name="Output 20" xfId="3223"/>
    <cellStyle name="Output 20 10" xfId="11260"/>
    <cellStyle name="Output 20 11" xfId="11261"/>
    <cellStyle name="Output 20 12" xfId="11262"/>
    <cellStyle name="Output 20 13" xfId="11263"/>
    <cellStyle name="Output 20 14" xfId="11264"/>
    <cellStyle name="Output 20 15" xfId="11265"/>
    <cellStyle name="Output 20 16" xfId="11266"/>
    <cellStyle name="Output 20 17" xfId="11267"/>
    <cellStyle name="Output 20 18" xfId="11268"/>
    <cellStyle name="Output 20 19" xfId="11269"/>
    <cellStyle name="Output 20 2" xfId="11270"/>
    <cellStyle name="Output 20 20" xfId="11271"/>
    <cellStyle name="Output 20 21" xfId="11272"/>
    <cellStyle name="Output 20 3" xfId="11273"/>
    <cellStyle name="Output 20 4" xfId="11274"/>
    <cellStyle name="Output 20 5" xfId="11275"/>
    <cellStyle name="Output 20 6" xfId="11276"/>
    <cellStyle name="Output 20 7" xfId="11277"/>
    <cellStyle name="Output 20 8" xfId="11278"/>
    <cellStyle name="Output 20 9" xfId="11279"/>
    <cellStyle name="Output 21" xfId="3224"/>
    <cellStyle name="Output 21 10" xfId="11280"/>
    <cellStyle name="Output 21 11" xfId="11281"/>
    <cellStyle name="Output 21 12" xfId="11282"/>
    <cellStyle name="Output 21 13" xfId="11283"/>
    <cellStyle name="Output 21 14" xfId="11284"/>
    <cellStyle name="Output 21 15" xfId="11285"/>
    <cellStyle name="Output 21 16" xfId="11286"/>
    <cellStyle name="Output 21 17" xfId="11287"/>
    <cellStyle name="Output 21 18" xfId="11288"/>
    <cellStyle name="Output 21 19" xfId="11289"/>
    <cellStyle name="Output 21 2" xfId="11290"/>
    <cellStyle name="Output 21 20" xfId="11291"/>
    <cellStyle name="Output 21 21" xfId="11292"/>
    <cellStyle name="Output 21 3" xfId="11293"/>
    <cellStyle name="Output 21 4" xfId="11294"/>
    <cellStyle name="Output 21 5" xfId="11295"/>
    <cellStyle name="Output 21 6" xfId="11296"/>
    <cellStyle name="Output 21 7" xfId="11297"/>
    <cellStyle name="Output 21 8" xfId="11298"/>
    <cellStyle name="Output 21 9" xfId="11299"/>
    <cellStyle name="Output 22" xfId="3225"/>
    <cellStyle name="Output 22 10" xfId="11300"/>
    <cellStyle name="Output 22 11" xfId="11301"/>
    <cellStyle name="Output 22 12" xfId="11302"/>
    <cellStyle name="Output 22 13" xfId="11303"/>
    <cellStyle name="Output 22 14" xfId="11304"/>
    <cellStyle name="Output 22 15" xfId="11305"/>
    <cellStyle name="Output 22 16" xfId="11306"/>
    <cellStyle name="Output 22 17" xfId="11307"/>
    <cellStyle name="Output 22 18" xfId="11308"/>
    <cellStyle name="Output 22 19" xfId="11309"/>
    <cellStyle name="Output 22 2" xfId="11310"/>
    <cellStyle name="Output 22 20" xfId="11311"/>
    <cellStyle name="Output 22 21" xfId="11312"/>
    <cellStyle name="Output 22 3" xfId="11313"/>
    <cellStyle name="Output 22 4" xfId="11314"/>
    <cellStyle name="Output 22 5" xfId="11315"/>
    <cellStyle name="Output 22 6" xfId="11316"/>
    <cellStyle name="Output 22 7" xfId="11317"/>
    <cellStyle name="Output 22 8" xfId="11318"/>
    <cellStyle name="Output 22 9" xfId="11319"/>
    <cellStyle name="Output 23" xfId="3226"/>
    <cellStyle name="Output 23 10" xfId="11320"/>
    <cellStyle name="Output 23 11" xfId="11321"/>
    <cellStyle name="Output 23 12" xfId="11322"/>
    <cellStyle name="Output 23 13" xfId="11323"/>
    <cellStyle name="Output 23 14" xfId="11324"/>
    <cellStyle name="Output 23 15" xfId="11325"/>
    <cellStyle name="Output 23 16" xfId="11326"/>
    <cellStyle name="Output 23 17" xfId="11327"/>
    <cellStyle name="Output 23 18" xfId="11328"/>
    <cellStyle name="Output 23 19" xfId="11329"/>
    <cellStyle name="Output 23 2" xfId="11330"/>
    <cellStyle name="Output 23 20" xfId="11331"/>
    <cellStyle name="Output 23 21" xfId="11332"/>
    <cellStyle name="Output 23 3" xfId="11333"/>
    <cellStyle name="Output 23 4" xfId="11334"/>
    <cellStyle name="Output 23 5" xfId="11335"/>
    <cellStyle name="Output 23 6" xfId="11336"/>
    <cellStyle name="Output 23 7" xfId="11337"/>
    <cellStyle name="Output 23 8" xfId="11338"/>
    <cellStyle name="Output 23 9" xfId="11339"/>
    <cellStyle name="Output 24" xfId="3227"/>
    <cellStyle name="Output 24 10" xfId="11340"/>
    <cellStyle name="Output 24 11" xfId="11341"/>
    <cellStyle name="Output 24 12" xfId="11342"/>
    <cellStyle name="Output 24 13" xfId="11343"/>
    <cellStyle name="Output 24 14" xfId="11344"/>
    <cellStyle name="Output 24 15" xfId="11345"/>
    <cellStyle name="Output 24 16" xfId="11346"/>
    <cellStyle name="Output 24 17" xfId="11347"/>
    <cellStyle name="Output 24 18" xfId="11348"/>
    <cellStyle name="Output 24 19" xfId="11349"/>
    <cellStyle name="Output 24 2" xfId="11350"/>
    <cellStyle name="Output 24 20" xfId="11351"/>
    <cellStyle name="Output 24 21" xfId="11352"/>
    <cellStyle name="Output 24 3" xfId="11353"/>
    <cellStyle name="Output 24 4" xfId="11354"/>
    <cellStyle name="Output 24 5" xfId="11355"/>
    <cellStyle name="Output 24 6" xfId="11356"/>
    <cellStyle name="Output 24 7" xfId="11357"/>
    <cellStyle name="Output 24 8" xfId="11358"/>
    <cellStyle name="Output 24 9" xfId="11359"/>
    <cellStyle name="Output 25" xfId="3228"/>
    <cellStyle name="Output 25 10" xfId="11360"/>
    <cellStyle name="Output 25 11" xfId="11361"/>
    <cellStyle name="Output 25 12" xfId="11362"/>
    <cellStyle name="Output 25 13" xfId="11363"/>
    <cellStyle name="Output 25 14" xfId="11364"/>
    <cellStyle name="Output 25 15" xfId="11365"/>
    <cellStyle name="Output 25 16" xfId="11366"/>
    <cellStyle name="Output 25 17" xfId="11367"/>
    <cellStyle name="Output 25 18" xfId="11368"/>
    <cellStyle name="Output 25 19" xfId="11369"/>
    <cellStyle name="Output 25 2" xfId="11370"/>
    <cellStyle name="Output 25 20" xfId="11371"/>
    <cellStyle name="Output 25 21" xfId="11372"/>
    <cellStyle name="Output 25 3" xfId="11373"/>
    <cellStyle name="Output 25 4" xfId="11374"/>
    <cellStyle name="Output 25 5" xfId="11375"/>
    <cellStyle name="Output 25 6" xfId="11376"/>
    <cellStyle name="Output 25 7" xfId="11377"/>
    <cellStyle name="Output 25 8" xfId="11378"/>
    <cellStyle name="Output 25 9" xfId="11379"/>
    <cellStyle name="Output 26" xfId="3229"/>
    <cellStyle name="Output 26 10" xfId="11380"/>
    <cellStyle name="Output 26 11" xfId="11381"/>
    <cellStyle name="Output 26 12" xfId="11382"/>
    <cellStyle name="Output 26 13" xfId="11383"/>
    <cellStyle name="Output 26 14" xfId="11384"/>
    <cellStyle name="Output 26 15" xfId="11385"/>
    <cellStyle name="Output 26 16" xfId="11386"/>
    <cellStyle name="Output 26 17" xfId="11387"/>
    <cellStyle name="Output 26 18" xfId="11388"/>
    <cellStyle name="Output 26 19" xfId="11389"/>
    <cellStyle name="Output 26 2" xfId="11390"/>
    <cellStyle name="Output 26 20" xfId="11391"/>
    <cellStyle name="Output 26 21" xfId="11392"/>
    <cellStyle name="Output 26 3" xfId="11393"/>
    <cellStyle name="Output 26 4" xfId="11394"/>
    <cellStyle name="Output 26 5" xfId="11395"/>
    <cellStyle name="Output 26 6" xfId="11396"/>
    <cellStyle name="Output 26 7" xfId="11397"/>
    <cellStyle name="Output 26 8" xfId="11398"/>
    <cellStyle name="Output 26 9" xfId="11399"/>
    <cellStyle name="Output 27" xfId="3230"/>
    <cellStyle name="Output 27 10" xfId="11400"/>
    <cellStyle name="Output 27 11" xfId="11401"/>
    <cellStyle name="Output 27 12" xfId="11402"/>
    <cellStyle name="Output 27 13" xfId="11403"/>
    <cellStyle name="Output 27 14" xfId="11404"/>
    <cellStyle name="Output 27 15" xfId="11405"/>
    <cellStyle name="Output 27 16" xfId="11406"/>
    <cellStyle name="Output 27 17" xfId="11407"/>
    <cellStyle name="Output 27 18" xfId="11408"/>
    <cellStyle name="Output 27 19" xfId="11409"/>
    <cellStyle name="Output 27 2" xfId="11410"/>
    <cellStyle name="Output 27 20" xfId="11411"/>
    <cellStyle name="Output 27 21" xfId="11412"/>
    <cellStyle name="Output 27 3" xfId="11413"/>
    <cellStyle name="Output 27 4" xfId="11414"/>
    <cellStyle name="Output 27 5" xfId="11415"/>
    <cellStyle name="Output 27 6" xfId="11416"/>
    <cellStyle name="Output 27 7" xfId="11417"/>
    <cellStyle name="Output 27 8" xfId="11418"/>
    <cellStyle name="Output 27 9" xfId="11419"/>
    <cellStyle name="Output 28" xfId="3231"/>
    <cellStyle name="Output 28 10" xfId="11420"/>
    <cellStyle name="Output 28 11" xfId="11421"/>
    <cellStyle name="Output 28 12" xfId="11422"/>
    <cellStyle name="Output 28 13" xfId="11423"/>
    <cellStyle name="Output 28 14" xfId="11424"/>
    <cellStyle name="Output 28 15" xfId="11425"/>
    <cellStyle name="Output 28 16" xfId="11426"/>
    <cellStyle name="Output 28 17" xfId="11427"/>
    <cellStyle name="Output 28 18" xfId="11428"/>
    <cellStyle name="Output 28 19" xfId="11429"/>
    <cellStyle name="Output 28 2" xfId="11430"/>
    <cellStyle name="Output 28 20" xfId="11431"/>
    <cellStyle name="Output 28 21" xfId="11432"/>
    <cellStyle name="Output 28 3" xfId="11433"/>
    <cellStyle name="Output 28 4" xfId="11434"/>
    <cellStyle name="Output 28 5" xfId="11435"/>
    <cellStyle name="Output 28 6" xfId="11436"/>
    <cellStyle name="Output 28 7" xfId="11437"/>
    <cellStyle name="Output 28 8" xfId="11438"/>
    <cellStyle name="Output 28 9" xfId="11439"/>
    <cellStyle name="Output 29" xfId="3232"/>
    <cellStyle name="Output 29 10" xfId="11440"/>
    <cellStyle name="Output 29 11" xfId="11441"/>
    <cellStyle name="Output 29 12" xfId="11442"/>
    <cellStyle name="Output 29 13" xfId="11443"/>
    <cellStyle name="Output 29 14" xfId="11444"/>
    <cellStyle name="Output 29 15" xfId="11445"/>
    <cellStyle name="Output 29 16" xfId="11446"/>
    <cellStyle name="Output 29 17" xfId="11447"/>
    <cellStyle name="Output 29 18" xfId="11448"/>
    <cellStyle name="Output 29 19" xfId="11449"/>
    <cellStyle name="Output 29 2" xfId="11450"/>
    <cellStyle name="Output 29 20" xfId="11451"/>
    <cellStyle name="Output 29 21" xfId="11452"/>
    <cellStyle name="Output 29 3" xfId="11453"/>
    <cellStyle name="Output 29 4" xfId="11454"/>
    <cellStyle name="Output 29 5" xfId="11455"/>
    <cellStyle name="Output 29 6" xfId="11456"/>
    <cellStyle name="Output 29 7" xfId="11457"/>
    <cellStyle name="Output 29 8" xfId="11458"/>
    <cellStyle name="Output 29 9" xfId="11459"/>
    <cellStyle name="Output 3" xfId="3233"/>
    <cellStyle name="Output 3 10" xfId="11460"/>
    <cellStyle name="Output 3 11" xfId="11461"/>
    <cellStyle name="Output 3 12" xfId="11462"/>
    <cellStyle name="Output 3 13" xfId="11463"/>
    <cellStyle name="Output 3 14" xfId="11464"/>
    <cellStyle name="Output 3 15" xfId="11465"/>
    <cellStyle name="Output 3 16" xfId="11466"/>
    <cellStyle name="Output 3 17" xfId="11467"/>
    <cellStyle name="Output 3 18" xfId="11468"/>
    <cellStyle name="Output 3 19" xfId="11469"/>
    <cellStyle name="Output 3 2" xfId="11470"/>
    <cellStyle name="Output 3 20" xfId="11471"/>
    <cellStyle name="Output 3 21" xfId="11472"/>
    <cellStyle name="Output 3 3" xfId="11473"/>
    <cellStyle name="Output 3 4" xfId="11474"/>
    <cellStyle name="Output 3 5" xfId="11475"/>
    <cellStyle name="Output 3 6" xfId="11476"/>
    <cellStyle name="Output 3 7" xfId="11477"/>
    <cellStyle name="Output 3 8" xfId="11478"/>
    <cellStyle name="Output 3 9" xfId="11479"/>
    <cellStyle name="Output 30" xfId="3234"/>
    <cellStyle name="Output 30 10" xfId="11480"/>
    <cellStyle name="Output 30 11" xfId="11481"/>
    <cellStyle name="Output 30 12" xfId="11482"/>
    <cellStyle name="Output 30 13" xfId="11483"/>
    <cellStyle name="Output 30 14" xfId="11484"/>
    <cellStyle name="Output 30 15" xfId="11485"/>
    <cellStyle name="Output 30 16" xfId="11486"/>
    <cellStyle name="Output 30 17" xfId="11487"/>
    <cellStyle name="Output 30 18" xfId="11488"/>
    <cellStyle name="Output 30 19" xfId="11489"/>
    <cellStyle name="Output 30 2" xfId="11490"/>
    <cellStyle name="Output 30 20" xfId="11491"/>
    <cellStyle name="Output 30 21" xfId="11492"/>
    <cellStyle name="Output 30 3" xfId="11493"/>
    <cellStyle name="Output 30 4" xfId="11494"/>
    <cellStyle name="Output 30 5" xfId="11495"/>
    <cellStyle name="Output 30 6" xfId="11496"/>
    <cellStyle name="Output 30 7" xfId="11497"/>
    <cellStyle name="Output 30 8" xfId="11498"/>
    <cellStyle name="Output 30 9" xfId="11499"/>
    <cellStyle name="Output 31" xfId="3235"/>
    <cellStyle name="Output 31 10" xfId="11500"/>
    <cellStyle name="Output 31 11" xfId="11501"/>
    <cellStyle name="Output 31 12" xfId="11502"/>
    <cellStyle name="Output 31 13" xfId="11503"/>
    <cellStyle name="Output 31 14" xfId="11504"/>
    <cellStyle name="Output 31 15" xfId="11505"/>
    <cellStyle name="Output 31 16" xfId="11506"/>
    <cellStyle name="Output 31 17" xfId="11507"/>
    <cellStyle name="Output 31 18" xfId="11508"/>
    <cellStyle name="Output 31 19" xfId="11509"/>
    <cellStyle name="Output 31 2" xfId="11510"/>
    <cellStyle name="Output 31 20" xfId="11511"/>
    <cellStyle name="Output 31 21" xfId="11512"/>
    <cellStyle name="Output 31 3" xfId="11513"/>
    <cellStyle name="Output 31 4" xfId="11514"/>
    <cellStyle name="Output 31 5" xfId="11515"/>
    <cellStyle name="Output 31 6" xfId="11516"/>
    <cellStyle name="Output 31 7" xfId="11517"/>
    <cellStyle name="Output 31 8" xfId="11518"/>
    <cellStyle name="Output 31 9" xfId="11519"/>
    <cellStyle name="Output 32" xfId="3236"/>
    <cellStyle name="Output 32 10" xfId="11520"/>
    <cellStyle name="Output 32 11" xfId="11521"/>
    <cellStyle name="Output 32 12" xfId="11522"/>
    <cellStyle name="Output 32 13" xfId="11523"/>
    <cellStyle name="Output 32 14" xfId="11524"/>
    <cellStyle name="Output 32 15" xfId="11525"/>
    <cellStyle name="Output 32 16" xfId="11526"/>
    <cellStyle name="Output 32 17" xfId="11527"/>
    <cellStyle name="Output 32 18" xfId="11528"/>
    <cellStyle name="Output 32 19" xfId="11529"/>
    <cellStyle name="Output 32 2" xfId="11530"/>
    <cellStyle name="Output 32 20" xfId="11531"/>
    <cellStyle name="Output 32 21" xfId="11532"/>
    <cellStyle name="Output 32 3" xfId="11533"/>
    <cellStyle name="Output 32 4" xfId="11534"/>
    <cellStyle name="Output 32 5" xfId="11535"/>
    <cellStyle name="Output 32 6" xfId="11536"/>
    <cellStyle name="Output 32 7" xfId="11537"/>
    <cellStyle name="Output 32 8" xfId="11538"/>
    <cellStyle name="Output 32 9" xfId="11539"/>
    <cellStyle name="Output 33" xfId="3237"/>
    <cellStyle name="Output 33 10" xfId="11540"/>
    <cellStyle name="Output 33 11" xfId="11541"/>
    <cellStyle name="Output 33 12" xfId="11542"/>
    <cellStyle name="Output 33 13" xfId="11543"/>
    <cellStyle name="Output 33 14" xfId="11544"/>
    <cellStyle name="Output 33 15" xfId="11545"/>
    <cellStyle name="Output 33 16" xfId="11546"/>
    <cellStyle name="Output 33 17" xfId="11547"/>
    <cellStyle name="Output 33 18" xfId="11548"/>
    <cellStyle name="Output 33 19" xfId="11549"/>
    <cellStyle name="Output 33 2" xfId="11550"/>
    <cellStyle name="Output 33 20" xfId="11551"/>
    <cellStyle name="Output 33 21" xfId="11552"/>
    <cellStyle name="Output 33 3" xfId="11553"/>
    <cellStyle name="Output 33 4" xfId="11554"/>
    <cellStyle name="Output 33 5" xfId="11555"/>
    <cellStyle name="Output 33 6" xfId="11556"/>
    <cellStyle name="Output 33 7" xfId="11557"/>
    <cellStyle name="Output 33 8" xfId="11558"/>
    <cellStyle name="Output 33 9" xfId="11559"/>
    <cellStyle name="Output 34" xfId="3238"/>
    <cellStyle name="Output 34 10" xfId="11560"/>
    <cellStyle name="Output 34 11" xfId="11561"/>
    <cellStyle name="Output 34 12" xfId="11562"/>
    <cellStyle name="Output 34 13" xfId="11563"/>
    <cellStyle name="Output 34 14" xfId="11564"/>
    <cellStyle name="Output 34 15" xfId="11565"/>
    <cellStyle name="Output 34 16" xfId="11566"/>
    <cellStyle name="Output 34 17" xfId="11567"/>
    <cellStyle name="Output 34 18" xfId="11568"/>
    <cellStyle name="Output 34 19" xfId="11569"/>
    <cellStyle name="Output 34 2" xfId="11570"/>
    <cellStyle name="Output 34 20" xfId="11571"/>
    <cellStyle name="Output 34 21" xfId="11572"/>
    <cellStyle name="Output 34 3" xfId="11573"/>
    <cellStyle name="Output 34 4" xfId="11574"/>
    <cellStyle name="Output 34 5" xfId="11575"/>
    <cellStyle name="Output 34 6" xfId="11576"/>
    <cellStyle name="Output 34 7" xfId="11577"/>
    <cellStyle name="Output 34 8" xfId="11578"/>
    <cellStyle name="Output 34 9" xfId="11579"/>
    <cellStyle name="Output 35" xfId="3239"/>
    <cellStyle name="Output 35 10" xfId="11580"/>
    <cellStyle name="Output 35 11" xfId="11581"/>
    <cellStyle name="Output 35 12" xfId="11582"/>
    <cellStyle name="Output 35 13" xfId="11583"/>
    <cellStyle name="Output 35 14" xfId="11584"/>
    <cellStyle name="Output 35 15" xfId="11585"/>
    <cellStyle name="Output 35 16" xfId="11586"/>
    <cellStyle name="Output 35 17" xfId="11587"/>
    <cellStyle name="Output 35 18" xfId="11588"/>
    <cellStyle name="Output 35 19" xfId="11589"/>
    <cellStyle name="Output 35 2" xfId="11590"/>
    <cellStyle name="Output 35 20" xfId="11591"/>
    <cellStyle name="Output 35 21" xfId="11592"/>
    <cellStyle name="Output 35 3" xfId="11593"/>
    <cellStyle name="Output 35 4" xfId="11594"/>
    <cellStyle name="Output 35 5" xfId="11595"/>
    <cellStyle name="Output 35 6" xfId="11596"/>
    <cellStyle name="Output 35 7" xfId="11597"/>
    <cellStyle name="Output 35 8" xfId="11598"/>
    <cellStyle name="Output 35 9" xfId="11599"/>
    <cellStyle name="Output 36" xfId="3240"/>
    <cellStyle name="Output 36 10" xfId="11600"/>
    <cellStyle name="Output 36 11" xfId="11601"/>
    <cellStyle name="Output 36 12" xfId="11602"/>
    <cellStyle name="Output 36 13" xfId="11603"/>
    <cellStyle name="Output 36 14" xfId="11604"/>
    <cellStyle name="Output 36 15" xfId="11605"/>
    <cellStyle name="Output 36 16" xfId="11606"/>
    <cellStyle name="Output 36 17" xfId="11607"/>
    <cellStyle name="Output 36 18" xfId="11608"/>
    <cellStyle name="Output 36 19" xfId="11609"/>
    <cellStyle name="Output 36 2" xfId="11610"/>
    <cellStyle name="Output 36 20" xfId="11611"/>
    <cellStyle name="Output 36 21" xfId="11612"/>
    <cellStyle name="Output 36 3" xfId="11613"/>
    <cellStyle name="Output 36 4" xfId="11614"/>
    <cellStyle name="Output 36 5" xfId="11615"/>
    <cellStyle name="Output 36 6" xfId="11616"/>
    <cellStyle name="Output 36 7" xfId="11617"/>
    <cellStyle name="Output 36 8" xfId="11618"/>
    <cellStyle name="Output 36 9" xfId="11619"/>
    <cellStyle name="Output 37" xfId="3241"/>
    <cellStyle name="Output 37 10" xfId="11620"/>
    <cellStyle name="Output 37 11" xfId="11621"/>
    <cellStyle name="Output 37 12" xfId="11622"/>
    <cellStyle name="Output 37 13" xfId="11623"/>
    <cellStyle name="Output 37 14" xfId="11624"/>
    <cellStyle name="Output 37 15" xfId="11625"/>
    <cellStyle name="Output 37 16" xfId="11626"/>
    <cellStyle name="Output 37 17" xfId="11627"/>
    <cellStyle name="Output 37 18" xfId="11628"/>
    <cellStyle name="Output 37 19" xfId="11629"/>
    <cellStyle name="Output 37 2" xfId="11630"/>
    <cellStyle name="Output 37 20" xfId="11631"/>
    <cellStyle name="Output 37 21" xfId="11632"/>
    <cellStyle name="Output 37 3" xfId="11633"/>
    <cellStyle name="Output 37 4" xfId="11634"/>
    <cellStyle name="Output 37 5" xfId="11635"/>
    <cellStyle name="Output 37 6" xfId="11636"/>
    <cellStyle name="Output 37 7" xfId="11637"/>
    <cellStyle name="Output 37 8" xfId="11638"/>
    <cellStyle name="Output 37 9" xfId="11639"/>
    <cellStyle name="Output 38" xfId="3242"/>
    <cellStyle name="Output 38 10" xfId="11640"/>
    <cellStyle name="Output 38 11" xfId="11641"/>
    <cellStyle name="Output 38 12" xfId="11642"/>
    <cellStyle name="Output 38 13" xfId="11643"/>
    <cellStyle name="Output 38 14" xfId="11644"/>
    <cellStyle name="Output 38 15" xfId="11645"/>
    <cellStyle name="Output 38 16" xfId="11646"/>
    <cellStyle name="Output 38 17" xfId="11647"/>
    <cellStyle name="Output 38 18" xfId="11648"/>
    <cellStyle name="Output 38 19" xfId="11649"/>
    <cellStyle name="Output 38 2" xfId="11650"/>
    <cellStyle name="Output 38 20" xfId="11651"/>
    <cellStyle name="Output 38 21" xfId="11652"/>
    <cellStyle name="Output 38 3" xfId="11653"/>
    <cellStyle name="Output 38 4" xfId="11654"/>
    <cellStyle name="Output 38 5" xfId="11655"/>
    <cellStyle name="Output 38 6" xfId="11656"/>
    <cellStyle name="Output 38 7" xfId="11657"/>
    <cellStyle name="Output 38 8" xfId="11658"/>
    <cellStyle name="Output 38 9" xfId="11659"/>
    <cellStyle name="Output 39" xfId="3243"/>
    <cellStyle name="Output 39 10" xfId="11660"/>
    <cellStyle name="Output 39 11" xfId="11661"/>
    <cellStyle name="Output 39 12" xfId="11662"/>
    <cellStyle name="Output 39 13" xfId="11663"/>
    <cellStyle name="Output 39 14" xfId="11664"/>
    <cellStyle name="Output 39 15" xfId="11665"/>
    <cellStyle name="Output 39 16" xfId="11666"/>
    <cellStyle name="Output 39 17" xfId="11667"/>
    <cellStyle name="Output 39 18" xfId="11668"/>
    <cellStyle name="Output 39 19" xfId="11669"/>
    <cellStyle name="Output 39 2" xfId="11670"/>
    <cellStyle name="Output 39 20" xfId="11671"/>
    <cellStyle name="Output 39 21" xfId="11672"/>
    <cellStyle name="Output 39 3" xfId="11673"/>
    <cellStyle name="Output 39 4" xfId="11674"/>
    <cellStyle name="Output 39 5" xfId="11675"/>
    <cellStyle name="Output 39 6" xfId="11676"/>
    <cellStyle name="Output 39 7" xfId="11677"/>
    <cellStyle name="Output 39 8" xfId="11678"/>
    <cellStyle name="Output 39 9" xfId="11679"/>
    <cellStyle name="Output 4" xfId="3244"/>
    <cellStyle name="Output 4 10" xfId="11680"/>
    <cellStyle name="Output 4 11" xfId="11681"/>
    <cellStyle name="Output 4 12" xfId="11682"/>
    <cellStyle name="Output 4 13" xfId="11683"/>
    <cellStyle name="Output 4 14" xfId="11684"/>
    <cellStyle name="Output 4 15" xfId="11685"/>
    <cellStyle name="Output 4 16" xfId="11686"/>
    <cellStyle name="Output 4 17" xfId="11687"/>
    <cellStyle name="Output 4 18" xfId="11688"/>
    <cellStyle name="Output 4 19" xfId="11689"/>
    <cellStyle name="Output 4 2" xfId="11690"/>
    <cellStyle name="Output 4 20" xfId="11691"/>
    <cellStyle name="Output 4 21" xfId="11692"/>
    <cellStyle name="Output 4 3" xfId="11693"/>
    <cellStyle name="Output 4 4" xfId="11694"/>
    <cellStyle name="Output 4 5" xfId="11695"/>
    <cellStyle name="Output 4 6" xfId="11696"/>
    <cellStyle name="Output 4 7" xfId="11697"/>
    <cellStyle name="Output 4 8" xfId="11698"/>
    <cellStyle name="Output 4 9" xfId="11699"/>
    <cellStyle name="Output 40" xfId="3245"/>
    <cellStyle name="Output 40 10" xfId="11700"/>
    <cellStyle name="Output 40 11" xfId="11701"/>
    <cellStyle name="Output 40 12" xfId="11702"/>
    <cellStyle name="Output 40 13" xfId="11703"/>
    <cellStyle name="Output 40 14" xfId="11704"/>
    <cellStyle name="Output 40 15" xfId="11705"/>
    <cellStyle name="Output 40 16" xfId="11706"/>
    <cellStyle name="Output 40 17" xfId="11707"/>
    <cellStyle name="Output 40 18" xfId="11708"/>
    <cellStyle name="Output 40 19" xfId="11709"/>
    <cellStyle name="Output 40 2" xfId="11710"/>
    <cellStyle name="Output 40 20" xfId="11711"/>
    <cellStyle name="Output 40 21" xfId="11712"/>
    <cellStyle name="Output 40 3" xfId="11713"/>
    <cellStyle name="Output 40 4" xfId="11714"/>
    <cellStyle name="Output 40 5" xfId="11715"/>
    <cellStyle name="Output 40 6" xfId="11716"/>
    <cellStyle name="Output 40 7" xfId="11717"/>
    <cellStyle name="Output 40 8" xfId="11718"/>
    <cellStyle name="Output 40 9" xfId="11719"/>
    <cellStyle name="Output 41" xfId="3246"/>
    <cellStyle name="Output 41 10" xfId="11720"/>
    <cellStyle name="Output 41 11" xfId="11721"/>
    <cellStyle name="Output 41 12" xfId="11722"/>
    <cellStyle name="Output 41 13" xfId="11723"/>
    <cellStyle name="Output 41 14" xfId="11724"/>
    <cellStyle name="Output 41 15" xfId="11725"/>
    <cellStyle name="Output 41 16" xfId="11726"/>
    <cellStyle name="Output 41 17" xfId="11727"/>
    <cellStyle name="Output 41 18" xfId="11728"/>
    <cellStyle name="Output 41 19" xfId="11729"/>
    <cellStyle name="Output 41 2" xfId="11730"/>
    <cellStyle name="Output 41 20" xfId="11731"/>
    <cellStyle name="Output 41 21" xfId="11732"/>
    <cellStyle name="Output 41 3" xfId="11733"/>
    <cellStyle name="Output 41 4" xfId="11734"/>
    <cellStyle name="Output 41 5" xfId="11735"/>
    <cellStyle name="Output 41 6" xfId="11736"/>
    <cellStyle name="Output 41 7" xfId="11737"/>
    <cellStyle name="Output 41 8" xfId="11738"/>
    <cellStyle name="Output 41 9" xfId="11739"/>
    <cellStyle name="Output 42" xfId="3247"/>
    <cellStyle name="Output 42 10" xfId="11740"/>
    <cellStyle name="Output 42 11" xfId="11741"/>
    <cellStyle name="Output 42 12" xfId="11742"/>
    <cellStyle name="Output 42 13" xfId="11743"/>
    <cellStyle name="Output 42 14" xfId="11744"/>
    <cellStyle name="Output 42 15" xfId="11745"/>
    <cellStyle name="Output 42 16" xfId="11746"/>
    <cellStyle name="Output 42 17" xfId="11747"/>
    <cellStyle name="Output 42 18" xfId="11748"/>
    <cellStyle name="Output 42 19" xfId="11749"/>
    <cellStyle name="Output 42 2" xfId="11750"/>
    <cellStyle name="Output 42 20" xfId="11751"/>
    <cellStyle name="Output 42 21" xfId="11752"/>
    <cellStyle name="Output 42 3" xfId="11753"/>
    <cellStyle name="Output 42 4" xfId="11754"/>
    <cellStyle name="Output 42 5" xfId="11755"/>
    <cellStyle name="Output 42 6" xfId="11756"/>
    <cellStyle name="Output 42 7" xfId="11757"/>
    <cellStyle name="Output 42 8" xfId="11758"/>
    <cellStyle name="Output 42 9" xfId="11759"/>
    <cellStyle name="Output 43" xfId="3248"/>
    <cellStyle name="Output 43 10" xfId="11760"/>
    <cellStyle name="Output 43 11" xfId="11761"/>
    <cellStyle name="Output 43 12" xfId="11762"/>
    <cellStyle name="Output 43 13" xfId="11763"/>
    <cellStyle name="Output 43 14" xfId="11764"/>
    <cellStyle name="Output 43 15" xfId="11765"/>
    <cellStyle name="Output 43 16" xfId="11766"/>
    <cellStyle name="Output 43 17" xfId="11767"/>
    <cellStyle name="Output 43 18" xfId="11768"/>
    <cellStyle name="Output 43 19" xfId="11769"/>
    <cellStyle name="Output 43 2" xfId="11770"/>
    <cellStyle name="Output 43 20" xfId="11771"/>
    <cellStyle name="Output 43 21" xfId="11772"/>
    <cellStyle name="Output 43 3" xfId="11773"/>
    <cellStyle name="Output 43 4" xfId="11774"/>
    <cellStyle name="Output 43 5" xfId="11775"/>
    <cellStyle name="Output 43 6" xfId="11776"/>
    <cellStyle name="Output 43 7" xfId="11777"/>
    <cellStyle name="Output 43 8" xfId="11778"/>
    <cellStyle name="Output 43 9" xfId="11779"/>
    <cellStyle name="Output 44" xfId="3249"/>
    <cellStyle name="Output 44 10" xfId="11780"/>
    <cellStyle name="Output 44 11" xfId="11781"/>
    <cellStyle name="Output 44 12" xfId="11782"/>
    <cellStyle name="Output 44 13" xfId="11783"/>
    <cellStyle name="Output 44 14" xfId="11784"/>
    <cellStyle name="Output 44 15" xfId="11785"/>
    <cellStyle name="Output 44 16" xfId="11786"/>
    <cellStyle name="Output 44 17" xfId="11787"/>
    <cellStyle name="Output 44 18" xfId="11788"/>
    <cellStyle name="Output 44 19" xfId="11789"/>
    <cellStyle name="Output 44 2" xfId="11790"/>
    <cellStyle name="Output 44 20" xfId="11791"/>
    <cellStyle name="Output 44 21" xfId="11792"/>
    <cellStyle name="Output 44 3" xfId="11793"/>
    <cellStyle name="Output 44 4" xfId="11794"/>
    <cellStyle name="Output 44 5" xfId="11795"/>
    <cellStyle name="Output 44 6" xfId="11796"/>
    <cellStyle name="Output 44 7" xfId="11797"/>
    <cellStyle name="Output 44 8" xfId="11798"/>
    <cellStyle name="Output 44 9" xfId="11799"/>
    <cellStyle name="Output 45" xfId="3250"/>
    <cellStyle name="Output 45 10" xfId="11800"/>
    <cellStyle name="Output 45 11" xfId="11801"/>
    <cellStyle name="Output 45 12" xfId="11802"/>
    <cellStyle name="Output 45 13" xfId="11803"/>
    <cellStyle name="Output 45 14" xfId="11804"/>
    <cellStyle name="Output 45 15" xfId="11805"/>
    <cellStyle name="Output 45 16" xfId="11806"/>
    <cellStyle name="Output 45 17" xfId="11807"/>
    <cellStyle name="Output 45 18" xfId="11808"/>
    <cellStyle name="Output 45 19" xfId="11809"/>
    <cellStyle name="Output 45 2" xfId="11810"/>
    <cellStyle name="Output 45 20" xfId="11811"/>
    <cellStyle name="Output 45 21" xfId="11812"/>
    <cellStyle name="Output 45 3" xfId="11813"/>
    <cellStyle name="Output 45 4" xfId="11814"/>
    <cellStyle name="Output 45 5" xfId="11815"/>
    <cellStyle name="Output 45 6" xfId="11816"/>
    <cellStyle name="Output 45 7" xfId="11817"/>
    <cellStyle name="Output 45 8" xfId="11818"/>
    <cellStyle name="Output 45 9" xfId="11819"/>
    <cellStyle name="Output 46" xfId="3251"/>
    <cellStyle name="Output 46 10" xfId="11820"/>
    <cellStyle name="Output 46 11" xfId="11821"/>
    <cellStyle name="Output 46 12" xfId="11822"/>
    <cellStyle name="Output 46 13" xfId="11823"/>
    <cellStyle name="Output 46 14" xfId="11824"/>
    <cellStyle name="Output 46 15" xfId="11825"/>
    <cellStyle name="Output 46 16" xfId="11826"/>
    <cellStyle name="Output 46 17" xfId="11827"/>
    <cellStyle name="Output 46 18" xfId="11828"/>
    <cellStyle name="Output 46 19" xfId="11829"/>
    <cellStyle name="Output 46 2" xfId="11830"/>
    <cellStyle name="Output 46 20" xfId="11831"/>
    <cellStyle name="Output 46 21" xfId="11832"/>
    <cellStyle name="Output 46 3" xfId="11833"/>
    <cellStyle name="Output 46 4" xfId="11834"/>
    <cellStyle name="Output 46 5" xfId="11835"/>
    <cellStyle name="Output 46 6" xfId="11836"/>
    <cellStyle name="Output 46 7" xfId="11837"/>
    <cellStyle name="Output 46 8" xfId="11838"/>
    <cellStyle name="Output 46 9" xfId="11839"/>
    <cellStyle name="Output 47" xfId="3252"/>
    <cellStyle name="Output 47 10" xfId="11840"/>
    <cellStyle name="Output 47 11" xfId="11841"/>
    <cellStyle name="Output 47 12" xfId="11842"/>
    <cellStyle name="Output 47 13" xfId="11843"/>
    <cellStyle name="Output 47 14" xfId="11844"/>
    <cellStyle name="Output 47 15" xfId="11845"/>
    <cellStyle name="Output 47 16" xfId="11846"/>
    <cellStyle name="Output 47 17" xfId="11847"/>
    <cellStyle name="Output 47 18" xfId="11848"/>
    <cellStyle name="Output 47 19" xfId="11849"/>
    <cellStyle name="Output 47 2" xfId="11850"/>
    <cellStyle name="Output 47 20" xfId="11851"/>
    <cellStyle name="Output 47 21" xfId="11852"/>
    <cellStyle name="Output 47 3" xfId="11853"/>
    <cellStyle name="Output 47 4" xfId="11854"/>
    <cellStyle name="Output 47 5" xfId="11855"/>
    <cellStyle name="Output 47 6" xfId="11856"/>
    <cellStyle name="Output 47 7" xfId="11857"/>
    <cellStyle name="Output 47 8" xfId="11858"/>
    <cellStyle name="Output 47 9" xfId="11859"/>
    <cellStyle name="Output 48" xfId="3253"/>
    <cellStyle name="Output 48 10" xfId="11860"/>
    <cellStyle name="Output 48 11" xfId="11861"/>
    <cellStyle name="Output 48 12" xfId="11862"/>
    <cellStyle name="Output 48 13" xfId="11863"/>
    <cellStyle name="Output 48 14" xfId="11864"/>
    <cellStyle name="Output 48 15" xfId="11865"/>
    <cellStyle name="Output 48 16" xfId="11866"/>
    <cellStyle name="Output 48 17" xfId="11867"/>
    <cellStyle name="Output 48 18" xfId="11868"/>
    <cellStyle name="Output 48 19" xfId="11869"/>
    <cellStyle name="Output 48 2" xfId="11870"/>
    <cellStyle name="Output 48 20" xfId="11871"/>
    <cellStyle name="Output 48 21" xfId="11872"/>
    <cellStyle name="Output 48 3" xfId="11873"/>
    <cellStyle name="Output 48 4" xfId="11874"/>
    <cellStyle name="Output 48 5" xfId="11875"/>
    <cellStyle name="Output 48 6" xfId="11876"/>
    <cellStyle name="Output 48 7" xfId="11877"/>
    <cellStyle name="Output 48 8" xfId="11878"/>
    <cellStyle name="Output 48 9" xfId="11879"/>
    <cellStyle name="Output 49" xfId="3254"/>
    <cellStyle name="Output 49 10" xfId="11880"/>
    <cellStyle name="Output 49 11" xfId="11881"/>
    <cellStyle name="Output 49 12" xfId="11882"/>
    <cellStyle name="Output 49 13" xfId="11883"/>
    <cellStyle name="Output 49 14" xfId="11884"/>
    <cellStyle name="Output 49 15" xfId="11885"/>
    <cellStyle name="Output 49 16" xfId="11886"/>
    <cellStyle name="Output 49 17" xfId="11887"/>
    <cellStyle name="Output 49 18" xfId="11888"/>
    <cellStyle name="Output 49 19" xfId="11889"/>
    <cellStyle name="Output 49 2" xfId="11890"/>
    <cellStyle name="Output 49 20" xfId="11891"/>
    <cellStyle name="Output 49 21" xfId="11892"/>
    <cellStyle name="Output 49 3" xfId="11893"/>
    <cellStyle name="Output 49 4" xfId="11894"/>
    <cellStyle name="Output 49 5" xfId="11895"/>
    <cellStyle name="Output 49 6" xfId="11896"/>
    <cellStyle name="Output 49 7" xfId="11897"/>
    <cellStyle name="Output 49 8" xfId="11898"/>
    <cellStyle name="Output 49 9" xfId="11899"/>
    <cellStyle name="Output 5" xfId="3255"/>
    <cellStyle name="Output 5 10" xfId="11900"/>
    <cellStyle name="Output 5 11" xfId="11901"/>
    <cellStyle name="Output 5 12" xfId="11902"/>
    <cellStyle name="Output 5 13" xfId="11903"/>
    <cellStyle name="Output 5 14" xfId="11904"/>
    <cellStyle name="Output 5 15" xfId="11905"/>
    <cellStyle name="Output 5 16" xfId="11906"/>
    <cellStyle name="Output 5 17" xfId="11907"/>
    <cellStyle name="Output 5 18" xfId="11908"/>
    <cellStyle name="Output 5 19" xfId="11909"/>
    <cellStyle name="Output 5 2" xfId="11910"/>
    <cellStyle name="Output 5 20" xfId="11911"/>
    <cellStyle name="Output 5 21" xfId="11912"/>
    <cellStyle name="Output 5 3" xfId="11913"/>
    <cellStyle name="Output 5 4" xfId="11914"/>
    <cellStyle name="Output 5 5" xfId="11915"/>
    <cellStyle name="Output 5 6" xfId="11916"/>
    <cellStyle name="Output 5 7" xfId="11917"/>
    <cellStyle name="Output 5 8" xfId="11918"/>
    <cellStyle name="Output 5 9" xfId="11919"/>
    <cellStyle name="Output 50" xfId="3256"/>
    <cellStyle name="Output 50 10" xfId="11920"/>
    <cellStyle name="Output 50 11" xfId="11921"/>
    <cellStyle name="Output 50 12" xfId="11922"/>
    <cellStyle name="Output 50 13" xfId="11923"/>
    <cellStyle name="Output 50 14" xfId="11924"/>
    <cellStyle name="Output 50 15" xfId="11925"/>
    <cellStyle name="Output 50 16" xfId="11926"/>
    <cellStyle name="Output 50 17" xfId="11927"/>
    <cellStyle name="Output 50 18" xfId="11928"/>
    <cellStyle name="Output 50 19" xfId="11929"/>
    <cellStyle name="Output 50 2" xfId="11930"/>
    <cellStyle name="Output 50 20" xfId="11931"/>
    <cellStyle name="Output 50 21" xfId="11932"/>
    <cellStyle name="Output 50 3" xfId="11933"/>
    <cellStyle name="Output 50 4" xfId="11934"/>
    <cellStyle name="Output 50 5" xfId="11935"/>
    <cellStyle name="Output 50 6" xfId="11936"/>
    <cellStyle name="Output 50 7" xfId="11937"/>
    <cellStyle name="Output 50 8" xfId="11938"/>
    <cellStyle name="Output 50 9" xfId="11939"/>
    <cellStyle name="Output 51" xfId="3257"/>
    <cellStyle name="Output 51 10" xfId="11940"/>
    <cellStyle name="Output 51 11" xfId="11941"/>
    <cellStyle name="Output 51 12" xfId="11942"/>
    <cellStyle name="Output 51 13" xfId="11943"/>
    <cellStyle name="Output 51 14" xfId="11944"/>
    <cellStyle name="Output 51 15" xfId="11945"/>
    <cellStyle name="Output 51 16" xfId="11946"/>
    <cellStyle name="Output 51 17" xfId="11947"/>
    <cellStyle name="Output 51 18" xfId="11948"/>
    <cellStyle name="Output 51 19" xfId="11949"/>
    <cellStyle name="Output 51 2" xfId="11950"/>
    <cellStyle name="Output 51 20" xfId="11951"/>
    <cellStyle name="Output 51 21" xfId="11952"/>
    <cellStyle name="Output 51 3" xfId="11953"/>
    <cellStyle name="Output 51 4" xfId="11954"/>
    <cellStyle name="Output 51 5" xfId="11955"/>
    <cellStyle name="Output 51 6" xfId="11956"/>
    <cellStyle name="Output 51 7" xfId="11957"/>
    <cellStyle name="Output 51 8" xfId="11958"/>
    <cellStyle name="Output 51 9" xfId="11959"/>
    <cellStyle name="Output 52" xfId="3258"/>
    <cellStyle name="Output 52 10" xfId="11960"/>
    <cellStyle name="Output 52 11" xfId="11961"/>
    <cellStyle name="Output 52 12" xfId="11962"/>
    <cellStyle name="Output 52 13" xfId="11963"/>
    <cellStyle name="Output 52 14" xfId="11964"/>
    <cellStyle name="Output 52 15" xfId="11965"/>
    <cellStyle name="Output 52 16" xfId="11966"/>
    <cellStyle name="Output 52 17" xfId="11967"/>
    <cellStyle name="Output 52 18" xfId="11968"/>
    <cellStyle name="Output 52 19" xfId="11969"/>
    <cellStyle name="Output 52 2" xfId="11970"/>
    <cellStyle name="Output 52 20" xfId="11971"/>
    <cellStyle name="Output 52 21" xfId="11972"/>
    <cellStyle name="Output 52 3" xfId="11973"/>
    <cellStyle name="Output 52 4" xfId="11974"/>
    <cellStyle name="Output 52 5" xfId="11975"/>
    <cellStyle name="Output 52 6" xfId="11976"/>
    <cellStyle name="Output 52 7" xfId="11977"/>
    <cellStyle name="Output 52 8" xfId="11978"/>
    <cellStyle name="Output 52 9" xfId="11979"/>
    <cellStyle name="Output 53" xfId="3259"/>
    <cellStyle name="Output 53 10" xfId="11980"/>
    <cellStyle name="Output 53 11" xfId="11981"/>
    <cellStyle name="Output 53 12" xfId="11982"/>
    <cellStyle name="Output 53 13" xfId="11983"/>
    <cellStyle name="Output 53 14" xfId="11984"/>
    <cellStyle name="Output 53 15" xfId="11985"/>
    <cellStyle name="Output 53 16" xfId="11986"/>
    <cellStyle name="Output 53 17" xfId="11987"/>
    <cellStyle name="Output 53 18" xfId="11988"/>
    <cellStyle name="Output 53 19" xfId="11989"/>
    <cellStyle name="Output 53 2" xfId="11990"/>
    <cellStyle name="Output 53 20" xfId="11991"/>
    <cellStyle name="Output 53 21" xfId="11992"/>
    <cellStyle name="Output 53 3" xfId="11993"/>
    <cellStyle name="Output 53 4" xfId="11994"/>
    <cellStyle name="Output 53 5" xfId="11995"/>
    <cellStyle name="Output 53 6" xfId="11996"/>
    <cellStyle name="Output 53 7" xfId="11997"/>
    <cellStyle name="Output 53 8" xfId="11998"/>
    <cellStyle name="Output 53 9" xfId="11999"/>
    <cellStyle name="Output 54" xfId="3260"/>
    <cellStyle name="Output 54 10" xfId="12000"/>
    <cellStyle name="Output 54 11" xfId="12001"/>
    <cellStyle name="Output 54 12" xfId="12002"/>
    <cellStyle name="Output 54 13" xfId="12003"/>
    <cellStyle name="Output 54 14" xfId="12004"/>
    <cellStyle name="Output 54 15" xfId="12005"/>
    <cellStyle name="Output 54 16" xfId="12006"/>
    <cellStyle name="Output 54 17" xfId="12007"/>
    <cellStyle name="Output 54 18" xfId="12008"/>
    <cellStyle name="Output 54 19" xfId="12009"/>
    <cellStyle name="Output 54 2" xfId="12010"/>
    <cellStyle name="Output 54 20" xfId="12011"/>
    <cellStyle name="Output 54 21" xfId="12012"/>
    <cellStyle name="Output 54 3" xfId="12013"/>
    <cellStyle name="Output 54 4" xfId="12014"/>
    <cellStyle name="Output 54 5" xfId="12015"/>
    <cellStyle name="Output 54 6" xfId="12016"/>
    <cellStyle name="Output 54 7" xfId="12017"/>
    <cellStyle name="Output 54 8" xfId="12018"/>
    <cellStyle name="Output 54 9" xfId="12019"/>
    <cellStyle name="Output 55" xfId="3261"/>
    <cellStyle name="Output 55 10" xfId="12020"/>
    <cellStyle name="Output 55 11" xfId="12021"/>
    <cellStyle name="Output 55 12" xfId="12022"/>
    <cellStyle name="Output 55 13" xfId="12023"/>
    <cellStyle name="Output 55 14" xfId="12024"/>
    <cellStyle name="Output 55 15" xfId="12025"/>
    <cellStyle name="Output 55 16" xfId="12026"/>
    <cellStyle name="Output 55 17" xfId="12027"/>
    <cellStyle name="Output 55 18" xfId="12028"/>
    <cellStyle name="Output 55 19" xfId="12029"/>
    <cellStyle name="Output 55 2" xfId="12030"/>
    <cellStyle name="Output 55 20" xfId="12031"/>
    <cellStyle name="Output 55 21" xfId="12032"/>
    <cellStyle name="Output 55 3" xfId="12033"/>
    <cellStyle name="Output 55 4" xfId="12034"/>
    <cellStyle name="Output 55 5" xfId="12035"/>
    <cellStyle name="Output 55 6" xfId="12036"/>
    <cellStyle name="Output 55 7" xfId="12037"/>
    <cellStyle name="Output 55 8" xfId="12038"/>
    <cellStyle name="Output 55 9" xfId="12039"/>
    <cellStyle name="Output 56" xfId="3262"/>
    <cellStyle name="Output 56 10" xfId="12040"/>
    <cellStyle name="Output 56 11" xfId="12041"/>
    <cellStyle name="Output 56 12" xfId="12042"/>
    <cellStyle name="Output 56 13" xfId="12043"/>
    <cellStyle name="Output 56 14" xfId="12044"/>
    <cellStyle name="Output 56 15" xfId="12045"/>
    <cellStyle name="Output 56 16" xfId="12046"/>
    <cellStyle name="Output 56 17" xfId="12047"/>
    <cellStyle name="Output 56 18" xfId="12048"/>
    <cellStyle name="Output 56 19" xfId="12049"/>
    <cellStyle name="Output 56 2" xfId="12050"/>
    <cellStyle name="Output 56 20" xfId="12051"/>
    <cellStyle name="Output 56 21" xfId="12052"/>
    <cellStyle name="Output 56 3" xfId="12053"/>
    <cellStyle name="Output 56 4" xfId="12054"/>
    <cellStyle name="Output 56 5" xfId="12055"/>
    <cellStyle name="Output 56 6" xfId="12056"/>
    <cellStyle name="Output 56 7" xfId="12057"/>
    <cellStyle name="Output 56 8" xfId="12058"/>
    <cellStyle name="Output 56 9" xfId="12059"/>
    <cellStyle name="Output 57" xfId="3263"/>
    <cellStyle name="Output 57 10" xfId="12060"/>
    <cellStyle name="Output 57 11" xfId="12061"/>
    <cellStyle name="Output 57 12" xfId="12062"/>
    <cellStyle name="Output 57 13" xfId="12063"/>
    <cellStyle name="Output 57 14" xfId="12064"/>
    <cellStyle name="Output 57 15" xfId="12065"/>
    <cellStyle name="Output 57 16" xfId="12066"/>
    <cellStyle name="Output 57 17" xfId="12067"/>
    <cellStyle name="Output 57 18" xfId="12068"/>
    <cellStyle name="Output 57 19" xfId="12069"/>
    <cellStyle name="Output 57 2" xfId="12070"/>
    <cellStyle name="Output 57 20" xfId="12071"/>
    <cellStyle name="Output 57 21" xfId="12072"/>
    <cellStyle name="Output 57 3" xfId="12073"/>
    <cellStyle name="Output 57 4" xfId="12074"/>
    <cellStyle name="Output 57 5" xfId="12075"/>
    <cellStyle name="Output 57 6" xfId="12076"/>
    <cellStyle name="Output 57 7" xfId="12077"/>
    <cellStyle name="Output 57 8" xfId="12078"/>
    <cellStyle name="Output 57 9" xfId="12079"/>
    <cellStyle name="Output 58" xfId="3264"/>
    <cellStyle name="Output 58 10" xfId="12080"/>
    <cellStyle name="Output 58 11" xfId="12081"/>
    <cellStyle name="Output 58 12" xfId="12082"/>
    <cellStyle name="Output 58 13" xfId="12083"/>
    <cellStyle name="Output 58 14" xfId="12084"/>
    <cellStyle name="Output 58 15" xfId="12085"/>
    <cellStyle name="Output 58 16" xfId="12086"/>
    <cellStyle name="Output 58 17" xfId="12087"/>
    <cellStyle name="Output 58 18" xfId="12088"/>
    <cellStyle name="Output 58 19" xfId="12089"/>
    <cellStyle name="Output 58 2" xfId="12090"/>
    <cellStyle name="Output 58 20" xfId="12091"/>
    <cellStyle name="Output 58 21" xfId="12092"/>
    <cellStyle name="Output 58 3" xfId="12093"/>
    <cellStyle name="Output 58 4" xfId="12094"/>
    <cellStyle name="Output 58 5" xfId="12095"/>
    <cellStyle name="Output 58 6" xfId="12096"/>
    <cellStyle name="Output 58 7" xfId="12097"/>
    <cellStyle name="Output 58 8" xfId="12098"/>
    <cellStyle name="Output 58 9" xfId="12099"/>
    <cellStyle name="Output 59" xfId="3265"/>
    <cellStyle name="Output 59 10" xfId="12100"/>
    <cellStyle name="Output 59 11" xfId="12101"/>
    <cellStyle name="Output 59 12" xfId="12102"/>
    <cellStyle name="Output 59 13" xfId="12103"/>
    <cellStyle name="Output 59 14" xfId="12104"/>
    <cellStyle name="Output 59 15" xfId="12105"/>
    <cellStyle name="Output 59 16" xfId="12106"/>
    <cellStyle name="Output 59 17" xfId="12107"/>
    <cellStyle name="Output 59 18" xfId="12108"/>
    <cellStyle name="Output 59 19" xfId="12109"/>
    <cellStyle name="Output 59 2" xfId="12110"/>
    <cellStyle name="Output 59 20" xfId="12111"/>
    <cellStyle name="Output 59 21" xfId="12112"/>
    <cellStyle name="Output 59 3" xfId="12113"/>
    <cellStyle name="Output 59 4" xfId="12114"/>
    <cellStyle name="Output 59 5" xfId="12115"/>
    <cellStyle name="Output 59 6" xfId="12116"/>
    <cellStyle name="Output 59 7" xfId="12117"/>
    <cellStyle name="Output 59 8" xfId="12118"/>
    <cellStyle name="Output 59 9" xfId="12119"/>
    <cellStyle name="Output 6" xfId="3266"/>
    <cellStyle name="Output 6 10" xfId="12120"/>
    <cellStyle name="Output 6 11" xfId="12121"/>
    <cellStyle name="Output 6 12" xfId="12122"/>
    <cellStyle name="Output 6 13" xfId="12123"/>
    <cellStyle name="Output 6 14" xfId="12124"/>
    <cellStyle name="Output 6 15" xfId="12125"/>
    <cellStyle name="Output 6 16" xfId="12126"/>
    <cellStyle name="Output 6 17" xfId="12127"/>
    <cellStyle name="Output 6 18" xfId="12128"/>
    <cellStyle name="Output 6 19" xfId="12129"/>
    <cellStyle name="Output 6 2" xfId="12130"/>
    <cellStyle name="Output 6 20" xfId="12131"/>
    <cellStyle name="Output 6 21" xfId="12132"/>
    <cellStyle name="Output 6 3" xfId="12133"/>
    <cellStyle name="Output 6 4" xfId="12134"/>
    <cellStyle name="Output 6 5" xfId="12135"/>
    <cellStyle name="Output 6 6" xfId="12136"/>
    <cellStyle name="Output 6 7" xfId="12137"/>
    <cellStyle name="Output 6 8" xfId="12138"/>
    <cellStyle name="Output 6 9" xfId="12139"/>
    <cellStyle name="Output 60" xfId="12140"/>
    <cellStyle name="Output 61" xfId="12141"/>
    <cellStyle name="Output 62" xfId="12142"/>
    <cellStyle name="Output 63" xfId="12143"/>
    <cellStyle name="Output 64" xfId="12144"/>
    <cellStyle name="Output 65" xfId="12145"/>
    <cellStyle name="Output 66" xfId="12146"/>
    <cellStyle name="Output 67" xfId="12147"/>
    <cellStyle name="Output 68" xfId="12148"/>
    <cellStyle name="Output 69" xfId="12149"/>
    <cellStyle name="Output 7" xfId="3267"/>
    <cellStyle name="Output 7 10" xfId="12150"/>
    <cellStyle name="Output 7 11" xfId="12151"/>
    <cellStyle name="Output 7 12" xfId="12152"/>
    <cellStyle name="Output 7 13" xfId="12153"/>
    <cellStyle name="Output 7 14" xfId="12154"/>
    <cellStyle name="Output 7 15" xfId="12155"/>
    <cellStyle name="Output 7 16" xfId="12156"/>
    <cellStyle name="Output 7 17" xfId="12157"/>
    <cellStyle name="Output 7 18" xfId="12158"/>
    <cellStyle name="Output 7 19" xfId="12159"/>
    <cellStyle name="Output 7 2" xfId="12160"/>
    <cellStyle name="Output 7 20" xfId="12161"/>
    <cellStyle name="Output 7 21" xfId="12162"/>
    <cellStyle name="Output 7 3" xfId="12163"/>
    <cellStyle name="Output 7 4" xfId="12164"/>
    <cellStyle name="Output 7 5" xfId="12165"/>
    <cellStyle name="Output 7 6" xfId="12166"/>
    <cellStyle name="Output 7 7" xfId="12167"/>
    <cellStyle name="Output 7 8" xfId="12168"/>
    <cellStyle name="Output 7 9" xfId="12169"/>
    <cellStyle name="Output 70" xfId="12170"/>
    <cellStyle name="Output 71" xfId="12171"/>
    <cellStyle name="Output 72" xfId="12172"/>
    <cellStyle name="Output 73" xfId="12173"/>
    <cellStyle name="Output 74" xfId="12174"/>
    <cellStyle name="Output 75" xfId="12175"/>
    <cellStyle name="Output 76" xfId="12176"/>
    <cellStyle name="Output 77" xfId="12177"/>
    <cellStyle name="Output 78" xfId="12178"/>
    <cellStyle name="Output 79" xfId="12179"/>
    <cellStyle name="Output 8" xfId="3268"/>
    <cellStyle name="Output 8 10" xfId="12180"/>
    <cellStyle name="Output 8 11" xfId="12181"/>
    <cellStyle name="Output 8 12" xfId="12182"/>
    <cellStyle name="Output 8 13" xfId="12183"/>
    <cellStyle name="Output 8 14" xfId="12184"/>
    <cellStyle name="Output 8 15" xfId="12185"/>
    <cellStyle name="Output 8 16" xfId="12186"/>
    <cellStyle name="Output 8 17" xfId="12187"/>
    <cellStyle name="Output 8 18" xfId="12188"/>
    <cellStyle name="Output 8 19" xfId="12189"/>
    <cellStyle name="Output 8 2" xfId="12190"/>
    <cellStyle name="Output 8 20" xfId="12191"/>
    <cellStyle name="Output 8 21" xfId="12192"/>
    <cellStyle name="Output 8 3" xfId="12193"/>
    <cellStyle name="Output 8 4" xfId="12194"/>
    <cellStyle name="Output 8 5" xfId="12195"/>
    <cellStyle name="Output 8 6" xfId="12196"/>
    <cellStyle name="Output 8 7" xfId="12197"/>
    <cellStyle name="Output 8 8" xfId="12198"/>
    <cellStyle name="Output 8 9" xfId="12199"/>
    <cellStyle name="Output 9" xfId="3269"/>
    <cellStyle name="Output 9 10" xfId="12200"/>
    <cellStyle name="Output 9 11" xfId="12201"/>
    <cellStyle name="Output 9 12" xfId="12202"/>
    <cellStyle name="Output 9 13" xfId="12203"/>
    <cellStyle name="Output 9 14" xfId="12204"/>
    <cellStyle name="Output 9 15" xfId="12205"/>
    <cellStyle name="Output 9 16" xfId="12206"/>
    <cellStyle name="Output 9 17" xfId="12207"/>
    <cellStyle name="Output 9 18" xfId="12208"/>
    <cellStyle name="Output 9 19" xfId="12209"/>
    <cellStyle name="Output 9 2" xfId="12210"/>
    <cellStyle name="Output 9 20" xfId="12211"/>
    <cellStyle name="Output 9 21" xfId="12212"/>
    <cellStyle name="Output 9 3" xfId="12213"/>
    <cellStyle name="Output 9 4" xfId="12214"/>
    <cellStyle name="Output 9 5" xfId="12215"/>
    <cellStyle name="Output 9 6" xfId="12216"/>
    <cellStyle name="Output 9 7" xfId="12217"/>
    <cellStyle name="Output 9 8" xfId="12218"/>
    <cellStyle name="Output 9 9" xfId="12219"/>
    <cellStyle name="paint" xfId="16821"/>
    <cellStyle name="per.style" xfId="16822"/>
    <cellStyle name="Percent" xfId="1" builtinId="5"/>
    <cellStyle name="Percent [0]" xfId="16823"/>
    <cellStyle name="Percent [00]" xfId="16824"/>
    <cellStyle name="Percent [2]" xfId="16825"/>
    <cellStyle name="Percent 2" xfId="25"/>
    <cellStyle name="Percent 2 2" xfId="26"/>
    <cellStyle name="Percent 2 2 2" xfId="3270"/>
    <cellStyle name="Percent 2 3" xfId="3271"/>
    <cellStyle name="Percent 3" xfId="27"/>
    <cellStyle name="Percent 3 10" xfId="3272"/>
    <cellStyle name="Percent 3 10 10" xfId="12220"/>
    <cellStyle name="Percent 3 10 11" xfId="12221"/>
    <cellStyle name="Percent 3 10 12" xfId="12222"/>
    <cellStyle name="Percent 3 10 13" xfId="12223"/>
    <cellStyle name="Percent 3 10 14" xfId="12224"/>
    <cellStyle name="Percent 3 10 15" xfId="12225"/>
    <cellStyle name="Percent 3 10 16" xfId="12226"/>
    <cellStyle name="Percent 3 10 17" xfId="12227"/>
    <cellStyle name="Percent 3 10 18" xfId="12228"/>
    <cellStyle name="Percent 3 10 19" xfId="12229"/>
    <cellStyle name="Percent 3 10 2" xfId="12230"/>
    <cellStyle name="Percent 3 10 2 10" xfId="12231"/>
    <cellStyle name="Percent 3 10 2 11" xfId="12232"/>
    <cellStyle name="Percent 3 10 2 12" xfId="12233"/>
    <cellStyle name="Percent 3 10 2 13" xfId="12234"/>
    <cellStyle name="Percent 3 10 2 14" xfId="12235"/>
    <cellStyle name="Percent 3 10 2 15" xfId="12236"/>
    <cellStyle name="Percent 3 10 2 16" xfId="12237"/>
    <cellStyle name="Percent 3 10 2 17" xfId="12238"/>
    <cellStyle name="Percent 3 10 2 18" xfId="12239"/>
    <cellStyle name="Percent 3 10 2 19" xfId="12240"/>
    <cellStyle name="Percent 3 10 2 2" xfId="12241"/>
    <cellStyle name="Percent 3 10 2 2 10" xfId="12242"/>
    <cellStyle name="Percent 3 10 2 2 11" xfId="12243"/>
    <cellStyle name="Percent 3 10 2 2 12" xfId="12244"/>
    <cellStyle name="Percent 3 10 2 2 13" xfId="12245"/>
    <cellStyle name="Percent 3 10 2 2 14" xfId="12246"/>
    <cellStyle name="Percent 3 10 2 2 15" xfId="12247"/>
    <cellStyle name="Percent 3 10 2 2 16" xfId="12248"/>
    <cellStyle name="Percent 3 10 2 2 17" xfId="12249"/>
    <cellStyle name="Percent 3 10 2 2 18" xfId="12250"/>
    <cellStyle name="Percent 3 10 2 2 19" xfId="12251"/>
    <cellStyle name="Percent 3 10 2 2 2" xfId="12252"/>
    <cellStyle name="Percent 3 10 2 2 3" xfId="12253"/>
    <cellStyle name="Percent 3 10 2 2 4" xfId="12254"/>
    <cellStyle name="Percent 3 10 2 2 5" xfId="12255"/>
    <cellStyle name="Percent 3 10 2 2 6" xfId="12256"/>
    <cellStyle name="Percent 3 10 2 2 7" xfId="12257"/>
    <cellStyle name="Percent 3 10 2 2 8" xfId="12258"/>
    <cellStyle name="Percent 3 10 2 2 9" xfId="12259"/>
    <cellStyle name="Percent 3 10 2 20" xfId="12260"/>
    <cellStyle name="Percent 3 10 2 3" xfId="12261"/>
    <cellStyle name="Percent 3 10 2 4" xfId="12262"/>
    <cellStyle name="Percent 3 10 2 5" xfId="12263"/>
    <cellStyle name="Percent 3 10 2 6" xfId="12264"/>
    <cellStyle name="Percent 3 10 2 7" xfId="12265"/>
    <cellStyle name="Percent 3 10 2 8" xfId="12266"/>
    <cellStyle name="Percent 3 10 2 9" xfId="12267"/>
    <cellStyle name="Percent 3 10 20" xfId="12268"/>
    <cellStyle name="Percent 3 10 21" xfId="12269"/>
    <cellStyle name="Percent 3 10 3" xfId="12270"/>
    <cellStyle name="Percent 3 10 3 10" xfId="12271"/>
    <cellStyle name="Percent 3 10 3 11" xfId="12272"/>
    <cellStyle name="Percent 3 10 3 12" xfId="12273"/>
    <cellStyle name="Percent 3 10 3 13" xfId="12274"/>
    <cellStyle name="Percent 3 10 3 14" xfId="12275"/>
    <cellStyle name="Percent 3 10 3 15" xfId="12276"/>
    <cellStyle name="Percent 3 10 3 16" xfId="12277"/>
    <cellStyle name="Percent 3 10 3 17" xfId="12278"/>
    <cellStyle name="Percent 3 10 3 18" xfId="12279"/>
    <cellStyle name="Percent 3 10 3 19" xfId="12280"/>
    <cellStyle name="Percent 3 10 3 2" xfId="12281"/>
    <cellStyle name="Percent 3 10 3 3" xfId="12282"/>
    <cellStyle name="Percent 3 10 3 4" xfId="12283"/>
    <cellStyle name="Percent 3 10 3 5" xfId="12284"/>
    <cellStyle name="Percent 3 10 3 6" xfId="12285"/>
    <cellStyle name="Percent 3 10 3 7" xfId="12286"/>
    <cellStyle name="Percent 3 10 3 8" xfId="12287"/>
    <cellStyle name="Percent 3 10 3 9" xfId="12288"/>
    <cellStyle name="Percent 3 10 4" xfId="12289"/>
    <cellStyle name="Percent 3 10 5" xfId="12290"/>
    <cellStyle name="Percent 3 10 6" xfId="12291"/>
    <cellStyle name="Percent 3 10 7" xfId="12292"/>
    <cellStyle name="Percent 3 10 8" xfId="12293"/>
    <cellStyle name="Percent 3 10 9" xfId="12294"/>
    <cellStyle name="Percent 3 11" xfId="3273"/>
    <cellStyle name="Percent 3 11 10" xfId="12295"/>
    <cellStyle name="Percent 3 11 11" xfId="12296"/>
    <cellStyle name="Percent 3 11 12" xfId="12297"/>
    <cellStyle name="Percent 3 11 13" xfId="12298"/>
    <cellStyle name="Percent 3 11 14" xfId="12299"/>
    <cellStyle name="Percent 3 11 15" xfId="12300"/>
    <cellStyle name="Percent 3 11 16" xfId="12301"/>
    <cellStyle name="Percent 3 11 17" xfId="12302"/>
    <cellStyle name="Percent 3 11 18" xfId="12303"/>
    <cellStyle name="Percent 3 11 19" xfId="12304"/>
    <cellStyle name="Percent 3 11 2" xfId="12305"/>
    <cellStyle name="Percent 3 11 2 10" xfId="12306"/>
    <cellStyle name="Percent 3 11 2 11" xfId="12307"/>
    <cellStyle name="Percent 3 11 2 12" xfId="12308"/>
    <cellStyle name="Percent 3 11 2 13" xfId="12309"/>
    <cellStyle name="Percent 3 11 2 14" xfId="12310"/>
    <cellStyle name="Percent 3 11 2 15" xfId="12311"/>
    <cellStyle name="Percent 3 11 2 16" xfId="12312"/>
    <cellStyle name="Percent 3 11 2 17" xfId="12313"/>
    <cellStyle name="Percent 3 11 2 18" xfId="12314"/>
    <cellStyle name="Percent 3 11 2 19" xfId="12315"/>
    <cellStyle name="Percent 3 11 2 2" xfId="12316"/>
    <cellStyle name="Percent 3 11 2 2 10" xfId="12317"/>
    <cellStyle name="Percent 3 11 2 2 11" xfId="12318"/>
    <cellStyle name="Percent 3 11 2 2 12" xfId="12319"/>
    <cellStyle name="Percent 3 11 2 2 13" xfId="12320"/>
    <cellStyle name="Percent 3 11 2 2 14" xfId="12321"/>
    <cellStyle name="Percent 3 11 2 2 15" xfId="12322"/>
    <cellStyle name="Percent 3 11 2 2 16" xfId="12323"/>
    <cellStyle name="Percent 3 11 2 2 17" xfId="12324"/>
    <cellStyle name="Percent 3 11 2 2 18" xfId="12325"/>
    <cellStyle name="Percent 3 11 2 2 19" xfId="12326"/>
    <cellStyle name="Percent 3 11 2 2 2" xfId="12327"/>
    <cellStyle name="Percent 3 11 2 2 3" xfId="12328"/>
    <cellStyle name="Percent 3 11 2 2 4" xfId="12329"/>
    <cellStyle name="Percent 3 11 2 2 5" xfId="12330"/>
    <cellStyle name="Percent 3 11 2 2 6" xfId="12331"/>
    <cellStyle name="Percent 3 11 2 2 7" xfId="12332"/>
    <cellStyle name="Percent 3 11 2 2 8" xfId="12333"/>
    <cellStyle name="Percent 3 11 2 2 9" xfId="12334"/>
    <cellStyle name="Percent 3 11 2 20" xfId="12335"/>
    <cellStyle name="Percent 3 11 2 3" xfId="12336"/>
    <cellStyle name="Percent 3 11 2 4" xfId="12337"/>
    <cellStyle name="Percent 3 11 2 5" xfId="12338"/>
    <cellStyle name="Percent 3 11 2 6" xfId="12339"/>
    <cellStyle name="Percent 3 11 2 7" xfId="12340"/>
    <cellStyle name="Percent 3 11 2 8" xfId="12341"/>
    <cellStyle name="Percent 3 11 2 9" xfId="12342"/>
    <cellStyle name="Percent 3 11 20" xfId="12343"/>
    <cellStyle name="Percent 3 11 21" xfId="12344"/>
    <cellStyle name="Percent 3 11 3" xfId="12345"/>
    <cellStyle name="Percent 3 11 3 10" xfId="12346"/>
    <cellStyle name="Percent 3 11 3 11" xfId="12347"/>
    <cellStyle name="Percent 3 11 3 12" xfId="12348"/>
    <cellStyle name="Percent 3 11 3 13" xfId="12349"/>
    <cellStyle name="Percent 3 11 3 14" xfId="12350"/>
    <cellStyle name="Percent 3 11 3 15" xfId="12351"/>
    <cellStyle name="Percent 3 11 3 16" xfId="12352"/>
    <cellStyle name="Percent 3 11 3 17" xfId="12353"/>
    <cellStyle name="Percent 3 11 3 18" xfId="12354"/>
    <cellStyle name="Percent 3 11 3 19" xfId="12355"/>
    <cellStyle name="Percent 3 11 3 2" xfId="12356"/>
    <cellStyle name="Percent 3 11 3 3" xfId="12357"/>
    <cellStyle name="Percent 3 11 3 4" xfId="12358"/>
    <cellStyle name="Percent 3 11 3 5" xfId="12359"/>
    <cellStyle name="Percent 3 11 3 6" xfId="12360"/>
    <cellStyle name="Percent 3 11 3 7" xfId="12361"/>
    <cellStyle name="Percent 3 11 3 8" xfId="12362"/>
    <cellStyle name="Percent 3 11 3 9" xfId="12363"/>
    <cellStyle name="Percent 3 11 4" xfId="12364"/>
    <cellStyle name="Percent 3 11 5" xfId="12365"/>
    <cellStyle name="Percent 3 11 6" xfId="12366"/>
    <cellStyle name="Percent 3 11 7" xfId="12367"/>
    <cellStyle name="Percent 3 11 8" xfId="12368"/>
    <cellStyle name="Percent 3 11 9" xfId="12369"/>
    <cellStyle name="Percent 3 12" xfId="3274"/>
    <cellStyle name="Percent 3 12 10" xfId="12370"/>
    <cellStyle name="Percent 3 12 11" xfId="12371"/>
    <cellStyle name="Percent 3 12 12" xfId="12372"/>
    <cellStyle name="Percent 3 12 13" xfId="12373"/>
    <cellStyle name="Percent 3 12 14" xfId="12374"/>
    <cellStyle name="Percent 3 12 15" xfId="12375"/>
    <cellStyle name="Percent 3 12 16" xfId="12376"/>
    <cellStyle name="Percent 3 12 17" xfId="12377"/>
    <cellStyle name="Percent 3 12 18" xfId="12378"/>
    <cellStyle name="Percent 3 12 19" xfId="12379"/>
    <cellStyle name="Percent 3 12 2" xfId="12380"/>
    <cellStyle name="Percent 3 12 2 10" xfId="12381"/>
    <cellStyle name="Percent 3 12 2 11" xfId="12382"/>
    <cellStyle name="Percent 3 12 2 12" xfId="12383"/>
    <cellStyle name="Percent 3 12 2 13" xfId="12384"/>
    <cellStyle name="Percent 3 12 2 14" xfId="12385"/>
    <cellStyle name="Percent 3 12 2 15" xfId="12386"/>
    <cellStyle name="Percent 3 12 2 16" xfId="12387"/>
    <cellStyle name="Percent 3 12 2 17" xfId="12388"/>
    <cellStyle name="Percent 3 12 2 18" xfId="12389"/>
    <cellStyle name="Percent 3 12 2 19" xfId="12390"/>
    <cellStyle name="Percent 3 12 2 2" xfId="12391"/>
    <cellStyle name="Percent 3 12 2 2 10" xfId="12392"/>
    <cellStyle name="Percent 3 12 2 2 11" xfId="12393"/>
    <cellStyle name="Percent 3 12 2 2 12" xfId="12394"/>
    <cellStyle name="Percent 3 12 2 2 13" xfId="12395"/>
    <cellStyle name="Percent 3 12 2 2 14" xfId="12396"/>
    <cellStyle name="Percent 3 12 2 2 15" xfId="12397"/>
    <cellStyle name="Percent 3 12 2 2 16" xfId="12398"/>
    <cellStyle name="Percent 3 12 2 2 17" xfId="12399"/>
    <cellStyle name="Percent 3 12 2 2 18" xfId="12400"/>
    <cellStyle name="Percent 3 12 2 2 19" xfId="12401"/>
    <cellStyle name="Percent 3 12 2 2 2" xfId="12402"/>
    <cellStyle name="Percent 3 12 2 2 3" xfId="12403"/>
    <cellStyle name="Percent 3 12 2 2 4" xfId="12404"/>
    <cellStyle name="Percent 3 12 2 2 5" xfId="12405"/>
    <cellStyle name="Percent 3 12 2 2 6" xfId="12406"/>
    <cellStyle name="Percent 3 12 2 2 7" xfId="12407"/>
    <cellStyle name="Percent 3 12 2 2 8" xfId="12408"/>
    <cellStyle name="Percent 3 12 2 2 9" xfId="12409"/>
    <cellStyle name="Percent 3 12 2 20" xfId="12410"/>
    <cellStyle name="Percent 3 12 2 3" xfId="12411"/>
    <cellStyle name="Percent 3 12 2 4" xfId="12412"/>
    <cellStyle name="Percent 3 12 2 5" xfId="12413"/>
    <cellStyle name="Percent 3 12 2 6" xfId="12414"/>
    <cellStyle name="Percent 3 12 2 7" xfId="12415"/>
    <cellStyle name="Percent 3 12 2 8" xfId="12416"/>
    <cellStyle name="Percent 3 12 2 9" xfId="12417"/>
    <cellStyle name="Percent 3 12 20" xfId="12418"/>
    <cellStyle name="Percent 3 12 21" xfId="12419"/>
    <cellStyle name="Percent 3 12 3" xfId="12420"/>
    <cellStyle name="Percent 3 12 3 10" xfId="12421"/>
    <cellStyle name="Percent 3 12 3 11" xfId="12422"/>
    <cellStyle name="Percent 3 12 3 12" xfId="12423"/>
    <cellStyle name="Percent 3 12 3 13" xfId="12424"/>
    <cellStyle name="Percent 3 12 3 14" xfId="12425"/>
    <cellStyle name="Percent 3 12 3 15" xfId="12426"/>
    <cellStyle name="Percent 3 12 3 16" xfId="12427"/>
    <cellStyle name="Percent 3 12 3 17" xfId="12428"/>
    <cellStyle name="Percent 3 12 3 18" xfId="12429"/>
    <cellStyle name="Percent 3 12 3 19" xfId="12430"/>
    <cellStyle name="Percent 3 12 3 2" xfId="12431"/>
    <cellStyle name="Percent 3 12 3 3" xfId="12432"/>
    <cellStyle name="Percent 3 12 3 4" xfId="12433"/>
    <cellStyle name="Percent 3 12 3 5" xfId="12434"/>
    <cellStyle name="Percent 3 12 3 6" xfId="12435"/>
    <cellStyle name="Percent 3 12 3 7" xfId="12436"/>
    <cellStyle name="Percent 3 12 3 8" xfId="12437"/>
    <cellStyle name="Percent 3 12 3 9" xfId="12438"/>
    <cellStyle name="Percent 3 12 4" xfId="12439"/>
    <cellStyle name="Percent 3 12 5" xfId="12440"/>
    <cellStyle name="Percent 3 12 6" xfId="12441"/>
    <cellStyle name="Percent 3 12 7" xfId="12442"/>
    <cellStyle name="Percent 3 12 8" xfId="12443"/>
    <cellStyle name="Percent 3 12 9" xfId="12444"/>
    <cellStyle name="Percent 3 13" xfId="3275"/>
    <cellStyle name="Percent 3 13 10" xfId="12445"/>
    <cellStyle name="Percent 3 13 11" xfId="12446"/>
    <cellStyle name="Percent 3 13 12" xfId="12447"/>
    <cellStyle name="Percent 3 13 13" xfId="12448"/>
    <cellStyle name="Percent 3 13 14" xfId="12449"/>
    <cellStyle name="Percent 3 13 15" xfId="12450"/>
    <cellStyle name="Percent 3 13 16" xfId="12451"/>
    <cellStyle name="Percent 3 13 17" xfId="12452"/>
    <cellStyle name="Percent 3 13 18" xfId="12453"/>
    <cellStyle name="Percent 3 13 19" xfId="12454"/>
    <cellStyle name="Percent 3 13 2" xfId="12455"/>
    <cellStyle name="Percent 3 13 2 10" xfId="12456"/>
    <cellStyle name="Percent 3 13 2 11" xfId="12457"/>
    <cellStyle name="Percent 3 13 2 12" xfId="12458"/>
    <cellStyle name="Percent 3 13 2 13" xfId="12459"/>
    <cellStyle name="Percent 3 13 2 14" xfId="12460"/>
    <cellStyle name="Percent 3 13 2 15" xfId="12461"/>
    <cellStyle name="Percent 3 13 2 16" xfId="12462"/>
    <cellStyle name="Percent 3 13 2 17" xfId="12463"/>
    <cellStyle name="Percent 3 13 2 18" xfId="12464"/>
    <cellStyle name="Percent 3 13 2 19" xfId="12465"/>
    <cellStyle name="Percent 3 13 2 2" xfId="12466"/>
    <cellStyle name="Percent 3 13 2 2 10" xfId="12467"/>
    <cellStyle name="Percent 3 13 2 2 11" xfId="12468"/>
    <cellStyle name="Percent 3 13 2 2 12" xfId="12469"/>
    <cellStyle name="Percent 3 13 2 2 13" xfId="12470"/>
    <cellStyle name="Percent 3 13 2 2 14" xfId="12471"/>
    <cellStyle name="Percent 3 13 2 2 15" xfId="12472"/>
    <cellStyle name="Percent 3 13 2 2 16" xfId="12473"/>
    <cellStyle name="Percent 3 13 2 2 17" xfId="12474"/>
    <cellStyle name="Percent 3 13 2 2 18" xfId="12475"/>
    <cellStyle name="Percent 3 13 2 2 19" xfId="12476"/>
    <cellStyle name="Percent 3 13 2 2 2" xfId="12477"/>
    <cellStyle name="Percent 3 13 2 2 3" xfId="12478"/>
    <cellStyle name="Percent 3 13 2 2 4" xfId="12479"/>
    <cellStyle name="Percent 3 13 2 2 5" xfId="12480"/>
    <cellStyle name="Percent 3 13 2 2 6" xfId="12481"/>
    <cellStyle name="Percent 3 13 2 2 7" xfId="12482"/>
    <cellStyle name="Percent 3 13 2 2 8" xfId="12483"/>
    <cellStyle name="Percent 3 13 2 2 9" xfId="12484"/>
    <cellStyle name="Percent 3 13 2 20" xfId="12485"/>
    <cellStyle name="Percent 3 13 2 3" xfId="12486"/>
    <cellStyle name="Percent 3 13 2 4" xfId="12487"/>
    <cellStyle name="Percent 3 13 2 5" xfId="12488"/>
    <cellStyle name="Percent 3 13 2 6" xfId="12489"/>
    <cellStyle name="Percent 3 13 2 7" xfId="12490"/>
    <cellStyle name="Percent 3 13 2 8" xfId="12491"/>
    <cellStyle name="Percent 3 13 2 9" xfId="12492"/>
    <cellStyle name="Percent 3 13 20" xfId="12493"/>
    <cellStyle name="Percent 3 13 21" xfId="12494"/>
    <cellStyle name="Percent 3 13 3" xfId="12495"/>
    <cellStyle name="Percent 3 13 3 10" xfId="12496"/>
    <cellStyle name="Percent 3 13 3 11" xfId="12497"/>
    <cellStyle name="Percent 3 13 3 12" xfId="12498"/>
    <cellStyle name="Percent 3 13 3 13" xfId="12499"/>
    <cellStyle name="Percent 3 13 3 14" xfId="12500"/>
    <cellStyle name="Percent 3 13 3 15" xfId="12501"/>
    <cellStyle name="Percent 3 13 3 16" xfId="12502"/>
    <cellStyle name="Percent 3 13 3 17" xfId="12503"/>
    <cellStyle name="Percent 3 13 3 18" xfId="12504"/>
    <cellStyle name="Percent 3 13 3 19" xfId="12505"/>
    <cellStyle name="Percent 3 13 3 2" xfId="12506"/>
    <cellStyle name="Percent 3 13 3 3" xfId="12507"/>
    <cellStyle name="Percent 3 13 3 4" xfId="12508"/>
    <cellStyle name="Percent 3 13 3 5" xfId="12509"/>
    <cellStyle name="Percent 3 13 3 6" xfId="12510"/>
    <cellStyle name="Percent 3 13 3 7" xfId="12511"/>
    <cellStyle name="Percent 3 13 3 8" xfId="12512"/>
    <cellStyle name="Percent 3 13 3 9" xfId="12513"/>
    <cellStyle name="Percent 3 13 4" xfId="12514"/>
    <cellStyle name="Percent 3 13 5" xfId="12515"/>
    <cellStyle name="Percent 3 13 6" xfId="12516"/>
    <cellStyle name="Percent 3 13 7" xfId="12517"/>
    <cellStyle name="Percent 3 13 8" xfId="12518"/>
    <cellStyle name="Percent 3 13 9" xfId="12519"/>
    <cellStyle name="Percent 3 14" xfId="3276"/>
    <cellStyle name="Percent 3 14 10" xfId="12520"/>
    <cellStyle name="Percent 3 14 11" xfId="12521"/>
    <cellStyle name="Percent 3 14 12" xfId="12522"/>
    <cellStyle name="Percent 3 14 13" xfId="12523"/>
    <cellStyle name="Percent 3 14 14" xfId="12524"/>
    <cellStyle name="Percent 3 14 15" xfId="12525"/>
    <cellStyle name="Percent 3 14 16" xfId="12526"/>
    <cellStyle name="Percent 3 14 17" xfId="12527"/>
    <cellStyle name="Percent 3 14 18" xfId="12528"/>
    <cellStyle name="Percent 3 14 19" xfId="12529"/>
    <cellStyle name="Percent 3 14 2" xfId="12530"/>
    <cellStyle name="Percent 3 14 2 10" xfId="12531"/>
    <cellStyle name="Percent 3 14 2 11" xfId="12532"/>
    <cellStyle name="Percent 3 14 2 12" xfId="12533"/>
    <cellStyle name="Percent 3 14 2 13" xfId="12534"/>
    <cellStyle name="Percent 3 14 2 14" xfId="12535"/>
    <cellStyle name="Percent 3 14 2 15" xfId="12536"/>
    <cellStyle name="Percent 3 14 2 16" xfId="12537"/>
    <cellStyle name="Percent 3 14 2 17" xfId="12538"/>
    <cellStyle name="Percent 3 14 2 18" xfId="12539"/>
    <cellStyle name="Percent 3 14 2 19" xfId="12540"/>
    <cellStyle name="Percent 3 14 2 2" xfId="12541"/>
    <cellStyle name="Percent 3 14 2 2 10" xfId="12542"/>
    <cellStyle name="Percent 3 14 2 2 11" xfId="12543"/>
    <cellStyle name="Percent 3 14 2 2 12" xfId="12544"/>
    <cellStyle name="Percent 3 14 2 2 13" xfId="12545"/>
    <cellStyle name="Percent 3 14 2 2 14" xfId="12546"/>
    <cellStyle name="Percent 3 14 2 2 15" xfId="12547"/>
    <cellStyle name="Percent 3 14 2 2 16" xfId="12548"/>
    <cellStyle name="Percent 3 14 2 2 17" xfId="12549"/>
    <cellStyle name="Percent 3 14 2 2 18" xfId="12550"/>
    <cellStyle name="Percent 3 14 2 2 19" xfId="12551"/>
    <cellStyle name="Percent 3 14 2 2 2" xfId="12552"/>
    <cellStyle name="Percent 3 14 2 2 3" xfId="12553"/>
    <cellStyle name="Percent 3 14 2 2 4" xfId="12554"/>
    <cellStyle name="Percent 3 14 2 2 5" xfId="12555"/>
    <cellStyle name="Percent 3 14 2 2 6" xfId="12556"/>
    <cellStyle name="Percent 3 14 2 2 7" xfId="12557"/>
    <cellStyle name="Percent 3 14 2 2 8" xfId="12558"/>
    <cellStyle name="Percent 3 14 2 2 9" xfId="12559"/>
    <cellStyle name="Percent 3 14 2 20" xfId="12560"/>
    <cellStyle name="Percent 3 14 2 3" xfId="12561"/>
    <cellStyle name="Percent 3 14 2 4" xfId="12562"/>
    <cellStyle name="Percent 3 14 2 5" xfId="12563"/>
    <cellStyle name="Percent 3 14 2 6" xfId="12564"/>
    <cellStyle name="Percent 3 14 2 7" xfId="12565"/>
    <cellStyle name="Percent 3 14 2 8" xfId="12566"/>
    <cellStyle name="Percent 3 14 2 9" xfId="12567"/>
    <cellStyle name="Percent 3 14 20" xfId="12568"/>
    <cellStyle name="Percent 3 14 21" xfId="12569"/>
    <cellStyle name="Percent 3 14 3" xfId="12570"/>
    <cellStyle name="Percent 3 14 3 10" xfId="12571"/>
    <cellStyle name="Percent 3 14 3 11" xfId="12572"/>
    <cellStyle name="Percent 3 14 3 12" xfId="12573"/>
    <cellStyle name="Percent 3 14 3 13" xfId="12574"/>
    <cellStyle name="Percent 3 14 3 14" xfId="12575"/>
    <cellStyle name="Percent 3 14 3 15" xfId="12576"/>
    <cellStyle name="Percent 3 14 3 16" xfId="12577"/>
    <cellStyle name="Percent 3 14 3 17" xfId="12578"/>
    <cellStyle name="Percent 3 14 3 18" xfId="12579"/>
    <cellStyle name="Percent 3 14 3 19" xfId="12580"/>
    <cellStyle name="Percent 3 14 3 2" xfId="12581"/>
    <cellStyle name="Percent 3 14 3 3" xfId="12582"/>
    <cellStyle name="Percent 3 14 3 4" xfId="12583"/>
    <cellStyle name="Percent 3 14 3 5" xfId="12584"/>
    <cellStyle name="Percent 3 14 3 6" xfId="12585"/>
    <cellStyle name="Percent 3 14 3 7" xfId="12586"/>
    <cellStyle name="Percent 3 14 3 8" xfId="12587"/>
    <cellStyle name="Percent 3 14 3 9" xfId="12588"/>
    <cellStyle name="Percent 3 14 4" xfId="12589"/>
    <cellStyle name="Percent 3 14 5" xfId="12590"/>
    <cellStyle name="Percent 3 14 6" xfId="12591"/>
    <cellStyle name="Percent 3 14 7" xfId="12592"/>
    <cellStyle name="Percent 3 14 8" xfId="12593"/>
    <cellStyle name="Percent 3 14 9" xfId="12594"/>
    <cellStyle name="Percent 3 15" xfId="3277"/>
    <cellStyle name="Percent 3 15 10" xfId="12595"/>
    <cellStyle name="Percent 3 15 11" xfId="12596"/>
    <cellStyle name="Percent 3 15 12" xfId="12597"/>
    <cellStyle name="Percent 3 15 13" xfId="12598"/>
    <cellStyle name="Percent 3 15 14" xfId="12599"/>
    <cellStyle name="Percent 3 15 15" xfId="12600"/>
    <cellStyle name="Percent 3 15 16" xfId="12601"/>
    <cellStyle name="Percent 3 15 17" xfId="12602"/>
    <cellStyle name="Percent 3 15 18" xfId="12603"/>
    <cellStyle name="Percent 3 15 19" xfId="12604"/>
    <cellStyle name="Percent 3 15 2" xfId="12605"/>
    <cellStyle name="Percent 3 15 2 10" xfId="12606"/>
    <cellStyle name="Percent 3 15 2 11" xfId="12607"/>
    <cellStyle name="Percent 3 15 2 12" xfId="12608"/>
    <cellStyle name="Percent 3 15 2 13" xfId="12609"/>
    <cellStyle name="Percent 3 15 2 14" xfId="12610"/>
    <cellStyle name="Percent 3 15 2 15" xfId="12611"/>
    <cellStyle name="Percent 3 15 2 16" xfId="12612"/>
    <cellStyle name="Percent 3 15 2 17" xfId="12613"/>
    <cellStyle name="Percent 3 15 2 18" xfId="12614"/>
    <cellStyle name="Percent 3 15 2 19" xfId="12615"/>
    <cellStyle name="Percent 3 15 2 2" xfId="12616"/>
    <cellStyle name="Percent 3 15 2 2 10" xfId="12617"/>
    <cellStyle name="Percent 3 15 2 2 11" xfId="12618"/>
    <cellStyle name="Percent 3 15 2 2 12" xfId="12619"/>
    <cellStyle name="Percent 3 15 2 2 13" xfId="12620"/>
    <cellStyle name="Percent 3 15 2 2 14" xfId="12621"/>
    <cellStyle name="Percent 3 15 2 2 15" xfId="12622"/>
    <cellStyle name="Percent 3 15 2 2 16" xfId="12623"/>
    <cellStyle name="Percent 3 15 2 2 17" xfId="12624"/>
    <cellStyle name="Percent 3 15 2 2 18" xfId="12625"/>
    <cellStyle name="Percent 3 15 2 2 19" xfId="12626"/>
    <cellStyle name="Percent 3 15 2 2 2" xfId="12627"/>
    <cellStyle name="Percent 3 15 2 2 3" xfId="12628"/>
    <cellStyle name="Percent 3 15 2 2 4" xfId="12629"/>
    <cellStyle name="Percent 3 15 2 2 5" xfId="12630"/>
    <cellStyle name="Percent 3 15 2 2 6" xfId="12631"/>
    <cellStyle name="Percent 3 15 2 2 7" xfId="12632"/>
    <cellStyle name="Percent 3 15 2 2 8" xfId="12633"/>
    <cellStyle name="Percent 3 15 2 2 9" xfId="12634"/>
    <cellStyle name="Percent 3 15 2 20" xfId="12635"/>
    <cellStyle name="Percent 3 15 2 3" xfId="12636"/>
    <cellStyle name="Percent 3 15 2 4" xfId="12637"/>
    <cellStyle name="Percent 3 15 2 5" xfId="12638"/>
    <cellStyle name="Percent 3 15 2 6" xfId="12639"/>
    <cellStyle name="Percent 3 15 2 7" xfId="12640"/>
    <cellStyle name="Percent 3 15 2 8" xfId="12641"/>
    <cellStyle name="Percent 3 15 2 9" xfId="12642"/>
    <cellStyle name="Percent 3 15 20" xfId="12643"/>
    <cellStyle name="Percent 3 15 21" xfId="12644"/>
    <cellStyle name="Percent 3 15 3" xfId="12645"/>
    <cellStyle name="Percent 3 15 3 10" xfId="12646"/>
    <cellStyle name="Percent 3 15 3 11" xfId="12647"/>
    <cellStyle name="Percent 3 15 3 12" xfId="12648"/>
    <cellStyle name="Percent 3 15 3 13" xfId="12649"/>
    <cellStyle name="Percent 3 15 3 14" xfId="12650"/>
    <cellStyle name="Percent 3 15 3 15" xfId="12651"/>
    <cellStyle name="Percent 3 15 3 16" xfId="12652"/>
    <cellStyle name="Percent 3 15 3 17" xfId="12653"/>
    <cellStyle name="Percent 3 15 3 18" xfId="12654"/>
    <cellStyle name="Percent 3 15 3 19" xfId="12655"/>
    <cellStyle name="Percent 3 15 3 2" xfId="12656"/>
    <cellStyle name="Percent 3 15 3 3" xfId="12657"/>
    <cellStyle name="Percent 3 15 3 4" xfId="12658"/>
    <cellStyle name="Percent 3 15 3 5" xfId="12659"/>
    <cellStyle name="Percent 3 15 3 6" xfId="12660"/>
    <cellStyle name="Percent 3 15 3 7" xfId="12661"/>
    <cellStyle name="Percent 3 15 3 8" xfId="12662"/>
    <cellStyle name="Percent 3 15 3 9" xfId="12663"/>
    <cellStyle name="Percent 3 15 4" xfId="12664"/>
    <cellStyle name="Percent 3 15 5" xfId="12665"/>
    <cellStyle name="Percent 3 15 6" xfId="12666"/>
    <cellStyle name="Percent 3 15 7" xfId="12667"/>
    <cellStyle name="Percent 3 15 8" xfId="12668"/>
    <cellStyle name="Percent 3 15 9" xfId="12669"/>
    <cellStyle name="Percent 3 16" xfId="3278"/>
    <cellStyle name="Percent 3 16 10" xfId="12670"/>
    <cellStyle name="Percent 3 16 11" xfId="12671"/>
    <cellStyle name="Percent 3 16 12" xfId="12672"/>
    <cellStyle name="Percent 3 16 13" xfId="12673"/>
    <cellStyle name="Percent 3 16 14" xfId="12674"/>
    <cellStyle name="Percent 3 16 15" xfId="12675"/>
    <cellStyle name="Percent 3 16 16" xfId="12676"/>
    <cellStyle name="Percent 3 16 17" xfId="12677"/>
    <cellStyle name="Percent 3 16 18" xfId="12678"/>
    <cellStyle name="Percent 3 16 19" xfId="12679"/>
    <cellStyle name="Percent 3 16 2" xfId="12680"/>
    <cellStyle name="Percent 3 16 2 10" xfId="12681"/>
    <cellStyle name="Percent 3 16 2 11" xfId="12682"/>
    <cellStyle name="Percent 3 16 2 12" xfId="12683"/>
    <cellStyle name="Percent 3 16 2 13" xfId="12684"/>
    <cellStyle name="Percent 3 16 2 14" xfId="12685"/>
    <cellStyle name="Percent 3 16 2 15" xfId="12686"/>
    <cellStyle name="Percent 3 16 2 16" xfId="12687"/>
    <cellStyle name="Percent 3 16 2 17" xfId="12688"/>
    <cellStyle name="Percent 3 16 2 18" xfId="12689"/>
    <cellStyle name="Percent 3 16 2 19" xfId="12690"/>
    <cellStyle name="Percent 3 16 2 2" xfId="12691"/>
    <cellStyle name="Percent 3 16 2 2 10" xfId="12692"/>
    <cellStyle name="Percent 3 16 2 2 11" xfId="12693"/>
    <cellStyle name="Percent 3 16 2 2 12" xfId="12694"/>
    <cellStyle name="Percent 3 16 2 2 13" xfId="12695"/>
    <cellStyle name="Percent 3 16 2 2 14" xfId="12696"/>
    <cellStyle name="Percent 3 16 2 2 15" xfId="12697"/>
    <cellStyle name="Percent 3 16 2 2 16" xfId="12698"/>
    <cellStyle name="Percent 3 16 2 2 17" xfId="12699"/>
    <cellStyle name="Percent 3 16 2 2 18" xfId="12700"/>
    <cellStyle name="Percent 3 16 2 2 19" xfId="12701"/>
    <cellStyle name="Percent 3 16 2 2 2" xfId="12702"/>
    <cellStyle name="Percent 3 16 2 2 3" xfId="12703"/>
    <cellStyle name="Percent 3 16 2 2 4" xfId="12704"/>
    <cellStyle name="Percent 3 16 2 2 5" xfId="12705"/>
    <cellStyle name="Percent 3 16 2 2 6" xfId="12706"/>
    <cellStyle name="Percent 3 16 2 2 7" xfId="12707"/>
    <cellStyle name="Percent 3 16 2 2 8" xfId="12708"/>
    <cellStyle name="Percent 3 16 2 2 9" xfId="12709"/>
    <cellStyle name="Percent 3 16 2 20" xfId="12710"/>
    <cellStyle name="Percent 3 16 2 3" xfId="12711"/>
    <cellStyle name="Percent 3 16 2 4" xfId="12712"/>
    <cellStyle name="Percent 3 16 2 5" xfId="12713"/>
    <cellStyle name="Percent 3 16 2 6" xfId="12714"/>
    <cellStyle name="Percent 3 16 2 7" xfId="12715"/>
    <cellStyle name="Percent 3 16 2 8" xfId="12716"/>
    <cellStyle name="Percent 3 16 2 9" xfId="12717"/>
    <cellStyle name="Percent 3 16 20" xfId="12718"/>
    <cellStyle name="Percent 3 16 21" xfId="12719"/>
    <cellStyle name="Percent 3 16 3" xfId="12720"/>
    <cellStyle name="Percent 3 16 3 10" xfId="12721"/>
    <cellStyle name="Percent 3 16 3 11" xfId="12722"/>
    <cellStyle name="Percent 3 16 3 12" xfId="12723"/>
    <cellStyle name="Percent 3 16 3 13" xfId="12724"/>
    <cellStyle name="Percent 3 16 3 14" xfId="12725"/>
    <cellStyle name="Percent 3 16 3 15" xfId="12726"/>
    <cellStyle name="Percent 3 16 3 16" xfId="12727"/>
    <cellStyle name="Percent 3 16 3 17" xfId="12728"/>
    <cellStyle name="Percent 3 16 3 18" xfId="12729"/>
    <cellStyle name="Percent 3 16 3 19" xfId="12730"/>
    <cellStyle name="Percent 3 16 3 2" xfId="12731"/>
    <cellStyle name="Percent 3 16 3 3" xfId="12732"/>
    <cellStyle name="Percent 3 16 3 4" xfId="12733"/>
    <cellStyle name="Percent 3 16 3 5" xfId="12734"/>
    <cellStyle name="Percent 3 16 3 6" xfId="12735"/>
    <cellStyle name="Percent 3 16 3 7" xfId="12736"/>
    <cellStyle name="Percent 3 16 3 8" xfId="12737"/>
    <cellStyle name="Percent 3 16 3 9" xfId="12738"/>
    <cellStyle name="Percent 3 16 4" xfId="12739"/>
    <cellStyle name="Percent 3 16 5" xfId="12740"/>
    <cellStyle name="Percent 3 16 6" xfId="12741"/>
    <cellStyle name="Percent 3 16 7" xfId="12742"/>
    <cellStyle name="Percent 3 16 8" xfId="12743"/>
    <cellStyle name="Percent 3 16 9" xfId="12744"/>
    <cellStyle name="Percent 3 17" xfId="3279"/>
    <cellStyle name="Percent 3 17 10" xfId="12745"/>
    <cellStyle name="Percent 3 17 11" xfId="12746"/>
    <cellStyle name="Percent 3 17 12" xfId="12747"/>
    <cellStyle name="Percent 3 17 13" xfId="12748"/>
    <cellStyle name="Percent 3 17 14" xfId="12749"/>
    <cellStyle name="Percent 3 17 15" xfId="12750"/>
    <cellStyle name="Percent 3 17 16" xfId="12751"/>
    <cellStyle name="Percent 3 17 17" xfId="12752"/>
    <cellStyle name="Percent 3 17 18" xfId="12753"/>
    <cellStyle name="Percent 3 17 19" xfId="12754"/>
    <cellStyle name="Percent 3 17 2" xfId="12755"/>
    <cellStyle name="Percent 3 17 2 10" xfId="12756"/>
    <cellStyle name="Percent 3 17 2 11" xfId="12757"/>
    <cellStyle name="Percent 3 17 2 12" xfId="12758"/>
    <cellStyle name="Percent 3 17 2 13" xfId="12759"/>
    <cellStyle name="Percent 3 17 2 14" xfId="12760"/>
    <cellStyle name="Percent 3 17 2 15" xfId="12761"/>
    <cellStyle name="Percent 3 17 2 16" xfId="12762"/>
    <cellStyle name="Percent 3 17 2 17" xfId="12763"/>
    <cellStyle name="Percent 3 17 2 18" xfId="12764"/>
    <cellStyle name="Percent 3 17 2 19" xfId="12765"/>
    <cellStyle name="Percent 3 17 2 2" xfId="12766"/>
    <cellStyle name="Percent 3 17 2 2 10" xfId="12767"/>
    <cellStyle name="Percent 3 17 2 2 11" xfId="12768"/>
    <cellStyle name="Percent 3 17 2 2 12" xfId="12769"/>
    <cellStyle name="Percent 3 17 2 2 13" xfId="12770"/>
    <cellStyle name="Percent 3 17 2 2 14" xfId="12771"/>
    <cellStyle name="Percent 3 17 2 2 15" xfId="12772"/>
    <cellStyle name="Percent 3 17 2 2 16" xfId="12773"/>
    <cellStyle name="Percent 3 17 2 2 17" xfId="12774"/>
    <cellStyle name="Percent 3 17 2 2 18" xfId="12775"/>
    <cellStyle name="Percent 3 17 2 2 19" xfId="12776"/>
    <cellStyle name="Percent 3 17 2 2 2" xfId="12777"/>
    <cellStyle name="Percent 3 17 2 2 3" xfId="12778"/>
    <cellStyle name="Percent 3 17 2 2 4" xfId="12779"/>
    <cellStyle name="Percent 3 17 2 2 5" xfId="12780"/>
    <cellStyle name="Percent 3 17 2 2 6" xfId="12781"/>
    <cellStyle name="Percent 3 17 2 2 7" xfId="12782"/>
    <cellStyle name="Percent 3 17 2 2 8" xfId="12783"/>
    <cellStyle name="Percent 3 17 2 2 9" xfId="12784"/>
    <cellStyle name="Percent 3 17 2 20" xfId="12785"/>
    <cellStyle name="Percent 3 17 2 3" xfId="12786"/>
    <cellStyle name="Percent 3 17 2 4" xfId="12787"/>
    <cellStyle name="Percent 3 17 2 5" xfId="12788"/>
    <cellStyle name="Percent 3 17 2 6" xfId="12789"/>
    <cellStyle name="Percent 3 17 2 7" xfId="12790"/>
    <cellStyle name="Percent 3 17 2 8" xfId="12791"/>
    <cellStyle name="Percent 3 17 2 9" xfId="12792"/>
    <cellStyle name="Percent 3 17 20" xfId="12793"/>
    <cellStyle name="Percent 3 17 21" xfId="12794"/>
    <cellStyle name="Percent 3 17 3" xfId="12795"/>
    <cellStyle name="Percent 3 17 3 10" xfId="12796"/>
    <cellStyle name="Percent 3 17 3 11" xfId="12797"/>
    <cellStyle name="Percent 3 17 3 12" xfId="12798"/>
    <cellStyle name="Percent 3 17 3 13" xfId="12799"/>
    <cellStyle name="Percent 3 17 3 14" xfId="12800"/>
    <cellStyle name="Percent 3 17 3 15" xfId="12801"/>
    <cellStyle name="Percent 3 17 3 16" xfId="12802"/>
    <cellStyle name="Percent 3 17 3 17" xfId="12803"/>
    <cellStyle name="Percent 3 17 3 18" xfId="12804"/>
    <cellStyle name="Percent 3 17 3 19" xfId="12805"/>
    <cellStyle name="Percent 3 17 3 2" xfId="12806"/>
    <cellStyle name="Percent 3 17 3 3" xfId="12807"/>
    <cellStyle name="Percent 3 17 3 4" xfId="12808"/>
    <cellStyle name="Percent 3 17 3 5" xfId="12809"/>
    <cellStyle name="Percent 3 17 3 6" xfId="12810"/>
    <cellStyle name="Percent 3 17 3 7" xfId="12811"/>
    <cellStyle name="Percent 3 17 3 8" xfId="12812"/>
    <cellStyle name="Percent 3 17 3 9" xfId="12813"/>
    <cellStyle name="Percent 3 17 4" xfId="12814"/>
    <cellStyle name="Percent 3 17 5" xfId="12815"/>
    <cellStyle name="Percent 3 17 6" xfId="12816"/>
    <cellStyle name="Percent 3 17 7" xfId="12817"/>
    <cellStyle name="Percent 3 17 8" xfId="12818"/>
    <cellStyle name="Percent 3 17 9" xfId="12819"/>
    <cellStyle name="Percent 3 18" xfId="3280"/>
    <cellStyle name="Percent 3 18 10" xfId="12820"/>
    <cellStyle name="Percent 3 18 11" xfId="12821"/>
    <cellStyle name="Percent 3 18 12" xfId="12822"/>
    <cellStyle name="Percent 3 18 13" xfId="12823"/>
    <cellStyle name="Percent 3 18 14" xfId="12824"/>
    <cellStyle name="Percent 3 18 15" xfId="12825"/>
    <cellStyle name="Percent 3 18 16" xfId="12826"/>
    <cellStyle name="Percent 3 18 17" xfId="12827"/>
    <cellStyle name="Percent 3 18 18" xfId="12828"/>
    <cellStyle name="Percent 3 18 19" xfId="12829"/>
    <cellStyle name="Percent 3 18 2" xfId="12830"/>
    <cellStyle name="Percent 3 18 2 10" xfId="12831"/>
    <cellStyle name="Percent 3 18 2 11" xfId="12832"/>
    <cellStyle name="Percent 3 18 2 12" xfId="12833"/>
    <cellStyle name="Percent 3 18 2 13" xfId="12834"/>
    <cellStyle name="Percent 3 18 2 14" xfId="12835"/>
    <cellStyle name="Percent 3 18 2 15" xfId="12836"/>
    <cellStyle name="Percent 3 18 2 16" xfId="12837"/>
    <cellStyle name="Percent 3 18 2 17" xfId="12838"/>
    <cellStyle name="Percent 3 18 2 18" xfId="12839"/>
    <cellStyle name="Percent 3 18 2 19" xfId="12840"/>
    <cellStyle name="Percent 3 18 2 2" xfId="12841"/>
    <cellStyle name="Percent 3 18 2 2 10" xfId="12842"/>
    <cellStyle name="Percent 3 18 2 2 11" xfId="12843"/>
    <cellStyle name="Percent 3 18 2 2 12" xfId="12844"/>
    <cellStyle name="Percent 3 18 2 2 13" xfId="12845"/>
    <cellStyle name="Percent 3 18 2 2 14" xfId="12846"/>
    <cellStyle name="Percent 3 18 2 2 15" xfId="12847"/>
    <cellStyle name="Percent 3 18 2 2 16" xfId="12848"/>
    <cellStyle name="Percent 3 18 2 2 17" xfId="12849"/>
    <cellStyle name="Percent 3 18 2 2 18" xfId="12850"/>
    <cellStyle name="Percent 3 18 2 2 19" xfId="12851"/>
    <cellStyle name="Percent 3 18 2 2 2" xfId="12852"/>
    <cellStyle name="Percent 3 18 2 2 3" xfId="12853"/>
    <cellStyle name="Percent 3 18 2 2 4" xfId="12854"/>
    <cellStyle name="Percent 3 18 2 2 5" xfId="12855"/>
    <cellStyle name="Percent 3 18 2 2 6" xfId="12856"/>
    <cellStyle name="Percent 3 18 2 2 7" xfId="12857"/>
    <cellStyle name="Percent 3 18 2 2 8" xfId="12858"/>
    <cellStyle name="Percent 3 18 2 2 9" xfId="12859"/>
    <cellStyle name="Percent 3 18 2 20" xfId="12860"/>
    <cellStyle name="Percent 3 18 2 3" xfId="12861"/>
    <cellStyle name="Percent 3 18 2 4" xfId="12862"/>
    <cellStyle name="Percent 3 18 2 5" xfId="12863"/>
    <cellStyle name="Percent 3 18 2 6" xfId="12864"/>
    <cellStyle name="Percent 3 18 2 7" xfId="12865"/>
    <cellStyle name="Percent 3 18 2 8" xfId="12866"/>
    <cellStyle name="Percent 3 18 2 9" xfId="12867"/>
    <cellStyle name="Percent 3 18 20" xfId="12868"/>
    <cellStyle name="Percent 3 18 21" xfId="12869"/>
    <cellStyle name="Percent 3 18 3" xfId="12870"/>
    <cellStyle name="Percent 3 18 3 10" xfId="12871"/>
    <cellStyle name="Percent 3 18 3 11" xfId="12872"/>
    <cellStyle name="Percent 3 18 3 12" xfId="12873"/>
    <cellStyle name="Percent 3 18 3 13" xfId="12874"/>
    <cellStyle name="Percent 3 18 3 14" xfId="12875"/>
    <cellStyle name="Percent 3 18 3 15" xfId="12876"/>
    <cellStyle name="Percent 3 18 3 16" xfId="12877"/>
    <cellStyle name="Percent 3 18 3 17" xfId="12878"/>
    <cellStyle name="Percent 3 18 3 18" xfId="12879"/>
    <cellStyle name="Percent 3 18 3 19" xfId="12880"/>
    <cellStyle name="Percent 3 18 3 2" xfId="12881"/>
    <cellStyle name="Percent 3 18 3 3" xfId="12882"/>
    <cellStyle name="Percent 3 18 3 4" xfId="12883"/>
    <cellStyle name="Percent 3 18 3 5" xfId="12884"/>
    <cellStyle name="Percent 3 18 3 6" xfId="12885"/>
    <cellStyle name="Percent 3 18 3 7" xfId="12886"/>
    <cellStyle name="Percent 3 18 3 8" xfId="12887"/>
    <cellStyle name="Percent 3 18 3 9" xfId="12888"/>
    <cellStyle name="Percent 3 18 4" xfId="12889"/>
    <cellStyle name="Percent 3 18 5" xfId="12890"/>
    <cellStyle name="Percent 3 18 6" xfId="12891"/>
    <cellStyle name="Percent 3 18 7" xfId="12892"/>
    <cellStyle name="Percent 3 18 8" xfId="12893"/>
    <cellStyle name="Percent 3 18 9" xfId="12894"/>
    <cellStyle name="Percent 3 19" xfId="3281"/>
    <cellStyle name="Percent 3 19 10" xfId="12895"/>
    <cellStyle name="Percent 3 19 11" xfId="12896"/>
    <cellStyle name="Percent 3 19 12" xfId="12897"/>
    <cellStyle name="Percent 3 19 13" xfId="12898"/>
    <cellStyle name="Percent 3 19 14" xfId="12899"/>
    <cellStyle name="Percent 3 19 15" xfId="12900"/>
    <cellStyle name="Percent 3 19 16" xfId="12901"/>
    <cellStyle name="Percent 3 19 17" xfId="12902"/>
    <cellStyle name="Percent 3 19 18" xfId="12903"/>
    <cellStyle name="Percent 3 19 19" xfId="12904"/>
    <cellStyle name="Percent 3 19 2" xfId="12905"/>
    <cellStyle name="Percent 3 19 2 10" xfId="12906"/>
    <cellStyle name="Percent 3 19 2 11" xfId="12907"/>
    <cellStyle name="Percent 3 19 2 12" xfId="12908"/>
    <cellStyle name="Percent 3 19 2 13" xfId="12909"/>
    <cellStyle name="Percent 3 19 2 14" xfId="12910"/>
    <cellStyle name="Percent 3 19 2 15" xfId="12911"/>
    <cellStyle name="Percent 3 19 2 16" xfId="12912"/>
    <cellStyle name="Percent 3 19 2 17" xfId="12913"/>
    <cellStyle name="Percent 3 19 2 18" xfId="12914"/>
    <cellStyle name="Percent 3 19 2 19" xfId="12915"/>
    <cellStyle name="Percent 3 19 2 2" xfId="12916"/>
    <cellStyle name="Percent 3 19 2 2 10" xfId="12917"/>
    <cellStyle name="Percent 3 19 2 2 11" xfId="12918"/>
    <cellStyle name="Percent 3 19 2 2 12" xfId="12919"/>
    <cellStyle name="Percent 3 19 2 2 13" xfId="12920"/>
    <cellStyle name="Percent 3 19 2 2 14" xfId="12921"/>
    <cellStyle name="Percent 3 19 2 2 15" xfId="12922"/>
    <cellStyle name="Percent 3 19 2 2 16" xfId="12923"/>
    <cellStyle name="Percent 3 19 2 2 17" xfId="12924"/>
    <cellStyle name="Percent 3 19 2 2 18" xfId="12925"/>
    <cellStyle name="Percent 3 19 2 2 19" xfId="12926"/>
    <cellStyle name="Percent 3 19 2 2 2" xfId="12927"/>
    <cellStyle name="Percent 3 19 2 2 3" xfId="12928"/>
    <cellStyle name="Percent 3 19 2 2 4" xfId="12929"/>
    <cellStyle name="Percent 3 19 2 2 5" xfId="12930"/>
    <cellStyle name="Percent 3 19 2 2 6" xfId="12931"/>
    <cellStyle name="Percent 3 19 2 2 7" xfId="12932"/>
    <cellStyle name="Percent 3 19 2 2 8" xfId="12933"/>
    <cellStyle name="Percent 3 19 2 2 9" xfId="12934"/>
    <cellStyle name="Percent 3 19 2 20" xfId="12935"/>
    <cellStyle name="Percent 3 19 2 3" xfId="12936"/>
    <cellStyle name="Percent 3 19 2 4" xfId="12937"/>
    <cellStyle name="Percent 3 19 2 5" xfId="12938"/>
    <cellStyle name="Percent 3 19 2 6" xfId="12939"/>
    <cellStyle name="Percent 3 19 2 7" xfId="12940"/>
    <cellStyle name="Percent 3 19 2 8" xfId="12941"/>
    <cellStyle name="Percent 3 19 2 9" xfId="12942"/>
    <cellStyle name="Percent 3 19 20" xfId="12943"/>
    <cellStyle name="Percent 3 19 21" xfId="12944"/>
    <cellStyle name="Percent 3 19 3" xfId="12945"/>
    <cellStyle name="Percent 3 19 3 10" xfId="12946"/>
    <cellStyle name="Percent 3 19 3 11" xfId="12947"/>
    <cellStyle name="Percent 3 19 3 12" xfId="12948"/>
    <cellStyle name="Percent 3 19 3 13" xfId="12949"/>
    <cellStyle name="Percent 3 19 3 14" xfId="12950"/>
    <cellStyle name="Percent 3 19 3 15" xfId="12951"/>
    <cellStyle name="Percent 3 19 3 16" xfId="12952"/>
    <cellStyle name="Percent 3 19 3 17" xfId="12953"/>
    <cellStyle name="Percent 3 19 3 18" xfId="12954"/>
    <cellStyle name="Percent 3 19 3 19" xfId="12955"/>
    <cellStyle name="Percent 3 19 3 2" xfId="12956"/>
    <cellStyle name="Percent 3 19 3 3" xfId="12957"/>
    <cellStyle name="Percent 3 19 3 4" xfId="12958"/>
    <cellStyle name="Percent 3 19 3 5" xfId="12959"/>
    <cellStyle name="Percent 3 19 3 6" xfId="12960"/>
    <cellStyle name="Percent 3 19 3 7" xfId="12961"/>
    <cellStyle name="Percent 3 19 3 8" xfId="12962"/>
    <cellStyle name="Percent 3 19 3 9" xfId="12963"/>
    <cellStyle name="Percent 3 19 4" xfId="12964"/>
    <cellStyle name="Percent 3 19 5" xfId="12965"/>
    <cellStyle name="Percent 3 19 6" xfId="12966"/>
    <cellStyle name="Percent 3 19 7" xfId="12967"/>
    <cellStyle name="Percent 3 19 8" xfId="12968"/>
    <cellStyle name="Percent 3 19 9" xfId="12969"/>
    <cellStyle name="Percent 3 2" xfId="3"/>
    <cellStyle name="Percent 3 2 10" xfId="12970"/>
    <cellStyle name="Percent 3 2 11" xfId="12971"/>
    <cellStyle name="Percent 3 2 12" xfId="12972"/>
    <cellStyle name="Percent 3 2 13" xfId="12973"/>
    <cellStyle name="Percent 3 2 14" xfId="12974"/>
    <cellStyle name="Percent 3 2 15" xfId="12975"/>
    <cellStyle name="Percent 3 2 16" xfId="12976"/>
    <cellStyle name="Percent 3 2 17" xfId="12977"/>
    <cellStyle name="Percent 3 2 18" xfId="12978"/>
    <cellStyle name="Percent 3 2 19" xfId="12979"/>
    <cellStyle name="Percent 3 2 2" xfId="12980"/>
    <cellStyle name="Percent 3 2 2 10" xfId="12981"/>
    <cellStyle name="Percent 3 2 2 11" xfId="12982"/>
    <cellStyle name="Percent 3 2 2 12" xfId="12983"/>
    <cellStyle name="Percent 3 2 2 13" xfId="12984"/>
    <cellStyle name="Percent 3 2 2 14" xfId="12985"/>
    <cellStyle name="Percent 3 2 2 15" xfId="12986"/>
    <cellStyle name="Percent 3 2 2 16" xfId="12987"/>
    <cellStyle name="Percent 3 2 2 17" xfId="12988"/>
    <cellStyle name="Percent 3 2 2 18" xfId="12989"/>
    <cellStyle name="Percent 3 2 2 19" xfId="12990"/>
    <cellStyle name="Percent 3 2 2 2" xfId="12991"/>
    <cellStyle name="Percent 3 2 2 2 10" xfId="12992"/>
    <cellStyle name="Percent 3 2 2 2 11" xfId="12993"/>
    <cellStyle name="Percent 3 2 2 2 12" xfId="12994"/>
    <cellStyle name="Percent 3 2 2 2 13" xfId="12995"/>
    <cellStyle name="Percent 3 2 2 2 14" xfId="12996"/>
    <cellStyle name="Percent 3 2 2 2 15" xfId="12997"/>
    <cellStyle name="Percent 3 2 2 2 16" xfId="12998"/>
    <cellStyle name="Percent 3 2 2 2 17" xfId="12999"/>
    <cellStyle name="Percent 3 2 2 2 18" xfId="13000"/>
    <cellStyle name="Percent 3 2 2 2 19" xfId="13001"/>
    <cellStyle name="Percent 3 2 2 2 2" xfId="13002"/>
    <cellStyle name="Percent 3 2 2 2 3" xfId="13003"/>
    <cellStyle name="Percent 3 2 2 2 4" xfId="13004"/>
    <cellStyle name="Percent 3 2 2 2 5" xfId="13005"/>
    <cellStyle name="Percent 3 2 2 2 6" xfId="13006"/>
    <cellStyle name="Percent 3 2 2 2 7" xfId="13007"/>
    <cellStyle name="Percent 3 2 2 2 8" xfId="13008"/>
    <cellStyle name="Percent 3 2 2 2 9" xfId="13009"/>
    <cellStyle name="Percent 3 2 2 20" xfId="13010"/>
    <cellStyle name="Percent 3 2 2 3" xfId="13011"/>
    <cellStyle name="Percent 3 2 2 4" xfId="13012"/>
    <cellStyle name="Percent 3 2 2 5" xfId="13013"/>
    <cellStyle name="Percent 3 2 2 6" xfId="13014"/>
    <cellStyle name="Percent 3 2 2 7" xfId="13015"/>
    <cellStyle name="Percent 3 2 2 8" xfId="13016"/>
    <cellStyle name="Percent 3 2 2 9" xfId="13017"/>
    <cellStyle name="Percent 3 2 20" xfId="13018"/>
    <cellStyle name="Percent 3 2 21" xfId="13019"/>
    <cellStyle name="Percent 3 2 3" xfId="13020"/>
    <cellStyle name="Percent 3 2 3 10" xfId="13021"/>
    <cellStyle name="Percent 3 2 3 11" xfId="13022"/>
    <cellStyle name="Percent 3 2 3 12" xfId="13023"/>
    <cellStyle name="Percent 3 2 3 13" xfId="13024"/>
    <cellStyle name="Percent 3 2 3 14" xfId="13025"/>
    <cellStyle name="Percent 3 2 3 15" xfId="13026"/>
    <cellStyle name="Percent 3 2 3 16" xfId="13027"/>
    <cellStyle name="Percent 3 2 3 17" xfId="13028"/>
    <cellStyle name="Percent 3 2 3 18" xfId="13029"/>
    <cellStyle name="Percent 3 2 3 19" xfId="13030"/>
    <cellStyle name="Percent 3 2 3 2" xfId="13031"/>
    <cellStyle name="Percent 3 2 3 3" xfId="13032"/>
    <cellStyle name="Percent 3 2 3 4" xfId="13033"/>
    <cellStyle name="Percent 3 2 3 5" xfId="13034"/>
    <cellStyle name="Percent 3 2 3 6" xfId="13035"/>
    <cellStyle name="Percent 3 2 3 7" xfId="13036"/>
    <cellStyle name="Percent 3 2 3 8" xfId="13037"/>
    <cellStyle name="Percent 3 2 3 9" xfId="13038"/>
    <cellStyle name="Percent 3 2 4" xfId="13039"/>
    <cellStyle name="Percent 3 2 5" xfId="13040"/>
    <cellStyle name="Percent 3 2 6" xfId="13041"/>
    <cellStyle name="Percent 3 2 7" xfId="13042"/>
    <cellStyle name="Percent 3 2 8" xfId="13043"/>
    <cellStyle name="Percent 3 2 9" xfId="13044"/>
    <cellStyle name="Percent 3 20" xfId="3282"/>
    <cellStyle name="Percent 3 20 10" xfId="13045"/>
    <cellStyle name="Percent 3 20 11" xfId="13046"/>
    <cellStyle name="Percent 3 20 12" xfId="13047"/>
    <cellStyle name="Percent 3 20 13" xfId="13048"/>
    <cellStyle name="Percent 3 20 14" xfId="13049"/>
    <cellStyle name="Percent 3 20 15" xfId="13050"/>
    <cellStyle name="Percent 3 20 16" xfId="13051"/>
    <cellStyle name="Percent 3 20 17" xfId="13052"/>
    <cellStyle name="Percent 3 20 18" xfId="13053"/>
    <cellStyle name="Percent 3 20 19" xfId="13054"/>
    <cellStyle name="Percent 3 20 2" xfId="13055"/>
    <cellStyle name="Percent 3 20 2 10" xfId="13056"/>
    <cellStyle name="Percent 3 20 2 11" xfId="13057"/>
    <cellStyle name="Percent 3 20 2 12" xfId="13058"/>
    <cellStyle name="Percent 3 20 2 13" xfId="13059"/>
    <cellStyle name="Percent 3 20 2 14" xfId="13060"/>
    <cellStyle name="Percent 3 20 2 15" xfId="13061"/>
    <cellStyle name="Percent 3 20 2 16" xfId="13062"/>
    <cellStyle name="Percent 3 20 2 17" xfId="13063"/>
    <cellStyle name="Percent 3 20 2 18" xfId="13064"/>
    <cellStyle name="Percent 3 20 2 19" xfId="13065"/>
    <cellStyle name="Percent 3 20 2 2" xfId="13066"/>
    <cellStyle name="Percent 3 20 2 2 10" xfId="13067"/>
    <cellStyle name="Percent 3 20 2 2 11" xfId="13068"/>
    <cellStyle name="Percent 3 20 2 2 12" xfId="13069"/>
    <cellStyle name="Percent 3 20 2 2 13" xfId="13070"/>
    <cellStyle name="Percent 3 20 2 2 14" xfId="13071"/>
    <cellStyle name="Percent 3 20 2 2 15" xfId="13072"/>
    <cellStyle name="Percent 3 20 2 2 16" xfId="13073"/>
    <cellStyle name="Percent 3 20 2 2 17" xfId="13074"/>
    <cellStyle name="Percent 3 20 2 2 18" xfId="13075"/>
    <cellStyle name="Percent 3 20 2 2 19" xfId="13076"/>
    <cellStyle name="Percent 3 20 2 2 2" xfId="13077"/>
    <cellStyle name="Percent 3 20 2 2 3" xfId="13078"/>
    <cellStyle name="Percent 3 20 2 2 4" xfId="13079"/>
    <cellStyle name="Percent 3 20 2 2 5" xfId="13080"/>
    <cellStyle name="Percent 3 20 2 2 6" xfId="13081"/>
    <cellStyle name="Percent 3 20 2 2 7" xfId="13082"/>
    <cellStyle name="Percent 3 20 2 2 8" xfId="13083"/>
    <cellStyle name="Percent 3 20 2 2 9" xfId="13084"/>
    <cellStyle name="Percent 3 20 2 20" xfId="13085"/>
    <cellStyle name="Percent 3 20 2 3" xfId="13086"/>
    <cellStyle name="Percent 3 20 2 4" xfId="13087"/>
    <cellStyle name="Percent 3 20 2 5" xfId="13088"/>
    <cellStyle name="Percent 3 20 2 6" xfId="13089"/>
    <cellStyle name="Percent 3 20 2 7" xfId="13090"/>
    <cellStyle name="Percent 3 20 2 8" xfId="13091"/>
    <cellStyle name="Percent 3 20 2 9" xfId="13092"/>
    <cellStyle name="Percent 3 20 20" xfId="13093"/>
    <cellStyle name="Percent 3 20 21" xfId="13094"/>
    <cellStyle name="Percent 3 20 3" xfId="13095"/>
    <cellStyle name="Percent 3 20 3 10" xfId="13096"/>
    <cellStyle name="Percent 3 20 3 11" xfId="13097"/>
    <cellStyle name="Percent 3 20 3 12" xfId="13098"/>
    <cellStyle name="Percent 3 20 3 13" xfId="13099"/>
    <cellStyle name="Percent 3 20 3 14" xfId="13100"/>
    <cellStyle name="Percent 3 20 3 15" xfId="13101"/>
    <cellStyle name="Percent 3 20 3 16" xfId="13102"/>
    <cellStyle name="Percent 3 20 3 17" xfId="13103"/>
    <cellStyle name="Percent 3 20 3 18" xfId="13104"/>
    <cellStyle name="Percent 3 20 3 19" xfId="13105"/>
    <cellStyle name="Percent 3 20 3 2" xfId="13106"/>
    <cellStyle name="Percent 3 20 3 3" xfId="13107"/>
    <cellStyle name="Percent 3 20 3 4" xfId="13108"/>
    <cellStyle name="Percent 3 20 3 5" xfId="13109"/>
    <cellStyle name="Percent 3 20 3 6" xfId="13110"/>
    <cellStyle name="Percent 3 20 3 7" xfId="13111"/>
    <cellStyle name="Percent 3 20 3 8" xfId="13112"/>
    <cellStyle name="Percent 3 20 3 9" xfId="13113"/>
    <cellStyle name="Percent 3 20 4" xfId="13114"/>
    <cellStyle name="Percent 3 20 5" xfId="13115"/>
    <cellStyle name="Percent 3 20 6" xfId="13116"/>
    <cellStyle name="Percent 3 20 7" xfId="13117"/>
    <cellStyle name="Percent 3 20 8" xfId="13118"/>
    <cellStyle name="Percent 3 20 9" xfId="13119"/>
    <cellStyle name="Percent 3 21" xfId="3283"/>
    <cellStyle name="Percent 3 21 10" xfId="13120"/>
    <cellStyle name="Percent 3 21 11" xfId="13121"/>
    <cellStyle name="Percent 3 21 12" xfId="13122"/>
    <cellStyle name="Percent 3 21 13" xfId="13123"/>
    <cellStyle name="Percent 3 21 14" xfId="13124"/>
    <cellStyle name="Percent 3 21 15" xfId="13125"/>
    <cellStyle name="Percent 3 21 16" xfId="13126"/>
    <cellStyle name="Percent 3 21 17" xfId="13127"/>
    <cellStyle name="Percent 3 21 18" xfId="13128"/>
    <cellStyle name="Percent 3 21 19" xfId="13129"/>
    <cellStyle name="Percent 3 21 2" xfId="13130"/>
    <cellStyle name="Percent 3 21 2 10" xfId="13131"/>
    <cellStyle name="Percent 3 21 2 11" xfId="13132"/>
    <cellStyle name="Percent 3 21 2 12" xfId="13133"/>
    <cellStyle name="Percent 3 21 2 13" xfId="13134"/>
    <cellStyle name="Percent 3 21 2 14" xfId="13135"/>
    <cellStyle name="Percent 3 21 2 15" xfId="13136"/>
    <cellStyle name="Percent 3 21 2 16" xfId="13137"/>
    <cellStyle name="Percent 3 21 2 17" xfId="13138"/>
    <cellStyle name="Percent 3 21 2 18" xfId="13139"/>
    <cellStyle name="Percent 3 21 2 19" xfId="13140"/>
    <cellStyle name="Percent 3 21 2 2" xfId="13141"/>
    <cellStyle name="Percent 3 21 2 2 10" xfId="13142"/>
    <cellStyle name="Percent 3 21 2 2 11" xfId="13143"/>
    <cellStyle name="Percent 3 21 2 2 12" xfId="13144"/>
    <cellStyle name="Percent 3 21 2 2 13" xfId="13145"/>
    <cellStyle name="Percent 3 21 2 2 14" xfId="13146"/>
    <cellStyle name="Percent 3 21 2 2 15" xfId="13147"/>
    <cellStyle name="Percent 3 21 2 2 16" xfId="13148"/>
    <cellStyle name="Percent 3 21 2 2 17" xfId="13149"/>
    <cellStyle name="Percent 3 21 2 2 18" xfId="13150"/>
    <cellStyle name="Percent 3 21 2 2 19" xfId="13151"/>
    <cellStyle name="Percent 3 21 2 2 2" xfId="13152"/>
    <cellStyle name="Percent 3 21 2 2 3" xfId="13153"/>
    <cellStyle name="Percent 3 21 2 2 4" xfId="13154"/>
    <cellStyle name="Percent 3 21 2 2 5" xfId="13155"/>
    <cellStyle name="Percent 3 21 2 2 6" xfId="13156"/>
    <cellStyle name="Percent 3 21 2 2 7" xfId="13157"/>
    <cellStyle name="Percent 3 21 2 2 8" xfId="13158"/>
    <cellStyle name="Percent 3 21 2 2 9" xfId="13159"/>
    <cellStyle name="Percent 3 21 2 20" xfId="13160"/>
    <cellStyle name="Percent 3 21 2 3" xfId="13161"/>
    <cellStyle name="Percent 3 21 2 4" xfId="13162"/>
    <cellStyle name="Percent 3 21 2 5" xfId="13163"/>
    <cellStyle name="Percent 3 21 2 6" xfId="13164"/>
    <cellStyle name="Percent 3 21 2 7" xfId="13165"/>
    <cellStyle name="Percent 3 21 2 8" xfId="13166"/>
    <cellStyle name="Percent 3 21 2 9" xfId="13167"/>
    <cellStyle name="Percent 3 21 20" xfId="13168"/>
    <cellStyle name="Percent 3 21 21" xfId="13169"/>
    <cellStyle name="Percent 3 21 3" xfId="13170"/>
    <cellStyle name="Percent 3 21 3 10" xfId="13171"/>
    <cellStyle name="Percent 3 21 3 11" xfId="13172"/>
    <cellStyle name="Percent 3 21 3 12" xfId="13173"/>
    <cellStyle name="Percent 3 21 3 13" xfId="13174"/>
    <cellStyle name="Percent 3 21 3 14" xfId="13175"/>
    <cellStyle name="Percent 3 21 3 15" xfId="13176"/>
    <cellStyle name="Percent 3 21 3 16" xfId="13177"/>
    <cellStyle name="Percent 3 21 3 17" xfId="13178"/>
    <cellStyle name="Percent 3 21 3 18" xfId="13179"/>
    <cellStyle name="Percent 3 21 3 19" xfId="13180"/>
    <cellStyle name="Percent 3 21 3 2" xfId="13181"/>
    <cellStyle name="Percent 3 21 3 3" xfId="13182"/>
    <cellStyle name="Percent 3 21 3 4" xfId="13183"/>
    <cellStyle name="Percent 3 21 3 5" xfId="13184"/>
    <cellStyle name="Percent 3 21 3 6" xfId="13185"/>
    <cellStyle name="Percent 3 21 3 7" xfId="13186"/>
    <cellStyle name="Percent 3 21 3 8" xfId="13187"/>
    <cellStyle name="Percent 3 21 3 9" xfId="13188"/>
    <cellStyle name="Percent 3 21 4" xfId="13189"/>
    <cellStyle name="Percent 3 21 5" xfId="13190"/>
    <cellStyle name="Percent 3 21 6" xfId="13191"/>
    <cellStyle name="Percent 3 21 7" xfId="13192"/>
    <cellStyle name="Percent 3 21 8" xfId="13193"/>
    <cellStyle name="Percent 3 21 9" xfId="13194"/>
    <cellStyle name="Percent 3 22" xfId="3284"/>
    <cellStyle name="Percent 3 22 10" xfId="13195"/>
    <cellStyle name="Percent 3 22 11" xfId="13196"/>
    <cellStyle name="Percent 3 22 12" xfId="13197"/>
    <cellStyle name="Percent 3 22 13" xfId="13198"/>
    <cellStyle name="Percent 3 22 14" xfId="13199"/>
    <cellStyle name="Percent 3 22 15" xfId="13200"/>
    <cellStyle name="Percent 3 22 16" xfId="13201"/>
    <cellStyle name="Percent 3 22 17" xfId="13202"/>
    <cellStyle name="Percent 3 22 18" xfId="13203"/>
    <cellStyle name="Percent 3 22 19" xfId="13204"/>
    <cellStyle name="Percent 3 22 2" xfId="13205"/>
    <cellStyle name="Percent 3 22 2 10" xfId="13206"/>
    <cellStyle name="Percent 3 22 2 11" xfId="13207"/>
    <cellStyle name="Percent 3 22 2 12" xfId="13208"/>
    <cellStyle name="Percent 3 22 2 13" xfId="13209"/>
    <cellStyle name="Percent 3 22 2 14" xfId="13210"/>
    <cellStyle name="Percent 3 22 2 15" xfId="13211"/>
    <cellStyle name="Percent 3 22 2 16" xfId="13212"/>
    <cellStyle name="Percent 3 22 2 17" xfId="13213"/>
    <cellStyle name="Percent 3 22 2 18" xfId="13214"/>
    <cellStyle name="Percent 3 22 2 19" xfId="13215"/>
    <cellStyle name="Percent 3 22 2 2" xfId="13216"/>
    <cellStyle name="Percent 3 22 2 2 10" xfId="13217"/>
    <cellStyle name="Percent 3 22 2 2 11" xfId="13218"/>
    <cellStyle name="Percent 3 22 2 2 12" xfId="13219"/>
    <cellStyle name="Percent 3 22 2 2 13" xfId="13220"/>
    <cellStyle name="Percent 3 22 2 2 14" xfId="13221"/>
    <cellStyle name="Percent 3 22 2 2 15" xfId="13222"/>
    <cellStyle name="Percent 3 22 2 2 16" xfId="13223"/>
    <cellStyle name="Percent 3 22 2 2 17" xfId="13224"/>
    <cellStyle name="Percent 3 22 2 2 18" xfId="13225"/>
    <cellStyle name="Percent 3 22 2 2 19" xfId="13226"/>
    <cellStyle name="Percent 3 22 2 2 2" xfId="13227"/>
    <cellStyle name="Percent 3 22 2 2 3" xfId="13228"/>
    <cellStyle name="Percent 3 22 2 2 4" xfId="13229"/>
    <cellStyle name="Percent 3 22 2 2 5" xfId="13230"/>
    <cellStyle name="Percent 3 22 2 2 6" xfId="13231"/>
    <cellStyle name="Percent 3 22 2 2 7" xfId="13232"/>
    <cellStyle name="Percent 3 22 2 2 8" xfId="13233"/>
    <cellStyle name="Percent 3 22 2 2 9" xfId="13234"/>
    <cellStyle name="Percent 3 22 2 20" xfId="13235"/>
    <cellStyle name="Percent 3 22 2 3" xfId="13236"/>
    <cellStyle name="Percent 3 22 2 4" xfId="13237"/>
    <cellStyle name="Percent 3 22 2 5" xfId="13238"/>
    <cellStyle name="Percent 3 22 2 6" xfId="13239"/>
    <cellStyle name="Percent 3 22 2 7" xfId="13240"/>
    <cellStyle name="Percent 3 22 2 8" xfId="13241"/>
    <cellStyle name="Percent 3 22 2 9" xfId="13242"/>
    <cellStyle name="Percent 3 22 20" xfId="13243"/>
    <cellStyle name="Percent 3 22 21" xfId="13244"/>
    <cellStyle name="Percent 3 22 3" xfId="13245"/>
    <cellStyle name="Percent 3 22 3 10" xfId="13246"/>
    <cellStyle name="Percent 3 22 3 11" xfId="13247"/>
    <cellStyle name="Percent 3 22 3 12" xfId="13248"/>
    <cellStyle name="Percent 3 22 3 13" xfId="13249"/>
    <cellStyle name="Percent 3 22 3 14" xfId="13250"/>
    <cellStyle name="Percent 3 22 3 15" xfId="13251"/>
    <cellStyle name="Percent 3 22 3 16" xfId="13252"/>
    <cellStyle name="Percent 3 22 3 17" xfId="13253"/>
    <cellStyle name="Percent 3 22 3 18" xfId="13254"/>
    <cellStyle name="Percent 3 22 3 19" xfId="13255"/>
    <cellStyle name="Percent 3 22 3 2" xfId="13256"/>
    <cellStyle name="Percent 3 22 3 3" xfId="13257"/>
    <cellStyle name="Percent 3 22 3 4" xfId="13258"/>
    <cellStyle name="Percent 3 22 3 5" xfId="13259"/>
    <cellStyle name="Percent 3 22 3 6" xfId="13260"/>
    <cellStyle name="Percent 3 22 3 7" xfId="13261"/>
    <cellStyle name="Percent 3 22 3 8" xfId="13262"/>
    <cellStyle name="Percent 3 22 3 9" xfId="13263"/>
    <cellStyle name="Percent 3 22 4" xfId="13264"/>
    <cellStyle name="Percent 3 22 5" xfId="13265"/>
    <cellStyle name="Percent 3 22 6" xfId="13266"/>
    <cellStyle name="Percent 3 22 7" xfId="13267"/>
    <cellStyle name="Percent 3 22 8" xfId="13268"/>
    <cellStyle name="Percent 3 22 9" xfId="13269"/>
    <cellStyle name="Percent 3 23" xfId="3285"/>
    <cellStyle name="Percent 3 23 10" xfId="13270"/>
    <cellStyle name="Percent 3 23 11" xfId="13271"/>
    <cellStyle name="Percent 3 23 12" xfId="13272"/>
    <cellStyle name="Percent 3 23 13" xfId="13273"/>
    <cellStyle name="Percent 3 23 14" xfId="13274"/>
    <cellStyle name="Percent 3 23 15" xfId="13275"/>
    <cellStyle name="Percent 3 23 16" xfId="13276"/>
    <cellStyle name="Percent 3 23 17" xfId="13277"/>
    <cellStyle name="Percent 3 23 18" xfId="13278"/>
    <cellStyle name="Percent 3 23 19" xfId="13279"/>
    <cellStyle name="Percent 3 23 2" xfId="13280"/>
    <cellStyle name="Percent 3 23 2 10" xfId="13281"/>
    <cellStyle name="Percent 3 23 2 11" xfId="13282"/>
    <cellStyle name="Percent 3 23 2 12" xfId="13283"/>
    <cellStyle name="Percent 3 23 2 13" xfId="13284"/>
    <cellStyle name="Percent 3 23 2 14" xfId="13285"/>
    <cellStyle name="Percent 3 23 2 15" xfId="13286"/>
    <cellStyle name="Percent 3 23 2 16" xfId="13287"/>
    <cellStyle name="Percent 3 23 2 17" xfId="13288"/>
    <cellStyle name="Percent 3 23 2 18" xfId="13289"/>
    <cellStyle name="Percent 3 23 2 19" xfId="13290"/>
    <cellStyle name="Percent 3 23 2 2" xfId="13291"/>
    <cellStyle name="Percent 3 23 2 2 10" xfId="13292"/>
    <cellStyle name="Percent 3 23 2 2 11" xfId="13293"/>
    <cellStyle name="Percent 3 23 2 2 12" xfId="13294"/>
    <cellStyle name="Percent 3 23 2 2 13" xfId="13295"/>
    <cellStyle name="Percent 3 23 2 2 14" xfId="13296"/>
    <cellStyle name="Percent 3 23 2 2 15" xfId="13297"/>
    <cellStyle name="Percent 3 23 2 2 16" xfId="13298"/>
    <cellStyle name="Percent 3 23 2 2 17" xfId="13299"/>
    <cellStyle name="Percent 3 23 2 2 18" xfId="13300"/>
    <cellStyle name="Percent 3 23 2 2 19" xfId="13301"/>
    <cellStyle name="Percent 3 23 2 2 2" xfId="13302"/>
    <cellStyle name="Percent 3 23 2 2 3" xfId="13303"/>
    <cellStyle name="Percent 3 23 2 2 4" xfId="13304"/>
    <cellStyle name="Percent 3 23 2 2 5" xfId="13305"/>
    <cellStyle name="Percent 3 23 2 2 6" xfId="13306"/>
    <cellStyle name="Percent 3 23 2 2 7" xfId="13307"/>
    <cellStyle name="Percent 3 23 2 2 8" xfId="13308"/>
    <cellStyle name="Percent 3 23 2 2 9" xfId="13309"/>
    <cellStyle name="Percent 3 23 2 20" xfId="13310"/>
    <cellStyle name="Percent 3 23 2 3" xfId="13311"/>
    <cellStyle name="Percent 3 23 2 4" xfId="13312"/>
    <cellStyle name="Percent 3 23 2 5" xfId="13313"/>
    <cellStyle name="Percent 3 23 2 6" xfId="13314"/>
    <cellStyle name="Percent 3 23 2 7" xfId="13315"/>
    <cellStyle name="Percent 3 23 2 8" xfId="13316"/>
    <cellStyle name="Percent 3 23 2 9" xfId="13317"/>
    <cellStyle name="Percent 3 23 20" xfId="13318"/>
    <cellStyle name="Percent 3 23 21" xfId="13319"/>
    <cellStyle name="Percent 3 23 3" xfId="13320"/>
    <cellStyle name="Percent 3 23 3 10" xfId="13321"/>
    <cellStyle name="Percent 3 23 3 11" xfId="13322"/>
    <cellStyle name="Percent 3 23 3 12" xfId="13323"/>
    <cellStyle name="Percent 3 23 3 13" xfId="13324"/>
    <cellStyle name="Percent 3 23 3 14" xfId="13325"/>
    <cellStyle name="Percent 3 23 3 15" xfId="13326"/>
    <cellStyle name="Percent 3 23 3 16" xfId="13327"/>
    <cellStyle name="Percent 3 23 3 17" xfId="13328"/>
    <cellStyle name="Percent 3 23 3 18" xfId="13329"/>
    <cellStyle name="Percent 3 23 3 19" xfId="13330"/>
    <cellStyle name="Percent 3 23 3 2" xfId="13331"/>
    <cellStyle name="Percent 3 23 3 3" xfId="13332"/>
    <cellStyle name="Percent 3 23 3 4" xfId="13333"/>
    <cellStyle name="Percent 3 23 3 5" xfId="13334"/>
    <cellStyle name="Percent 3 23 3 6" xfId="13335"/>
    <cellStyle name="Percent 3 23 3 7" xfId="13336"/>
    <cellStyle name="Percent 3 23 3 8" xfId="13337"/>
    <cellStyle name="Percent 3 23 3 9" xfId="13338"/>
    <cellStyle name="Percent 3 23 4" xfId="13339"/>
    <cellStyle name="Percent 3 23 5" xfId="13340"/>
    <cellStyle name="Percent 3 23 6" xfId="13341"/>
    <cellStyle name="Percent 3 23 7" xfId="13342"/>
    <cellStyle name="Percent 3 23 8" xfId="13343"/>
    <cellStyle name="Percent 3 23 9" xfId="13344"/>
    <cellStyle name="Percent 3 24" xfId="3286"/>
    <cellStyle name="Percent 3 24 10" xfId="13345"/>
    <cellStyle name="Percent 3 24 11" xfId="13346"/>
    <cellStyle name="Percent 3 24 12" xfId="13347"/>
    <cellStyle name="Percent 3 24 13" xfId="13348"/>
    <cellStyle name="Percent 3 24 14" xfId="13349"/>
    <cellStyle name="Percent 3 24 15" xfId="13350"/>
    <cellStyle name="Percent 3 24 16" xfId="13351"/>
    <cellStyle name="Percent 3 24 17" xfId="13352"/>
    <cellStyle name="Percent 3 24 18" xfId="13353"/>
    <cellStyle name="Percent 3 24 19" xfId="13354"/>
    <cellStyle name="Percent 3 24 2" xfId="13355"/>
    <cellStyle name="Percent 3 24 2 10" xfId="13356"/>
    <cellStyle name="Percent 3 24 2 11" xfId="13357"/>
    <cellStyle name="Percent 3 24 2 12" xfId="13358"/>
    <cellStyle name="Percent 3 24 2 13" xfId="13359"/>
    <cellStyle name="Percent 3 24 2 14" xfId="13360"/>
    <cellStyle name="Percent 3 24 2 15" xfId="13361"/>
    <cellStyle name="Percent 3 24 2 16" xfId="13362"/>
    <cellStyle name="Percent 3 24 2 17" xfId="13363"/>
    <cellStyle name="Percent 3 24 2 18" xfId="13364"/>
    <cellStyle name="Percent 3 24 2 19" xfId="13365"/>
    <cellStyle name="Percent 3 24 2 2" xfId="13366"/>
    <cellStyle name="Percent 3 24 2 2 10" xfId="13367"/>
    <cellStyle name="Percent 3 24 2 2 11" xfId="13368"/>
    <cellStyle name="Percent 3 24 2 2 12" xfId="13369"/>
    <cellStyle name="Percent 3 24 2 2 13" xfId="13370"/>
    <cellStyle name="Percent 3 24 2 2 14" xfId="13371"/>
    <cellStyle name="Percent 3 24 2 2 15" xfId="13372"/>
    <cellStyle name="Percent 3 24 2 2 16" xfId="13373"/>
    <cellStyle name="Percent 3 24 2 2 17" xfId="13374"/>
    <cellStyle name="Percent 3 24 2 2 18" xfId="13375"/>
    <cellStyle name="Percent 3 24 2 2 19" xfId="13376"/>
    <cellStyle name="Percent 3 24 2 2 2" xfId="13377"/>
    <cellStyle name="Percent 3 24 2 2 3" xfId="13378"/>
    <cellStyle name="Percent 3 24 2 2 4" xfId="13379"/>
    <cellStyle name="Percent 3 24 2 2 5" xfId="13380"/>
    <cellStyle name="Percent 3 24 2 2 6" xfId="13381"/>
    <cellStyle name="Percent 3 24 2 2 7" xfId="13382"/>
    <cellStyle name="Percent 3 24 2 2 8" xfId="13383"/>
    <cellStyle name="Percent 3 24 2 2 9" xfId="13384"/>
    <cellStyle name="Percent 3 24 2 20" xfId="13385"/>
    <cellStyle name="Percent 3 24 2 3" xfId="13386"/>
    <cellStyle name="Percent 3 24 2 4" xfId="13387"/>
    <cellStyle name="Percent 3 24 2 5" xfId="13388"/>
    <cellStyle name="Percent 3 24 2 6" xfId="13389"/>
    <cellStyle name="Percent 3 24 2 7" xfId="13390"/>
    <cellStyle name="Percent 3 24 2 8" xfId="13391"/>
    <cellStyle name="Percent 3 24 2 9" xfId="13392"/>
    <cellStyle name="Percent 3 24 20" xfId="13393"/>
    <cellStyle name="Percent 3 24 21" xfId="13394"/>
    <cellStyle name="Percent 3 24 3" xfId="13395"/>
    <cellStyle name="Percent 3 24 3 10" xfId="13396"/>
    <cellStyle name="Percent 3 24 3 11" xfId="13397"/>
    <cellStyle name="Percent 3 24 3 12" xfId="13398"/>
    <cellStyle name="Percent 3 24 3 13" xfId="13399"/>
    <cellStyle name="Percent 3 24 3 14" xfId="13400"/>
    <cellStyle name="Percent 3 24 3 15" xfId="13401"/>
    <cellStyle name="Percent 3 24 3 16" xfId="13402"/>
    <cellStyle name="Percent 3 24 3 17" xfId="13403"/>
    <cellStyle name="Percent 3 24 3 18" xfId="13404"/>
    <cellStyle name="Percent 3 24 3 19" xfId="13405"/>
    <cellStyle name="Percent 3 24 3 2" xfId="13406"/>
    <cellStyle name="Percent 3 24 3 3" xfId="13407"/>
    <cellStyle name="Percent 3 24 3 4" xfId="13408"/>
    <cellStyle name="Percent 3 24 3 5" xfId="13409"/>
    <cellStyle name="Percent 3 24 3 6" xfId="13410"/>
    <cellStyle name="Percent 3 24 3 7" xfId="13411"/>
    <cellStyle name="Percent 3 24 3 8" xfId="13412"/>
    <cellStyle name="Percent 3 24 3 9" xfId="13413"/>
    <cellStyle name="Percent 3 24 4" xfId="13414"/>
    <cellStyle name="Percent 3 24 5" xfId="13415"/>
    <cellStyle name="Percent 3 24 6" xfId="13416"/>
    <cellStyle name="Percent 3 24 7" xfId="13417"/>
    <cellStyle name="Percent 3 24 8" xfId="13418"/>
    <cellStyle name="Percent 3 24 9" xfId="13419"/>
    <cellStyle name="Percent 3 25" xfId="3287"/>
    <cellStyle name="Percent 3 25 10" xfId="13420"/>
    <cellStyle name="Percent 3 25 11" xfId="13421"/>
    <cellStyle name="Percent 3 25 12" xfId="13422"/>
    <cellStyle name="Percent 3 25 13" xfId="13423"/>
    <cellStyle name="Percent 3 25 14" xfId="13424"/>
    <cellStyle name="Percent 3 25 15" xfId="13425"/>
    <cellStyle name="Percent 3 25 16" xfId="13426"/>
    <cellStyle name="Percent 3 25 17" xfId="13427"/>
    <cellStyle name="Percent 3 25 18" xfId="13428"/>
    <cellStyle name="Percent 3 25 19" xfId="13429"/>
    <cellStyle name="Percent 3 25 2" xfId="13430"/>
    <cellStyle name="Percent 3 25 2 10" xfId="13431"/>
    <cellStyle name="Percent 3 25 2 11" xfId="13432"/>
    <cellStyle name="Percent 3 25 2 12" xfId="13433"/>
    <cellStyle name="Percent 3 25 2 13" xfId="13434"/>
    <cellStyle name="Percent 3 25 2 14" xfId="13435"/>
    <cellStyle name="Percent 3 25 2 15" xfId="13436"/>
    <cellStyle name="Percent 3 25 2 16" xfId="13437"/>
    <cellStyle name="Percent 3 25 2 17" xfId="13438"/>
    <cellStyle name="Percent 3 25 2 18" xfId="13439"/>
    <cellStyle name="Percent 3 25 2 19" xfId="13440"/>
    <cellStyle name="Percent 3 25 2 2" xfId="13441"/>
    <cellStyle name="Percent 3 25 2 2 10" xfId="13442"/>
    <cellStyle name="Percent 3 25 2 2 11" xfId="13443"/>
    <cellStyle name="Percent 3 25 2 2 12" xfId="13444"/>
    <cellStyle name="Percent 3 25 2 2 13" xfId="13445"/>
    <cellStyle name="Percent 3 25 2 2 14" xfId="13446"/>
    <cellStyle name="Percent 3 25 2 2 15" xfId="13447"/>
    <cellStyle name="Percent 3 25 2 2 16" xfId="13448"/>
    <cellStyle name="Percent 3 25 2 2 17" xfId="13449"/>
    <cellStyle name="Percent 3 25 2 2 18" xfId="13450"/>
    <cellStyle name="Percent 3 25 2 2 19" xfId="13451"/>
    <cellStyle name="Percent 3 25 2 2 2" xfId="13452"/>
    <cellStyle name="Percent 3 25 2 2 3" xfId="13453"/>
    <cellStyle name="Percent 3 25 2 2 4" xfId="13454"/>
    <cellStyle name="Percent 3 25 2 2 5" xfId="13455"/>
    <cellStyle name="Percent 3 25 2 2 6" xfId="13456"/>
    <cellStyle name="Percent 3 25 2 2 7" xfId="13457"/>
    <cellStyle name="Percent 3 25 2 2 8" xfId="13458"/>
    <cellStyle name="Percent 3 25 2 2 9" xfId="13459"/>
    <cellStyle name="Percent 3 25 2 20" xfId="13460"/>
    <cellStyle name="Percent 3 25 2 3" xfId="13461"/>
    <cellStyle name="Percent 3 25 2 4" xfId="13462"/>
    <cellStyle name="Percent 3 25 2 5" xfId="13463"/>
    <cellStyle name="Percent 3 25 2 6" xfId="13464"/>
    <cellStyle name="Percent 3 25 2 7" xfId="13465"/>
    <cellStyle name="Percent 3 25 2 8" xfId="13466"/>
    <cellStyle name="Percent 3 25 2 9" xfId="13467"/>
    <cellStyle name="Percent 3 25 20" xfId="13468"/>
    <cellStyle name="Percent 3 25 21" xfId="13469"/>
    <cellStyle name="Percent 3 25 3" xfId="13470"/>
    <cellStyle name="Percent 3 25 3 10" xfId="13471"/>
    <cellStyle name="Percent 3 25 3 11" xfId="13472"/>
    <cellStyle name="Percent 3 25 3 12" xfId="13473"/>
    <cellStyle name="Percent 3 25 3 13" xfId="13474"/>
    <cellStyle name="Percent 3 25 3 14" xfId="13475"/>
    <cellStyle name="Percent 3 25 3 15" xfId="13476"/>
    <cellStyle name="Percent 3 25 3 16" xfId="13477"/>
    <cellStyle name="Percent 3 25 3 17" xfId="13478"/>
    <cellStyle name="Percent 3 25 3 18" xfId="13479"/>
    <cellStyle name="Percent 3 25 3 19" xfId="13480"/>
    <cellStyle name="Percent 3 25 3 2" xfId="13481"/>
    <cellStyle name="Percent 3 25 3 3" xfId="13482"/>
    <cellStyle name="Percent 3 25 3 4" xfId="13483"/>
    <cellStyle name="Percent 3 25 3 5" xfId="13484"/>
    <cellStyle name="Percent 3 25 3 6" xfId="13485"/>
    <cellStyle name="Percent 3 25 3 7" xfId="13486"/>
    <cellStyle name="Percent 3 25 3 8" xfId="13487"/>
    <cellStyle name="Percent 3 25 3 9" xfId="13488"/>
    <cellStyle name="Percent 3 25 4" xfId="13489"/>
    <cellStyle name="Percent 3 25 5" xfId="13490"/>
    <cellStyle name="Percent 3 25 6" xfId="13491"/>
    <cellStyle name="Percent 3 25 7" xfId="13492"/>
    <cellStyle name="Percent 3 25 8" xfId="13493"/>
    <cellStyle name="Percent 3 25 9" xfId="13494"/>
    <cellStyle name="Percent 3 26" xfId="3288"/>
    <cellStyle name="Percent 3 26 10" xfId="13495"/>
    <cellStyle name="Percent 3 26 11" xfId="13496"/>
    <cellStyle name="Percent 3 26 12" xfId="13497"/>
    <cellStyle name="Percent 3 26 13" xfId="13498"/>
    <cellStyle name="Percent 3 26 14" xfId="13499"/>
    <cellStyle name="Percent 3 26 15" xfId="13500"/>
    <cellStyle name="Percent 3 26 16" xfId="13501"/>
    <cellStyle name="Percent 3 26 17" xfId="13502"/>
    <cellStyle name="Percent 3 26 18" xfId="13503"/>
    <cellStyle name="Percent 3 26 19" xfId="13504"/>
    <cellStyle name="Percent 3 26 2" xfId="13505"/>
    <cellStyle name="Percent 3 26 2 10" xfId="13506"/>
    <cellStyle name="Percent 3 26 2 11" xfId="13507"/>
    <cellStyle name="Percent 3 26 2 12" xfId="13508"/>
    <cellStyle name="Percent 3 26 2 13" xfId="13509"/>
    <cellStyle name="Percent 3 26 2 14" xfId="13510"/>
    <cellStyle name="Percent 3 26 2 15" xfId="13511"/>
    <cellStyle name="Percent 3 26 2 16" xfId="13512"/>
    <cellStyle name="Percent 3 26 2 17" xfId="13513"/>
    <cellStyle name="Percent 3 26 2 18" xfId="13514"/>
    <cellStyle name="Percent 3 26 2 19" xfId="13515"/>
    <cellStyle name="Percent 3 26 2 2" xfId="13516"/>
    <cellStyle name="Percent 3 26 2 2 10" xfId="13517"/>
    <cellStyle name="Percent 3 26 2 2 11" xfId="13518"/>
    <cellStyle name="Percent 3 26 2 2 12" xfId="13519"/>
    <cellStyle name="Percent 3 26 2 2 13" xfId="13520"/>
    <cellStyle name="Percent 3 26 2 2 14" xfId="13521"/>
    <cellStyle name="Percent 3 26 2 2 15" xfId="13522"/>
    <cellStyle name="Percent 3 26 2 2 16" xfId="13523"/>
    <cellStyle name="Percent 3 26 2 2 17" xfId="13524"/>
    <cellStyle name="Percent 3 26 2 2 18" xfId="13525"/>
    <cellStyle name="Percent 3 26 2 2 19" xfId="13526"/>
    <cellStyle name="Percent 3 26 2 2 2" xfId="13527"/>
    <cellStyle name="Percent 3 26 2 2 3" xfId="13528"/>
    <cellStyle name="Percent 3 26 2 2 4" xfId="13529"/>
    <cellStyle name="Percent 3 26 2 2 5" xfId="13530"/>
    <cellStyle name="Percent 3 26 2 2 6" xfId="13531"/>
    <cellStyle name="Percent 3 26 2 2 7" xfId="13532"/>
    <cellStyle name="Percent 3 26 2 2 8" xfId="13533"/>
    <cellStyle name="Percent 3 26 2 2 9" xfId="13534"/>
    <cellStyle name="Percent 3 26 2 20" xfId="13535"/>
    <cellStyle name="Percent 3 26 2 3" xfId="13536"/>
    <cellStyle name="Percent 3 26 2 4" xfId="13537"/>
    <cellStyle name="Percent 3 26 2 5" xfId="13538"/>
    <cellStyle name="Percent 3 26 2 6" xfId="13539"/>
    <cellStyle name="Percent 3 26 2 7" xfId="13540"/>
    <cellStyle name="Percent 3 26 2 8" xfId="13541"/>
    <cellStyle name="Percent 3 26 2 9" xfId="13542"/>
    <cellStyle name="Percent 3 26 20" xfId="13543"/>
    <cellStyle name="Percent 3 26 21" xfId="13544"/>
    <cellStyle name="Percent 3 26 3" xfId="13545"/>
    <cellStyle name="Percent 3 26 3 10" xfId="13546"/>
    <cellStyle name="Percent 3 26 3 11" xfId="13547"/>
    <cellStyle name="Percent 3 26 3 12" xfId="13548"/>
    <cellStyle name="Percent 3 26 3 13" xfId="13549"/>
    <cellStyle name="Percent 3 26 3 14" xfId="13550"/>
    <cellStyle name="Percent 3 26 3 15" xfId="13551"/>
    <cellStyle name="Percent 3 26 3 16" xfId="13552"/>
    <cellStyle name="Percent 3 26 3 17" xfId="13553"/>
    <cellStyle name="Percent 3 26 3 18" xfId="13554"/>
    <cellStyle name="Percent 3 26 3 19" xfId="13555"/>
    <cellStyle name="Percent 3 26 3 2" xfId="13556"/>
    <cellStyle name="Percent 3 26 3 3" xfId="13557"/>
    <cellStyle name="Percent 3 26 3 4" xfId="13558"/>
    <cellStyle name="Percent 3 26 3 5" xfId="13559"/>
    <cellStyle name="Percent 3 26 3 6" xfId="13560"/>
    <cellStyle name="Percent 3 26 3 7" xfId="13561"/>
    <cellStyle name="Percent 3 26 3 8" xfId="13562"/>
    <cellStyle name="Percent 3 26 3 9" xfId="13563"/>
    <cellStyle name="Percent 3 26 4" xfId="13564"/>
    <cellStyle name="Percent 3 26 5" xfId="13565"/>
    <cellStyle name="Percent 3 26 6" xfId="13566"/>
    <cellStyle name="Percent 3 26 7" xfId="13567"/>
    <cellStyle name="Percent 3 26 8" xfId="13568"/>
    <cellStyle name="Percent 3 26 9" xfId="13569"/>
    <cellStyle name="Percent 3 27" xfId="3289"/>
    <cellStyle name="Percent 3 27 10" xfId="13570"/>
    <cellStyle name="Percent 3 27 11" xfId="13571"/>
    <cellStyle name="Percent 3 27 12" xfId="13572"/>
    <cellStyle name="Percent 3 27 13" xfId="13573"/>
    <cellStyle name="Percent 3 27 14" xfId="13574"/>
    <cellStyle name="Percent 3 27 15" xfId="13575"/>
    <cellStyle name="Percent 3 27 16" xfId="13576"/>
    <cellStyle name="Percent 3 27 17" xfId="13577"/>
    <cellStyle name="Percent 3 27 18" xfId="13578"/>
    <cellStyle name="Percent 3 27 19" xfId="13579"/>
    <cellStyle name="Percent 3 27 2" xfId="13580"/>
    <cellStyle name="Percent 3 27 2 10" xfId="13581"/>
    <cellStyle name="Percent 3 27 2 11" xfId="13582"/>
    <cellStyle name="Percent 3 27 2 12" xfId="13583"/>
    <cellStyle name="Percent 3 27 2 13" xfId="13584"/>
    <cellStyle name="Percent 3 27 2 14" xfId="13585"/>
    <cellStyle name="Percent 3 27 2 15" xfId="13586"/>
    <cellStyle name="Percent 3 27 2 16" xfId="13587"/>
    <cellStyle name="Percent 3 27 2 17" xfId="13588"/>
    <cellStyle name="Percent 3 27 2 18" xfId="13589"/>
    <cellStyle name="Percent 3 27 2 19" xfId="13590"/>
    <cellStyle name="Percent 3 27 2 2" xfId="13591"/>
    <cellStyle name="Percent 3 27 2 2 10" xfId="13592"/>
    <cellStyle name="Percent 3 27 2 2 11" xfId="13593"/>
    <cellStyle name="Percent 3 27 2 2 12" xfId="13594"/>
    <cellStyle name="Percent 3 27 2 2 13" xfId="13595"/>
    <cellStyle name="Percent 3 27 2 2 14" xfId="13596"/>
    <cellStyle name="Percent 3 27 2 2 15" xfId="13597"/>
    <cellStyle name="Percent 3 27 2 2 16" xfId="13598"/>
    <cellStyle name="Percent 3 27 2 2 17" xfId="13599"/>
    <cellStyle name="Percent 3 27 2 2 18" xfId="13600"/>
    <cellStyle name="Percent 3 27 2 2 19" xfId="13601"/>
    <cellStyle name="Percent 3 27 2 2 2" xfId="13602"/>
    <cellStyle name="Percent 3 27 2 2 3" xfId="13603"/>
    <cellStyle name="Percent 3 27 2 2 4" xfId="13604"/>
    <cellStyle name="Percent 3 27 2 2 5" xfId="13605"/>
    <cellStyle name="Percent 3 27 2 2 6" xfId="13606"/>
    <cellStyle name="Percent 3 27 2 2 7" xfId="13607"/>
    <cellStyle name="Percent 3 27 2 2 8" xfId="13608"/>
    <cellStyle name="Percent 3 27 2 2 9" xfId="13609"/>
    <cellStyle name="Percent 3 27 2 20" xfId="13610"/>
    <cellStyle name="Percent 3 27 2 3" xfId="13611"/>
    <cellStyle name="Percent 3 27 2 4" xfId="13612"/>
    <cellStyle name="Percent 3 27 2 5" xfId="13613"/>
    <cellStyle name="Percent 3 27 2 6" xfId="13614"/>
    <cellStyle name="Percent 3 27 2 7" xfId="13615"/>
    <cellStyle name="Percent 3 27 2 8" xfId="13616"/>
    <cellStyle name="Percent 3 27 2 9" xfId="13617"/>
    <cellStyle name="Percent 3 27 20" xfId="13618"/>
    <cellStyle name="Percent 3 27 21" xfId="13619"/>
    <cellStyle name="Percent 3 27 3" xfId="13620"/>
    <cellStyle name="Percent 3 27 3 10" xfId="13621"/>
    <cellStyle name="Percent 3 27 3 11" xfId="13622"/>
    <cellStyle name="Percent 3 27 3 12" xfId="13623"/>
    <cellStyle name="Percent 3 27 3 13" xfId="13624"/>
    <cellStyle name="Percent 3 27 3 14" xfId="13625"/>
    <cellStyle name="Percent 3 27 3 15" xfId="13626"/>
    <cellStyle name="Percent 3 27 3 16" xfId="13627"/>
    <cellStyle name="Percent 3 27 3 17" xfId="13628"/>
    <cellStyle name="Percent 3 27 3 18" xfId="13629"/>
    <cellStyle name="Percent 3 27 3 19" xfId="13630"/>
    <cellStyle name="Percent 3 27 3 2" xfId="13631"/>
    <cellStyle name="Percent 3 27 3 3" xfId="13632"/>
    <cellStyle name="Percent 3 27 3 4" xfId="13633"/>
    <cellStyle name="Percent 3 27 3 5" xfId="13634"/>
    <cellStyle name="Percent 3 27 3 6" xfId="13635"/>
    <cellStyle name="Percent 3 27 3 7" xfId="13636"/>
    <cellStyle name="Percent 3 27 3 8" xfId="13637"/>
    <cellStyle name="Percent 3 27 3 9" xfId="13638"/>
    <cellStyle name="Percent 3 27 4" xfId="13639"/>
    <cellStyle name="Percent 3 27 5" xfId="13640"/>
    <cellStyle name="Percent 3 27 6" xfId="13641"/>
    <cellStyle name="Percent 3 27 7" xfId="13642"/>
    <cellStyle name="Percent 3 27 8" xfId="13643"/>
    <cellStyle name="Percent 3 27 9" xfId="13644"/>
    <cellStyle name="Percent 3 28" xfId="3290"/>
    <cellStyle name="Percent 3 28 10" xfId="13645"/>
    <cellStyle name="Percent 3 28 11" xfId="13646"/>
    <cellStyle name="Percent 3 28 12" xfId="13647"/>
    <cellStyle name="Percent 3 28 13" xfId="13648"/>
    <cellStyle name="Percent 3 28 14" xfId="13649"/>
    <cellStyle name="Percent 3 28 15" xfId="13650"/>
    <cellStyle name="Percent 3 28 16" xfId="13651"/>
    <cellStyle name="Percent 3 28 17" xfId="13652"/>
    <cellStyle name="Percent 3 28 18" xfId="13653"/>
    <cellStyle name="Percent 3 28 19" xfId="13654"/>
    <cellStyle name="Percent 3 28 2" xfId="13655"/>
    <cellStyle name="Percent 3 28 2 10" xfId="13656"/>
    <cellStyle name="Percent 3 28 2 11" xfId="13657"/>
    <cellStyle name="Percent 3 28 2 12" xfId="13658"/>
    <cellStyle name="Percent 3 28 2 13" xfId="13659"/>
    <cellStyle name="Percent 3 28 2 14" xfId="13660"/>
    <cellStyle name="Percent 3 28 2 15" xfId="13661"/>
    <cellStyle name="Percent 3 28 2 16" xfId="13662"/>
    <cellStyle name="Percent 3 28 2 17" xfId="13663"/>
    <cellStyle name="Percent 3 28 2 18" xfId="13664"/>
    <cellStyle name="Percent 3 28 2 19" xfId="13665"/>
    <cellStyle name="Percent 3 28 2 2" xfId="13666"/>
    <cellStyle name="Percent 3 28 2 2 10" xfId="13667"/>
    <cellStyle name="Percent 3 28 2 2 11" xfId="13668"/>
    <cellStyle name="Percent 3 28 2 2 12" xfId="13669"/>
    <cellStyle name="Percent 3 28 2 2 13" xfId="13670"/>
    <cellStyle name="Percent 3 28 2 2 14" xfId="13671"/>
    <cellStyle name="Percent 3 28 2 2 15" xfId="13672"/>
    <cellStyle name="Percent 3 28 2 2 16" xfId="13673"/>
    <cellStyle name="Percent 3 28 2 2 17" xfId="13674"/>
    <cellStyle name="Percent 3 28 2 2 18" xfId="13675"/>
    <cellStyle name="Percent 3 28 2 2 19" xfId="13676"/>
    <cellStyle name="Percent 3 28 2 2 2" xfId="13677"/>
    <cellStyle name="Percent 3 28 2 2 3" xfId="13678"/>
    <cellStyle name="Percent 3 28 2 2 4" xfId="13679"/>
    <cellStyle name="Percent 3 28 2 2 5" xfId="13680"/>
    <cellStyle name="Percent 3 28 2 2 6" xfId="13681"/>
    <cellStyle name="Percent 3 28 2 2 7" xfId="13682"/>
    <cellStyle name="Percent 3 28 2 2 8" xfId="13683"/>
    <cellStyle name="Percent 3 28 2 2 9" xfId="13684"/>
    <cellStyle name="Percent 3 28 2 20" xfId="13685"/>
    <cellStyle name="Percent 3 28 2 3" xfId="13686"/>
    <cellStyle name="Percent 3 28 2 4" xfId="13687"/>
    <cellStyle name="Percent 3 28 2 5" xfId="13688"/>
    <cellStyle name="Percent 3 28 2 6" xfId="13689"/>
    <cellStyle name="Percent 3 28 2 7" xfId="13690"/>
    <cellStyle name="Percent 3 28 2 8" xfId="13691"/>
    <cellStyle name="Percent 3 28 2 9" xfId="13692"/>
    <cellStyle name="Percent 3 28 20" xfId="13693"/>
    <cellStyle name="Percent 3 28 21" xfId="13694"/>
    <cellStyle name="Percent 3 28 3" xfId="13695"/>
    <cellStyle name="Percent 3 28 3 10" xfId="13696"/>
    <cellStyle name="Percent 3 28 3 11" xfId="13697"/>
    <cellStyle name="Percent 3 28 3 12" xfId="13698"/>
    <cellStyle name="Percent 3 28 3 13" xfId="13699"/>
    <cellStyle name="Percent 3 28 3 14" xfId="13700"/>
    <cellStyle name="Percent 3 28 3 15" xfId="13701"/>
    <cellStyle name="Percent 3 28 3 16" xfId="13702"/>
    <cellStyle name="Percent 3 28 3 17" xfId="13703"/>
    <cellStyle name="Percent 3 28 3 18" xfId="13704"/>
    <cellStyle name="Percent 3 28 3 19" xfId="13705"/>
    <cellStyle name="Percent 3 28 3 2" xfId="13706"/>
    <cellStyle name="Percent 3 28 3 3" xfId="13707"/>
    <cellStyle name="Percent 3 28 3 4" xfId="13708"/>
    <cellStyle name="Percent 3 28 3 5" xfId="13709"/>
    <cellStyle name="Percent 3 28 3 6" xfId="13710"/>
    <cellStyle name="Percent 3 28 3 7" xfId="13711"/>
    <cellStyle name="Percent 3 28 3 8" xfId="13712"/>
    <cellStyle name="Percent 3 28 3 9" xfId="13713"/>
    <cellStyle name="Percent 3 28 4" xfId="13714"/>
    <cellStyle name="Percent 3 28 5" xfId="13715"/>
    <cellStyle name="Percent 3 28 6" xfId="13716"/>
    <cellStyle name="Percent 3 28 7" xfId="13717"/>
    <cellStyle name="Percent 3 28 8" xfId="13718"/>
    <cellStyle name="Percent 3 28 9" xfId="13719"/>
    <cellStyle name="Percent 3 29" xfId="3291"/>
    <cellStyle name="Percent 3 29 10" xfId="13720"/>
    <cellStyle name="Percent 3 29 11" xfId="13721"/>
    <cellStyle name="Percent 3 29 12" xfId="13722"/>
    <cellStyle name="Percent 3 29 13" xfId="13723"/>
    <cellStyle name="Percent 3 29 14" xfId="13724"/>
    <cellStyle name="Percent 3 29 15" xfId="13725"/>
    <cellStyle name="Percent 3 29 16" xfId="13726"/>
    <cellStyle name="Percent 3 29 17" xfId="13727"/>
    <cellStyle name="Percent 3 29 18" xfId="13728"/>
    <cellStyle name="Percent 3 29 19" xfId="13729"/>
    <cellStyle name="Percent 3 29 2" xfId="13730"/>
    <cellStyle name="Percent 3 29 2 10" xfId="13731"/>
    <cellStyle name="Percent 3 29 2 11" xfId="13732"/>
    <cellStyle name="Percent 3 29 2 12" xfId="13733"/>
    <cellStyle name="Percent 3 29 2 13" xfId="13734"/>
    <cellStyle name="Percent 3 29 2 14" xfId="13735"/>
    <cellStyle name="Percent 3 29 2 15" xfId="13736"/>
    <cellStyle name="Percent 3 29 2 16" xfId="13737"/>
    <cellStyle name="Percent 3 29 2 17" xfId="13738"/>
    <cellStyle name="Percent 3 29 2 18" xfId="13739"/>
    <cellStyle name="Percent 3 29 2 19" xfId="13740"/>
    <cellStyle name="Percent 3 29 2 2" xfId="13741"/>
    <cellStyle name="Percent 3 29 2 2 10" xfId="13742"/>
    <cellStyle name="Percent 3 29 2 2 11" xfId="13743"/>
    <cellStyle name="Percent 3 29 2 2 12" xfId="13744"/>
    <cellStyle name="Percent 3 29 2 2 13" xfId="13745"/>
    <cellStyle name="Percent 3 29 2 2 14" xfId="13746"/>
    <cellStyle name="Percent 3 29 2 2 15" xfId="13747"/>
    <cellStyle name="Percent 3 29 2 2 16" xfId="13748"/>
    <cellStyle name="Percent 3 29 2 2 17" xfId="13749"/>
    <cellStyle name="Percent 3 29 2 2 18" xfId="13750"/>
    <cellStyle name="Percent 3 29 2 2 19" xfId="13751"/>
    <cellStyle name="Percent 3 29 2 2 2" xfId="13752"/>
    <cellStyle name="Percent 3 29 2 2 3" xfId="13753"/>
    <cellStyle name="Percent 3 29 2 2 4" xfId="13754"/>
    <cellStyle name="Percent 3 29 2 2 5" xfId="13755"/>
    <cellStyle name="Percent 3 29 2 2 6" xfId="13756"/>
    <cellStyle name="Percent 3 29 2 2 7" xfId="13757"/>
    <cellStyle name="Percent 3 29 2 2 8" xfId="13758"/>
    <cellStyle name="Percent 3 29 2 2 9" xfId="13759"/>
    <cellStyle name="Percent 3 29 2 20" xfId="13760"/>
    <cellStyle name="Percent 3 29 2 3" xfId="13761"/>
    <cellStyle name="Percent 3 29 2 4" xfId="13762"/>
    <cellStyle name="Percent 3 29 2 5" xfId="13763"/>
    <cellStyle name="Percent 3 29 2 6" xfId="13764"/>
    <cellStyle name="Percent 3 29 2 7" xfId="13765"/>
    <cellStyle name="Percent 3 29 2 8" xfId="13766"/>
    <cellStyle name="Percent 3 29 2 9" xfId="13767"/>
    <cellStyle name="Percent 3 29 20" xfId="13768"/>
    <cellStyle name="Percent 3 29 21" xfId="13769"/>
    <cellStyle name="Percent 3 29 3" xfId="13770"/>
    <cellStyle name="Percent 3 29 3 10" xfId="13771"/>
    <cellStyle name="Percent 3 29 3 11" xfId="13772"/>
    <cellStyle name="Percent 3 29 3 12" xfId="13773"/>
    <cellStyle name="Percent 3 29 3 13" xfId="13774"/>
    <cellStyle name="Percent 3 29 3 14" xfId="13775"/>
    <cellStyle name="Percent 3 29 3 15" xfId="13776"/>
    <cellStyle name="Percent 3 29 3 16" xfId="13777"/>
    <cellStyle name="Percent 3 29 3 17" xfId="13778"/>
    <cellStyle name="Percent 3 29 3 18" xfId="13779"/>
    <cellStyle name="Percent 3 29 3 19" xfId="13780"/>
    <cellStyle name="Percent 3 29 3 2" xfId="13781"/>
    <cellStyle name="Percent 3 29 3 3" xfId="13782"/>
    <cellStyle name="Percent 3 29 3 4" xfId="13783"/>
    <cellStyle name="Percent 3 29 3 5" xfId="13784"/>
    <cellStyle name="Percent 3 29 3 6" xfId="13785"/>
    <cellStyle name="Percent 3 29 3 7" xfId="13786"/>
    <cellStyle name="Percent 3 29 3 8" xfId="13787"/>
    <cellStyle name="Percent 3 29 3 9" xfId="13788"/>
    <cellStyle name="Percent 3 29 4" xfId="13789"/>
    <cellStyle name="Percent 3 29 5" xfId="13790"/>
    <cellStyle name="Percent 3 29 6" xfId="13791"/>
    <cellStyle name="Percent 3 29 7" xfId="13792"/>
    <cellStyle name="Percent 3 29 8" xfId="13793"/>
    <cellStyle name="Percent 3 29 9" xfId="13794"/>
    <cellStyle name="Percent 3 3" xfId="28"/>
    <cellStyle name="Percent 3 3 10" xfId="3292"/>
    <cellStyle name="Percent 3 3 11" xfId="3293"/>
    <cellStyle name="Percent 3 3 12" xfId="3294"/>
    <cellStyle name="Percent 3 3 13" xfId="3295"/>
    <cellStyle name="Percent 3 3 14" xfId="13795"/>
    <cellStyle name="Percent 3 3 14 10" xfId="13796"/>
    <cellStyle name="Percent 3 3 14 11" xfId="13797"/>
    <cellStyle name="Percent 3 3 14 12" xfId="13798"/>
    <cellStyle name="Percent 3 3 14 13" xfId="13799"/>
    <cellStyle name="Percent 3 3 14 14" xfId="13800"/>
    <cellStyle name="Percent 3 3 14 15" xfId="13801"/>
    <cellStyle name="Percent 3 3 14 16" xfId="13802"/>
    <cellStyle name="Percent 3 3 14 17" xfId="13803"/>
    <cellStyle name="Percent 3 3 14 18" xfId="13804"/>
    <cellStyle name="Percent 3 3 14 19" xfId="13805"/>
    <cellStyle name="Percent 3 3 14 2" xfId="13806"/>
    <cellStyle name="Percent 3 3 14 2 10" xfId="13807"/>
    <cellStyle name="Percent 3 3 14 2 11" xfId="13808"/>
    <cellStyle name="Percent 3 3 14 2 12" xfId="13809"/>
    <cellStyle name="Percent 3 3 14 2 13" xfId="13810"/>
    <cellStyle name="Percent 3 3 14 2 14" xfId="13811"/>
    <cellStyle name="Percent 3 3 14 2 15" xfId="13812"/>
    <cellStyle name="Percent 3 3 14 2 16" xfId="13813"/>
    <cellStyle name="Percent 3 3 14 2 17" xfId="13814"/>
    <cellStyle name="Percent 3 3 14 2 18" xfId="13815"/>
    <cellStyle name="Percent 3 3 14 2 19" xfId="13816"/>
    <cellStyle name="Percent 3 3 14 2 2" xfId="13817"/>
    <cellStyle name="Percent 3 3 14 2 3" xfId="13818"/>
    <cellStyle name="Percent 3 3 14 2 4" xfId="13819"/>
    <cellStyle name="Percent 3 3 14 2 5" xfId="13820"/>
    <cellStyle name="Percent 3 3 14 2 6" xfId="13821"/>
    <cellStyle name="Percent 3 3 14 2 7" xfId="13822"/>
    <cellStyle name="Percent 3 3 14 2 8" xfId="13823"/>
    <cellStyle name="Percent 3 3 14 2 9" xfId="13824"/>
    <cellStyle name="Percent 3 3 14 20" xfId="13825"/>
    <cellStyle name="Percent 3 3 14 3" xfId="13826"/>
    <cellStyle name="Percent 3 3 14 4" xfId="13827"/>
    <cellStyle name="Percent 3 3 14 5" xfId="13828"/>
    <cellStyle name="Percent 3 3 14 6" xfId="13829"/>
    <cellStyle name="Percent 3 3 14 7" xfId="13830"/>
    <cellStyle name="Percent 3 3 14 8" xfId="13831"/>
    <cellStyle name="Percent 3 3 14 9" xfId="13832"/>
    <cellStyle name="Percent 3 3 15" xfId="13833"/>
    <cellStyle name="Percent 3 3 15 10" xfId="13834"/>
    <cellStyle name="Percent 3 3 15 11" xfId="13835"/>
    <cellStyle name="Percent 3 3 15 12" xfId="13836"/>
    <cellStyle name="Percent 3 3 15 13" xfId="13837"/>
    <cellStyle name="Percent 3 3 15 14" xfId="13838"/>
    <cellStyle name="Percent 3 3 15 15" xfId="13839"/>
    <cellStyle name="Percent 3 3 15 16" xfId="13840"/>
    <cellStyle name="Percent 3 3 15 17" xfId="13841"/>
    <cellStyle name="Percent 3 3 15 18" xfId="13842"/>
    <cellStyle name="Percent 3 3 15 19" xfId="13843"/>
    <cellStyle name="Percent 3 3 15 2" xfId="13844"/>
    <cellStyle name="Percent 3 3 15 3" xfId="13845"/>
    <cellStyle name="Percent 3 3 15 4" xfId="13846"/>
    <cellStyle name="Percent 3 3 15 5" xfId="13847"/>
    <cellStyle name="Percent 3 3 15 6" xfId="13848"/>
    <cellStyle name="Percent 3 3 15 7" xfId="13849"/>
    <cellStyle name="Percent 3 3 15 8" xfId="13850"/>
    <cellStyle name="Percent 3 3 15 9" xfId="13851"/>
    <cellStyle name="Percent 3 3 16" xfId="13852"/>
    <cellStyle name="Percent 3 3 17" xfId="13853"/>
    <cellStyle name="Percent 3 3 18" xfId="13854"/>
    <cellStyle name="Percent 3 3 19" xfId="13855"/>
    <cellStyle name="Percent 3 3 2" xfId="3296"/>
    <cellStyle name="Percent 3 3 20" xfId="13856"/>
    <cellStyle name="Percent 3 3 21" xfId="13857"/>
    <cellStyle name="Percent 3 3 22" xfId="13858"/>
    <cellStyle name="Percent 3 3 23" xfId="13859"/>
    <cellStyle name="Percent 3 3 24" xfId="13860"/>
    <cellStyle name="Percent 3 3 25" xfId="13861"/>
    <cellStyle name="Percent 3 3 26" xfId="13862"/>
    <cellStyle name="Percent 3 3 27" xfId="13863"/>
    <cellStyle name="Percent 3 3 28" xfId="13864"/>
    <cellStyle name="Percent 3 3 29" xfId="13865"/>
    <cellStyle name="Percent 3 3 3" xfId="3297"/>
    <cellStyle name="Percent 3 3 30" xfId="13866"/>
    <cellStyle name="Percent 3 3 31" xfId="13867"/>
    <cellStyle name="Percent 3 3 32" xfId="13868"/>
    <cellStyle name="Percent 3 3 33" xfId="13869"/>
    <cellStyle name="Percent 3 3 4" xfId="3298"/>
    <cellStyle name="Percent 3 3 5" xfId="3299"/>
    <cellStyle name="Percent 3 3 6" xfId="3300"/>
    <cellStyle name="Percent 3 3 7" xfId="3301"/>
    <cellStyle name="Percent 3 3 8" xfId="3302"/>
    <cellStyle name="Percent 3 3 9" xfId="3303"/>
    <cellStyle name="Percent 3 30" xfId="3304"/>
    <cellStyle name="Percent 3 30 10" xfId="13870"/>
    <cellStyle name="Percent 3 30 11" xfId="13871"/>
    <cellStyle name="Percent 3 30 12" xfId="13872"/>
    <cellStyle name="Percent 3 30 13" xfId="13873"/>
    <cellStyle name="Percent 3 30 14" xfId="13874"/>
    <cellStyle name="Percent 3 30 15" xfId="13875"/>
    <cellStyle name="Percent 3 30 16" xfId="13876"/>
    <cellStyle name="Percent 3 30 17" xfId="13877"/>
    <cellStyle name="Percent 3 30 18" xfId="13878"/>
    <cellStyle name="Percent 3 30 19" xfId="13879"/>
    <cellStyle name="Percent 3 30 2" xfId="13880"/>
    <cellStyle name="Percent 3 30 2 10" xfId="13881"/>
    <cellStyle name="Percent 3 30 2 11" xfId="13882"/>
    <cellStyle name="Percent 3 30 2 12" xfId="13883"/>
    <cellStyle name="Percent 3 30 2 13" xfId="13884"/>
    <cellStyle name="Percent 3 30 2 14" xfId="13885"/>
    <cellStyle name="Percent 3 30 2 15" xfId="13886"/>
    <cellStyle name="Percent 3 30 2 16" xfId="13887"/>
    <cellStyle name="Percent 3 30 2 17" xfId="13888"/>
    <cellStyle name="Percent 3 30 2 18" xfId="13889"/>
    <cellStyle name="Percent 3 30 2 19" xfId="13890"/>
    <cellStyle name="Percent 3 30 2 2" xfId="13891"/>
    <cellStyle name="Percent 3 30 2 2 10" xfId="13892"/>
    <cellStyle name="Percent 3 30 2 2 11" xfId="13893"/>
    <cellStyle name="Percent 3 30 2 2 12" xfId="13894"/>
    <cellStyle name="Percent 3 30 2 2 13" xfId="13895"/>
    <cellStyle name="Percent 3 30 2 2 14" xfId="13896"/>
    <cellStyle name="Percent 3 30 2 2 15" xfId="13897"/>
    <cellStyle name="Percent 3 30 2 2 16" xfId="13898"/>
    <cellStyle name="Percent 3 30 2 2 17" xfId="13899"/>
    <cellStyle name="Percent 3 30 2 2 18" xfId="13900"/>
    <cellStyle name="Percent 3 30 2 2 19" xfId="13901"/>
    <cellStyle name="Percent 3 30 2 2 2" xfId="13902"/>
    <cellStyle name="Percent 3 30 2 2 3" xfId="13903"/>
    <cellStyle name="Percent 3 30 2 2 4" xfId="13904"/>
    <cellStyle name="Percent 3 30 2 2 5" xfId="13905"/>
    <cellStyle name="Percent 3 30 2 2 6" xfId="13906"/>
    <cellStyle name="Percent 3 30 2 2 7" xfId="13907"/>
    <cellStyle name="Percent 3 30 2 2 8" xfId="13908"/>
    <cellStyle name="Percent 3 30 2 2 9" xfId="13909"/>
    <cellStyle name="Percent 3 30 2 20" xfId="13910"/>
    <cellStyle name="Percent 3 30 2 3" xfId="13911"/>
    <cellStyle name="Percent 3 30 2 4" xfId="13912"/>
    <cellStyle name="Percent 3 30 2 5" xfId="13913"/>
    <cellStyle name="Percent 3 30 2 6" xfId="13914"/>
    <cellStyle name="Percent 3 30 2 7" xfId="13915"/>
    <cellStyle name="Percent 3 30 2 8" xfId="13916"/>
    <cellStyle name="Percent 3 30 2 9" xfId="13917"/>
    <cellStyle name="Percent 3 30 20" xfId="13918"/>
    <cellStyle name="Percent 3 30 21" xfId="13919"/>
    <cellStyle name="Percent 3 30 3" xfId="13920"/>
    <cellStyle name="Percent 3 30 3 10" xfId="13921"/>
    <cellStyle name="Percent 3 30 3 11" xfId="13922"/>
    <cellStyle name="Percent 3 30 3 12" xfId="13923"/>
    <cellStyle name="Percent 3 30 3 13" xfId="13924"/>
    <cellStyle name="Percent 3 30 3 14" xfId="13925"/>
    <cellStyle name="Percent 3 30 3 15" xfId="13926"/>
    <cellStyle name="Percent 3 30 3 16" xfId="13927"/>
    <cellStyle name="Percent 3 30 3 17" xfId="13928"/>
    <cellStyle name="Percent 3 30 3 18" xfId="13929"/>
    <cellStyle name="Percent 3 30 3 19" xfId="13930"/>
    <cellStyle name="Percent 3 30 3 2" xfId="13931"/>
    <cellStyle name="Percent 3 30 3 3" xfId="13932"/>
    <cellStyle name="Percent 3 30 3 4" xfId="13933"/>
    <cellStyle name="Percent 3 30 3 5" xfId="13934"/>
    <cellStyle name="Percent 3 30 3 6" xfId="13935"/>
    <cellStyle name="Percent 3 30 3 7" xfId="13936"/>
    <cellStyle name="Percent 3 30 3 8" xfId="13937"/>
    <cellStyle name="Percent 3 30 3 9" xfId="13938"/>
    <cellStyle name="Percent 3 30 4" xfId="13939"/>
    <cellStyle name="Percent 3 30 5" xfId="13940"/>
    <cellStyle name="Percent 3 30 6" xfId="13941"/>
    <cellStyle name="Percent 3 30 7" xfId="13942"/>
    <cellStyle name="Percent 3 30 8" xfId="13943"/>
    <cellStyle name="Percent 3 30 9" xfId="13944"/>
    <cellStyle name="Percent 3 31" xfId="3305"/>
    <cellStyle name="Percent 3 31 10" xfId="13945"/>
    <cellStyle name="Percent 3 31 11" xfId="13946"/>
    <cellStyle name="Percent 3 31 12" xfId="13947"/>
    <cellStyle name="Percent 3 31 13" xfId="13948"/>
    <cellStyle name="Percent 3 31 14" xfId="13949"/>
    <cellStyle name="Percent 3 31 15" xfId="13950"/>
    <cellStyle name="Percent 3 31 16" xfId="13951"/>
    <cellStyle name="Percent 3 31 17" xfId="13952"/>
    <cellStyle name="Percent 3 31 18" xfId="13953"/>
    <cellStyle name="Percent 3 31 19" xfId="13954"/>
    <cellStyle name="Percent 3 31 2" xfId="13955"/>
    <cellStyle name="Percent 3 31 2 10" xfId="13956"/>
    <cellStyle name="Percent 3 31 2 11" xfId="13957"/>
    <cellStyle name="Percent 3 31 2 12" xfId="13958"/>
    <cellStyle name="Percent 3 31 2 13" xfId="13959"/>
    <cellStyle name="Percent 3 31 2 14" xfId="13960"/>
    <cellStyle name="Percent 3 31 2 15" xfId="13961"/>
    <cellStyle name="Percent 3 31 2 16" xfId="13962"/>
    <cellStyle name="Percent 3 31 2 17" xfId="13963"/>
    <cellStyle name="Percent 3 31 2 18" xfId="13964"/>
    <cellStyle name="Percent 3 31 2 19" xfId="13965"/>
    <cellStyle name="Percent 3 31 2 2" xfId="13966"/>
    <cellStyle name="Percent 3 31 2 2 10" xfId="13967"/>
    <cellStyle name="Percent 3 31 2 2 11" xfId="13968"/>
    <cellStyle name="Percent 3 31 2 2 12" xfId="13969"/>
    <cellStyle name="Percent 3 31 2 2 13" xfId="13970"/>
    <cellStyle name="Percent 3 31 2 2 14" xfId="13971"/>
    <cellStyle name="Percent 3 31 2 2 15" xfId="13972"/>
    <cellStyle name="Percent 3 31 2 2 16" xfId="13973"/>
    <cellStyle name="Percent 3 31 2 2 17" xfId="13974"/>
    <cellStyle name="Percent 3 31 2 2 18" xfId="13975"/>
    <cellStyle name="Percent 3 31 2 2 19" xfId="13976"/>
    <cellStyle name="Percent 3 31 2 2 2" xfId="13977"/>
    <cellStyle name="Percent 3 31 2 2 3" xfId="13978"/>
    <cellStyle name="Percent 3 31 2 2 4" xfId="13979"/>
    <cellStyle name="Percent 3 31 2 2 5" xfId="13980"/>
    <cellStyle name="Percent 3 31 2 2 6" xfId="13981"/>
    <cellStyle name="Percent 3 31 2 2 7" xfId="13982"/>
    <cellStyle name="Percent 3 31 2 2 8" xfId="13983"/>
    <cellStyle name="Percent 3 31 2 2 9" xfId="13984"/>
    <cellStyle name="Percent 3 31 2 20" xfId="13985"/>
    <cellStyle name="Percent 3 31 2 3" xfId="13986"/>
    <cellStyle name="Percent 3 31 2 4" xfId="13987"/>
    <cellStyle name="Percent 3 31 2 5" xfId="13988"/>
    <cellStyle name="Percent 3 31 2 6" xfId="13989"/>
    <cellStyle name="Percent 3 31 2 7" xfId="13990"/>
    <cellStyle name="Percent 3 31 2 8" xfId="13991"/>
    <cellStyle name="Percent 3 31 2 9" xfId="13992"/>
    <cellStyle name="Percent 3 31 20" xfId="13993"/>
    <cellStyle name="Percent 3 31 21" xfId="13994"/>
    <cellStyle name="Percent 3 31 3" xfId="13995"/>
    <cellStyle name="Percent 3 31 3 10" xfId="13996"/>
    <cellStyle name="Percent 3 31 3 11" xfId="13997"/>
    <cellStyle name="Percent 3 31 3 12" xfId="13998"/>
    <cellStyle name="Percent 3 31 3 13" xfId="13999"/>
    <cellStyle name="Percent 3 31 3 14" xfId="14000"/>
    <cellStyle name="Percent 3 31 3 15" xfId="14001"/>
    <cellStyle name="Percent 3 31 3 16" xfId="14002"/>
    <cellStyle name="Percent 3 31 3 17" xfId="14003"/>
    <cellStyle name="Percent 3 31 3 18" xfId="14004"/>
    <cellStyle name="Percent 3 31 3 19" xfId="14005"/>
    <cellStyle name="Percent 3 31 3 2" xfId="14006"/>
    <cellStyle name="Percent 3 31 3 3" xfId="14007"/>
    <cellStyle name="Percent 3 31 3 4" xfId="14008"/>
    <cellStyle name="Percent 3 31 3 5" xfId="14009"/>
    <cellStyle name="Percent 3 31 3 6" xfId="14010"/>
    <cellStyle name="Percent 3 31 3 7" xfId="14011"/>
    <cellStyle name="Percent 3 31 3 8" xfId="14012"/>
    <cellStyle name="Percent 3 31 3 9" xfId="14013"/>
    <cellStyle name="Percent 3 31 4" xfId="14014"/>
    <cellStyle name="Percent 3 31 5" xfId="14015"/>
    <cellStyle name="Percent 3 31 6" xfId="14016"/>
    <cellStyle name="Percent 3 31 7" xfId="14017"/>
    <cellStyle name="Percent 3 31 8" xfId="14018"/>
    <cellStyle name="Percent 3 31 9" xfId="14019"/>
    <cellStyle name="Percent 3 32" xfId="3306"/>
    <cellStyle name="Percent 3 32 10" xfId="14020"/>
    <cellStyle name="Percent 3 32 11" xfId="14021"/>
    <cellStyle name="Percent 3 32 12" xfId="14022"/>
    <cellStyle name="Percent 3 32 13" xfId="14023"/>
    <cellStyle name="Percent 3 32 14" xfId="14024"/>
    <cellStyle name="Percent 3 32 15" xfId="14025"/>
    <cellStyle name="Percent 3 32 16" xfId="14026"/>
    <cellStyle name="Percent 3 32 17" xfId="14027"/>
    <cellStyle name="Percent 3 32 18" xfId="14028"/>
    <cellStyle name="Percent 3 32 19" xfId="14029"/>
    <cellStyle name="Percent 3 32 2" xfId="14030"/>
    <cellStyle name="Percent 3 32 2 10" xfId="14031"/>
    <cellStyle name="Percent 3 32 2 11" xfId="14032"/>
    <cellStyle name="Percent 3 32 2 12" xfId="14033"/>
    <cellStyle name="Percent 3 32 2 13" xfId="14034"/>
    <cellStyle name="Percent 3 32 2 14" xfId="14035"/>
    <cellStyle name="Percent 3 32 2 15" xfId="14036"/>
    <cellStyle name="Percent 3 32 2 16" xfId="14037"/>
    <cellStyle name="Percent 3 32 2 17" xfId="14038"/>
    <cellStyle name="Percent 3 32 2 18" xfId="14039"/>
    <cellStyle name="Percent 3 32 2 19" xfId="14040"/>
    <cellStyle name="Percent 3 32 2 2" xfId="14041"/>
    <cellStyle name="Percent 3 32 2 2 10" xfId="14042"/>
    <cellStyle name="Percent 3 32 2 2 11" xfId="14043"/>
    <cellStyle name="Percent 3 32 2 2 12" xfId="14044"/>
    <cellStyle name="Percent 3 32 2 2 13" xfId="14045"/>
    <cellStyle name="Percent 3 32 2 2 14" xfId="14046"/>
    <cellStyle name="Percent 3 32 2 2 15" xfId="14047"/>
    <cellStyle name="Percent 3 32 2 2 16" xfId="14048"/>
    <cellStyle name="Percent 3 32 2 2 17" xfId="14049"/>
    <cellStyle name="Percent 3 32 2 2 18" xfId="14050"/>
    <cellStyle name="Percent 3 32 2 2 19" xfId="14051"/>
    <cellStyle name="Percent 3 32 2 2 2" xfId="14052"/>
    <cellStyle name="Percent 3 32 2 2 3" xfId="14053"/>
    <cellStyle name="Percent 3 32 2 2 4" xfId="14054"/>
    <cellStyle name="Percent 3 32 2 2 5" xfId="14055"/>
    <cellStyle name="Percent 3 32 2 2 6" xfId="14056"/>
    <cellStyle name="Percent 3 32 2 2 7" xfId="14057"/>
    <cellStyle name="Percent 3 32 2 2 8" xfId="14058"/>
    <cellStyle name="Percent 3 32 2 2 9" xfId="14059"/>
    <cellStyle name="Percent 3 32 2 20" xfId="14060"/>
    <cellStyle name="Percent 3 32 2 3" xfId="14061"/>
    <cellStyle name="Percent 3 32 2 4" xfId="14062"/>
    <cellStyle name="Percent 3 32 2 5" xfId="14063"/>
    <cellStyle name="Percent 3 32 2 6" xfId="14064"/>
    <cellStyle name="Percent 3 32 2 7" xfId="14065"/>
    <cellStyle name="Percent 3 32 2 8" xfId="14066"/>
    <cellStyle name="Percent 3 32 2 9" xfId="14067"/>
    <cellStyle name="Percent 3 32 20" xfId="14068"/>
    <cellStyle name="Percent 3 32 21" xfId="14069"/>
    <cellStyle name="Percent 3 32 3" xfId="14070"/>
    <cellStyle name="Percent 3 32 3 10" xfId="14071"/>
    <cellStyle name="Percent 3 32 3 11" xfId="14072"/>
    <cellStyle name="Percent 3 32 3 12" xfId="14073"/>
    <cellStyle name="Percent 3 32 3 13" xfId="14074"/>
    <cellStyle name="Percent 3 32 3 14" xfId="14075"/>
    <cellStyle name="Percent 3 32 3 15" xfId="14076"/>
    <cellStyle name="Percent 3 32 3 16" xfId="14077"/>
    <cellStyle name="Percent 3 32 3 17" xfId="14078"/>
    <cellStyle name="Percent 3 32 3 18" xfId="14079"/>
    <cellStyle name="Percent 3 32 3 19" xfId="14080"/>
    <cellStyle name="Percent 3 32 3 2" xfId="14081"/>
    <cellStyle name="Percent 3 32 3 3" xfId="14082"/>
    <cellStyle name="Percent 3 32 3 4" xfId="14083"/>
    <cellStyle name="Percent 3 32 3 5" xfId="14084"/>
    <cellStyle name="Percent 3 32 3 6" xfId="14085"/>
    <cellStyle name="Percent 3 32 3 7" xfId="14086"/>
    <cellStyle name="Percent 3 32 3 8" xfId="14087"/>
    <cellStyle name="Percent 3 32 3 9" xfId="14088"/>
    <cellStyle name="Percent 3 32 4" xfId="14089"/>
    <cellStyle name="Percent 3 32 5" xfId="14090"/>
    <cellStyle name="Percent 3 32 6" xfId="14091"/>
    <cellStyle name="Percent 3 32 7" xfId="14092"/>
    <cellStyle name="Percent 3 32 8" xfId="14093"/>
    <cellStyle name="Percent 3 32 9" xfId="14094"/>
    <cellStyle name="Percent 3 33" xfId="3307"/>
    <cellStyle name="Percent 3 33 10" xfId="14095"/>
    <cellStyle name="Percent 3 33 11" xfId="14096"/>
    <cellStyle name="Percent 3 33 12" xfId="14097"/>
    <cellStyle name="Percent 3 33 13" xfId="14098"/>
    <cellStyle name="Percent 3 33 14" xfId="14099"/>
    <cellStyle name="Percent 3 33 15" xfId="14100"/>
    <cellStyle name="Percent 3 33 16" xfId="14101"/>
    <cellStyle name="Percent 3 33 17" xfId="14102"/>
    <cellStyle name="Percent 3 33 18" xfId="14103"/>
    <cellStyle name="Percent 3 33 19" xfId="14104"/>
    <cellStyle name="Percent 3 33 2" xfId="14105"/>
    <cellStyle name="Percent 3 33 2 10" xfId="14106"/>
    <cellStyle name="Percent 3 33 2 11" xfId="14107"/>
    <cellStyle name="Percent 3 33 2 12" xfId="14108"/>
    <cellStyle name="Percent 3 33 2 13" xfId="14109"/>
    <cellStyle name="Percent 3 33 2 14" xfId="14110"/>
    <cellStyle name="Percent 3 33 2 15" xfId="14111"/>
    <cellStyle name="Percent 3 33 2 16" xfId="14112"/>
    <cellStyle name="Percent 3 33 2 17" xfId="14113"/>
    <cellStyle name="Percent 3 33 2 18" xfId="14114"/>
    <cellStyle name="Percent 3 33 2 19" xfId="14115"/>
    <cellStyle name="Percent 3 33 2 2" xfId="14116"/>
    <cellStyle name="Percent 3 33 2 2 10" xfId="14117"/>
    <cellStyle name="Percent 3 33 2 2 11" xfId="14118"/>
    <cellStyle name="Percent 3 33 2 2 12" xfId="14119"/>
    <cellStyle name="Percent 3 33 2 2 13" xfId="14120"/>
    <cellStyle name="Percent 3 33 2 2 14" xfId="14121"/>
    <cellStyle name="Percent 3 33 2 2 15" xfId="14122"/>
    <cellStyle name="Percent 3 33 2 2 16" xfId="14123"/>
    <cellStyle name="Percent 3 33 2 2 17" xfId="14124"/>
    <cellStyle name="Percent 3 33 2 2 18" xfId="14125"/>
    <cellStyle name="Percent 3 33 2 2 19" xfId="14126"/>
    <cellStyle name="Percent 3 33 2 2 2" xfId="14127"/>
    <cellStyle name="Percent 3 33 2 2 3" xfId="14128"/>
    <cellStyle name="Percent 3 33 2 2 4" xfId="14129"/>
    <cellStyle name="Percent 3 33 2 2 5" xfId="14130"/>
    <cellStyle name="Percent 3 33 2 2 6" xfId="14131"/>
    <cellStyle name="Percent 3 33 2 2 7" xfId="14132"/>
    <cellStyle name="Percent 3 33 2 2 8" xfId="14133"/>
    <cellStyle name="Percent 3 33 2 2 9" xfId="14134"/>
    <cellStyle name="Percent 3 33 2 20" xfId="14135"/>
    <cellStyle name="Percent 3 33 2 3" xfId="14136"/>
    <cellStyle name="Percent 3 33 2 4" xfId="14137"/>
    <cellStyle name="Percent 3 33 2 5" xfId="14138"/>
    <cellStyle name="Percent 3 33 2 6" xfId="14139"/>
    <cellStyle name="Percent 3 33 2 7" xfId="14140"/>
    <cellStyle name="Percent 3 33 2 8" xfId="14141"/>
    <cellStyle name="Percent 3 33 2 9" xfId="14142"/>
    <cellStyle name="Percent 3 33 20" xfId="14143"/>
    <cellStyle name="Percent 3 33 21" xfId="14144"/>
    <cellStyle name="Percent 3 33 3" xfId="14145"/>
    <cellStyle name="Percent 3 33 3 10" xfId="14146"/>
    <cellStyle name="Percent 3 33 3 11" xfId="14147"/>
    <cellStyle name="Percent 3 33 3 12" xfId="14148"/>
    <cellStyle name="Percent 3 33 3 13" xfId="14149"/>
    <cellStyle name="Percent 3 33 3 14" xfId="14150"/>
    <cellStyle name="Percent 3 33 3 15" xfId="14151"/>
    <cellStyle name="Percent 3 33 3 16" xfId="14152"/>
    <cellStyle name="Percent 3 33 3 17" xfId="14153"/>
    <cellStyle name="Percent 3 33 3 18" xfId="14154"/>
    <cellStyle name="Percent 3 33 3 19" xfId="14155"/>
    <cellStyle name="Percent 3 33 3 2" xfId="14156"/>
    <cellStyle name="Percent 3 33 3 3" xfId="14157"/>
    <cellStyle name="Percent 3 33 3 4" xfId="14158"/>
    <cellStyle name="Percent 3 33 3 5" xfId="14159"/>
    <cellStyle name="Percent 3 33 3 6" xfId="14160"/>
    <cellStyle name="Percent 3 33 3 7" xfId="14161"/>
    <cellStyle name="Percent 3 33 3 8" xfId="14162"/>
    <cellStyle name="Percent 3 33 3 9" xfId="14163"/>
    <cellStyle name="Percent 3 33 4" xfId="14164"/>
    <cellStyle name="Percent 3 33 5" xfId="14165"/>
    <cellStyle name="Percent 3 33 6" xfId="14166"/>
    <cellStyle name="Percent 3 33 7" xfId="14167"/>
    <cellStyle name="Percent 3 33 8" xfId="14168"/>
    <cellStyle name="Percent 3 33 9" xfId="14169"/>
    <cellStyle name="Percent 3 34" xfId="3308"/>
    <cellStyle name="Percent 3 34 10" xfId="14170"/>
    <cellStyle name="Percent 3 34 11" xfId="14171"/>
    <cellStyle name="Percent 3 34 12" xfId="14172"/>
    <cellStyle name="Percent 3 34 13" xfId="14173"/>
    <cellStyle name="Percent 3 34 14" xfId="14174"/>
    <cellStyle name="Percent 3 34 15" xfId="14175"/>
    <cellStyle name="Percent 3 34 16" xfId="14176"/>
    <cellStyle name="Percent 3 34 17" xfId="14177"/>
    <cellStyle name="Percent 3 34 18" xfId="14178"/>
    <cellStyle name="Percent 3 34 19" xfId="14179"/>
    <cellStyle name="Percent 3 34 2" xfId="14180"/>
    <cellStyle name="Percent 3 34 2 10" xfId="14181"/>
    <cellStyle name="Percent 3 34 2 11" xfId="14182"/>
    <cellStyle name="Percent 3 34 2 12" xfId="14183"/>
    <cellStyle name="Percent 3 34 2 13" xfId="14184"/>
    <cellStyle name="Percent 3 34 2 14" xfId="14185"/>
    <cellStyle name="Percent 3 34 2 15" xfId="14186"/>
    <cellStyle name="Percent 3 34 2 16" xfId="14187"/>
    <cellStyle name="Percent 3 34 2 17" xfId="14188"/>
    <cellStyle name="Percent 3 34 2 18" xfId="14189"/>
    <cellStyle name="Percent 3 34 2 19" xfId="14190"/>
    <cellStyle name="Percent 3 34 2 2" xfId="14191"/>
    <cellStyle name="Percent 3 34 2 2 10" xfId="14192"/>
    <cellStyle name="Percent 3 34 2 2 11" xfId="14193"/>
    <cellStyle name="Percent 3 34 2 2 12" xfId="14194"/>
    <cellStyle name="Percent 3 34 2 2 13" xfId="14195"/>
    <cellStyle name="Percent 3 34 2 2 14" xfId="14196"/>
    <cellStyle name="Percent 3 34 2 2 15" xfId="14197"/>
    <cellStyle name="Percent 3 34 2 2 16" xfId="14198"/>
    <cellStyle name="Percent 3 34 2 2 17" xfId="14199"/>
    <cellStyle name="Percent 3 34 2 2 18" xfId="14200"/>
    <cellStyle name="Percent 3 34 2 2 19" xfId="14201"/>
    <cellStyle name="Percent 3 34 2 2 2" xfId="14202"/>
    <cellStyle name="Percent 3 34 2 2 3" xfId="14203"/>
    <cellStyle name="Percent 3 34 2 2 4" xfId="14204"/>
    <cellStyle name="Percent 3 34 2 2 5" xfId="14205"/>
    <cellStyle name="Percent 3 34 2 2 6" xfId="14206"/>
    <cellStyle name="Percent 3 34 2 2 7" xfId="14207"/>
    <cellStyle name="Percent 3 34 2 2 8" xfId="14208"/>
    <cellStyle name="Percent 3 34 2 2 9" xfId="14209"/>
    <cellStyle name="Percent 3 34 2 20" xfId="14210"/>
    <cellStyle name="Percent 3 34 2 3" xfId="14211"/>
    <cellStyle name="Percent 3 34 2 4" xfId="14212"/>
    <cellStyle name="Percent 3 34 2 5" xfId="14213"/>
    <cellStyle name="Percent 3 34 2 6" xfId="14214"/>
    <cellStyle name="Percent 3 34 2 7" xfId="14215"/>
    <cellStyle name="Percent 3 34 2 8" xfId="14216"/>
    <cellStyle name="Percent 3 34 2 9" xfId="14217"/>
    <cellStyle name="Percent 3 34 20" xfId="14218"/>
    <cellStyle name="Percent 3 34 21" xfId="14219"/>
    <cellStyle name="Percent 3 34 3" xfId="14220"/>
    <cellStyle name="Percent 3 34 3 10" xfId="14221"/>
    <cellStyle name="Percent 3 34 3 11" xfId="14222"/>
    <cellStyle name="Percent 3 34 3 12" xfId="14223"/>
    <cellStyle name="Percent 3 34 3 13" xfId="14224"/>
    <cellStyle name="Percent 3 34 3 14" xfId="14225"/>
    <cellStyle name="Percent 3 34 3 15" xfId="14226"/>
    <cellStyle name="Percent 3 34 3 16" xfId="14227"/>
    <cellStyle name="Percent 3 34 3 17" xfId="14228"/>
    <cellStyle name="Percent 3 34 3 18" xfId="14229"/>
    <cellStyle name="Percent 3 34 3 19" xfId="14230"/>
    <cellStyle name="Percent 3 34 3 2" xfId="14231"/>
    <cellStyle name="Percent 3 34 3 3" xfId="14232"/>
    <cellStyle name="Percent 3 34 3 4" xfId="14233"/>
    <cellStyle name="Percent 3 34 3 5" xfId="14234"/>
    <cellStyle name="Percent 3 34 3 6" xfId="14235"/>
    <cellStyle name="Percent 3 34 3 7" xfId="14236"/>
    <cellStyle name="Percent 3 34 3 8" xfId="14237"/>
    <cellStyle name="Percent 3 34 3 9" xfId="14238"/>
    <cellStyle name="Percent 3 34 4" xfId="14239"/>
    <cellStyle name="Percent 3 34 5" xfId="14240"/>
    <cellStyle name="Percent 3 34 6" xfId="14241"/>
    <cellStyle name="Percent 3 34 7" xfId="14242"/>
    <cellStyle name="Percent 3 34 8" xfId="14243"/>
    <cellStyle name="Percent 3 34 9" xfId="14244"/>
    <cellStyle name="Percent 3 35" xfId="3309"/>
    <cellStyle name="Percent 3 35 10" xfId="14245"/>
    <cellStyle name="Percent 3 35 11" xfId="14246"/>
    <cellStyle name="Percent 3 35 12" xfId="14247"/>
    <cellStyle name="Percent 3 35 13" xfId="14248"/>
    <cellStyle name="Percent 3 35 14" xfId="14249"/>
    <cellStyle name="Percent 3 35 15" xfId="14250"/>
    <cellStyle name="Percent 3 35 16" xfId="14251"/>
    <cellStyle name="Percent 3 35 17" xfId="14252"/>
    <cellStyle name="Percent 3 35 18" xfId="14253"/>
    <cellStyle name="Percent 3 35 19" xfId="14254"/>
    <cellStyle name="Percent 3 35 2" xfId="14255"/>
    <cellStyle name="Percent 3 35 2 10" xfId="14256"/>
    <cellStyle name="Percent 3 35 2 11" xfId="14257"/>
    <cellStyle name="Percent 3 35 2 12" xfId="14258"/>
    <cellStyle name="Percent 3 35 2 13" xfId="14259"/>
    <cellStyle name="Percent 3 35 2 14" xfId="14260"/>
    <cellStyle name="Percent 3 35 2 15" xfId="14261"/>
    <cellStyle name="Percent 3 35 2 16" xfId="14262"/>
    <cellStyle name="Percent 3 35 2 17" xfId="14263"/>
    <cellStyle name="Percent 3 35 2 18" xfId="14264"/>
    <cellStyle name="Percent 3 35 2 19" xfId="14265"/>
    <cellStyle name="Percent 3 35 2 2" xfId="14266"/>
    <cellStyle name="Percent 3 35 2 2 10" xfId="14267"/>
    <cellStyle name="Percent 3 35 2 2 11" xfId="14268"/>
    <cellStyle name="Percent 3 35 2 2 12" xfId="14269"/>
    <cellStyle name="Percent 3 35 2 2 13" xfId="14270"/>
    <cellStyle name="Percent 3 35 2 2 14" xfId="14271"/>
    <cellStyle name="Percent 3 35 2 2 15" xfId="14272"/>
    <cellStyle name="Percent 3 35 2 2 16" xfId="14273"/>
    <cellStyle name="Percent 3 35 2 2 17" xfId="14274"/>
    <cellStyle name="Percent 3 35 2 2 18" xfId="14275"/>
    <cellStyle name="Percent 3 35 2 2 19" xfId="14276"/>
    <cellStyle name="Percent 3 35 2 2 2" xfId="14277"/>
    <cellStyle name="Percent 3 35 2 2 3" xfId="14278"/>
    <cellStyle name="Percent 3 35 2 2 4" xfId="14279"/>
    <cellStyle name="Percent 3 35 2 2 5" xfId="14280"/>
    <cellStyle name="Percent 3 35 2 2 6" xfId="14281"/>
    <cellStyle name="Percent 3 35 2 2 7" xfId="14282"/>
    <cellStyle name="Percent 3 35 2 2 8" xfId="14283"/>
    <cellStyle name="Percent 3 35 2 2 9" xfId="14284"/>
    <cellStyle name="Percent 3 35 2 20" xfId="14285"/>
    <cellStyle name="Percent 3 35 2 3" xfId="14286"/>
    <cellStyle name="Percent 3 35 2 4" xfId="14287"/>
    <cellStyle name="Percent 3 35 2 5" xfId="14288"/>
    <cellStyle name="Percent 3 35 2 6" xfId="14289"/>
    <cellStyle name="Percent 3 35 2 7" xfId="14290"/>
    <cellStyle name="Percent 3 35 2 8" xfId="14291"/>
    <cellStyle name="Percent 3 35 2 9" xfId="14292"/>
    <cellStyle name="Percent 3 35 20" xfId="14293"/>
    <cellStyle name="Percent 3 35 21" xfId="14294"/>
    <cellStyle name="Percent 3 35 3" xfId="14295"/>
    <cellStyle name="Percent 3 35 3 10" xfId="14296"/>
    <cellStyle name="Percent 3 35 3 11" xfId="14297"/>
    <cellStyle name="Percent 3 35 3 12" xfId="14298"/>
    <cellStyle name="Percent 3 35 3 13" xfId="14299"/>
    <cellStyle name="Percent 3 35 3 14" xfId="14300"/>
    <cellStyle name="Percent 3 35 3 15" xfId="14301"/>
    <cellStyle name="Percent 3 35 3 16" xfId="14302"/>
    <cellStyle name="Percent 3 35 3 17" xfId="14303"/>
    <cellStyle name="Percent 3 35 3 18" xfId="14304"/>
    <cellStyle name="Percent 3 35 3 19" xfId="14305"/>
    <cellStyle name="Percent 3 35 3 2" xfId="14306"/>
    <cellStyle name="Percent 3 35 3 3" xfId="14307"/>
    <cellStyle name="Percent 3 35 3 4" xfId="14308"/>
    <cellStyle name="Percent 3 35 3 5" xfId="14309"/>
    <cellStyle name="Percent 3 35 3 6" xfId="14310"/>
    <cellStyle name="Percent 3 35 3 7" xfId="14311"/>
    <cellStyle name="Percent 3 35 3 8" xfId="14312"/>
    <cellStyle name="Percent 3 35 3 9" xfId="14313"/>
    <cellStyle name="Percent 3 35 4" xfId="14314"/>
    <cellStyle name="Percent 3 35 5" xfId="14315"/>
    <cellStyle name="Percent 3 35 6" xfId="14316"/>
    <cellStyle name="Percent 3 35 7" xfId="14317"/>
    <cellStyle name="Percent 3 35 8" xfId="14318"/>
    <cellStyle name="Percent 3 35 9" xfId="14319"/>
    <cellStyle name="Percent 3 36" xfId="3310"/>
    <cellStyle name="Percent 3 36 10" xfId="14320"/>
    <cellStyle name="Percent 3 36 11" xfId="14321"/>
    <cellStyle name="Percent 3 36 12" xfId="14322"/>
    <cellStyle name="Percent 3 36 13" xfId="14323"/>
    <cellStyle name="Percent 3 36 14" xfId="14324"/>
    <cellStyle name="Percent 3 36 15" xfId="14325"/>
    <cellStyle name="Percent 3 36 16" xfId="14326"/>
    <cellStyle name="Percent 3 36 17" xfId="14327"/>
    <cellStyle name="Percent 3 36 18" xfId="14328"/>
    <cellStyle name="Percent 3 36 19" xfId="14329"/>
    <cellStyle name="Percent 3 36 2" xfId="14330"/>
    <cellStyle name="Percent 3 36 2 10" xfId="14331"/>
    <cellStyle name="Percent 3 36 2 11" xfId="14332"/>
    <cellStyle name="Percent 3 36 2 12" xfId="14333"/>
    <cellStyle name="Percent 3 36 2 13" xfId="14334"/>
    <cellStyle name="Percent 3 36 2 14" xfId="14335"/>
    <cellStyle name="Percent 3 36 2 15" xfId="14336"/>
    <cellStyle name="Percent 3 36 2 16" xfId="14337"/>
    <cellStyle name="Percent 3 36 2 17" xfId="14338"/>
    <cellStyle name="Percent 3 36 2 18" xfId="14339"/>
    <cellStyle name="Percent 3 36 2 19" xfId="14340"/>
    <cellStyle name="Percent 3 36 2 2" xfId="14341"/>
    <cellStyle name="Percent 3 36 2 2 10" xfId="14342"/>
    <cellStyle name="Percent 3 36 2 2 11" xfId="14343"/>
    <cellStyle name="Percent 3 36 2 2 12" xfId="14344"/>
    <cellStyle name="Percent 3 36 2 2 13" xfId="14345"/>
    <cellStyle name="Percent 3 36 2 2 14" xfId="14346"/>
    <cellStyle name="Percent 3 36 2 2 15" xfId="14347"/>
    <cellStyle name="Percent 3 36 2 2 16" xfId="14348"/>
    <cellStyle name="Percent 3 36 2 2 17" xfId="14349"/>
    <cellStyle name="Percent 3 36 2 2 18" xfId="14350"/>
    <cellStyle name="Percent 3 36 2 2 19" xfId="14351"/>
    <cellStyle name="Percent 3 36 2 2 2" xfId="14352"/>
    <cellStyle name="Percent 3 36 2 2 3" xfId="14353"/>
    <cellStyle name="Percent 3 36 2 2 4" xfId="14354"/>
    <cellStyle name="Percent 3 36 2 2 5" xfId="14355"/>
    <cellStyle name="Percent 3 36 2 2 6" xfId="14356"/>
    <cellStyle name="Percent 3 36 2 2 7" xfId="14357"/>
    <cellStyle name="Percent 3 36 2 2 8" xfId="14358"/>
    <cellStyle name="Percent 3 36 2 2 9" xfId="14359"/>
    <cellStyle name="Percent 3 36 2 20" xfId="14360"/>
    <cellStyle name="Percent 3 36 2 3" xfId="14361"/>
    <cellStyle name="Percent 3 36 2 4" xfId="14362"/>
    <cellStyle name="Percent 3 36 2 5" xfId="14363"/>
    <cellStyle name="Percent 3 36 2 6" xfId="14364"/>
    <cellStyle name="Percent 3 36 2 7" xfId="14365"/>
    <cellStyle name="Percent 3 36 2 8" xfId="14366"/>
    <cellStyle name="Percent 3 36 2 9" xfId="14367"/>
    <cellStyle name="Percent 3 36 20" xfId="14368"/>
    <cellStyle name="Percent 3 36 21" xfId="14369"/>
    <cellStyle name="Percent 3 36 3" xfId="14370"/>
    <cellStyle name="Percent 3 36 3 10" xfId="14371"/>
    <cellStyle name="Percent 3 36 3 11" xfId="14372"/>
    <cellStyle name="Percent 3 36 3 12" xfId="14373"/>
    <cellStyle name="Percent 3 36 3 13" xfId="14374"/>
    <cellStyle name="Percent 3 36 3 14" xfId="14375"/>
    <cellStyle name="Percent 3 36 3 15" xfId="14376"/>
    <cellStyle name="Percent 3 36 3 16" xfId="14377"/>
    <cellStyle name="Percent 3 36 3 17" xfId="14378"/>
    <cellStyle name="Percent 3 36 3 18" xfId="14379"/>
    <cellStyle name="Percent 3 36 3 19" xfId="14380"/>
    <cellStyle name="Percent 3 36 3 2" xfId="14381"/>
    <cellStyle name="Percent 3 36 3 3" xfId="14382"/>
    <cellStyle name="Percent 3 36 3 4" xfId="14383"/>
    <cellStyle name="Percent 3 36 3 5" xfId="14384"/>
    <cellStyle name="Percent 3 36 3 6" xfId="14385"/>
    <cellStyle name="Percent 3 36 3 7" xfId="14386"/>
    <cellStyle name="Percent 3 36 3 8" xfId="14387"/>
    <cellStyle name="Percent 3 36 3 9" xfId="14388"/>
    <cellStyle name="Percent 3 36 4" xfId="14389"/>
    <cellStyle name="Percent 3 36 5" xfId="14390"/>
    <cellStyle name="Percent 3 36 6" xfId="14391"/>
    <cellStyle name="Percent 3 36 7" xfId="14392"/>
    <cellStyle name="Percent 3 36 8" xfId="14393"/>
    <cellStyle name="Percent 3 36 9" xfId="14394"/>
    <cellStyle name="Percent 3 37" xfId="3311"/>
    <cellStyle name="Percent 3 37 10" xfId="14395"/>
    <cellStyle name="Percent 3 37 11" xfId="14396"/>
    <cellStyle name="Percent 3 37 12" xfId="14397"/>
    <cellStyle name="Percent 3 37 13" xfId="14398"/>
    <cellStyle name="Percent 3 37 14" xfId="14399"/>
    <cellStyle name="Percent 3 37 15" xfId="14400"/>
    <cellStyle name="Percent 3 37 16" xfId="14401"/>
    <cellStyle name="Percent 3 37 17" xfId="14402"/>
    <cellStyle name="Percent 3 37 18" xfId="14403"/>
    <cellStyle name="Percent 3 37 19" xfId="14404"/>
    <cellStyle name="Percent 3 37 2" xfId="14405"/>
    <cellStyle name="Percent 3 37 2 10" xfId="14406"/>
    <cellStyle name="Percent 3 37 2 11" xfId="14407"/>
    <cellStyle name="Percent 3 37 2 12" xfId="14408"/>
    <cellStyle name="Percent 3 37 2 13" xfId="14409"/>
    <cellStyle name="Percent 3 37 2 14" xfId="14410"/>
    <cellStyle name="Percent 3 37 2 15" xfId="14411"/>
    <cellStyle name="Percent 3 37 2 16" xfId="14412"/>
    <cellStyle name="Percent 3 37 2 17" xfId="14413"/>
    <cellStyle name="Percent 3 37 2 18" xfId="14414"/>
    <cellStyle name="Percent 3 37 2 19" xfId="14415"/>
    <cellStyle name="Percent 3 37 2 2" xfId="14416"/>
    <cellStyle name="Percent 3 37 2 2 10" xfId="14417"/>
    <cellStyle name="Percent 3 37 2 2 11" xfId="14418"/>
    <cellStyle name="Percent 3 37 2 2 12" xfId="14419"/>
    <cellStyle name="Percent 3 37 2 2 13" xfId="14420"/>
    <cellStyle name="Percent 3 37 2 2 14" xfId="14421"/>
    <cellStyle name="Percent 3 37 2 2 15" xfId="14422"/>
    <cellStyle name="Percent 3 37 2 2 16" xfId="14423"/>
    <cellStyle name="Percent 3 37 2 2 17" xfId="14424"/>
    <cellStyle name="Percent 3 37 2 2 18" xfId="14425"/>
    <cellStyle name="Percent 3 37 2 2 19" xfId="14426"/>
    <cellStyle name="Percent 3 37 2 2 2" xfId="14427"/>
    <cellStyle name="Percent 3 37 2 2 3" xfId="14428"/>
    <cellStyle name="Percent 3 37 2 2 4" xfId="14429"/>
    <cellStyle name="Percent 3 37 2 2 5" xfId="14430"/>
    <cellStyle name="Percent 3 37 2 2 6" xfId="14431"/>
    <cellStyle name="Percent 3 37 2 2 7" xfId="14432"/>
    <cellStyle name="Percent 3 37 2 2 8" xfId="14433"/>
    <cellStyle name="Percent 3 37 2 2 9" xfId="14434"/>
    <cellStyle name="Percent 3 37 2 20" xfId="14435"/>
    <cellStyle name="Percent 3 37 2 3" xfId="14436"/>
    <cellStyle name="Percent 3 37 2 4" xfId="14437"/>
    <cellStyle name="Percent 3 37 2 5" xfId="14438"/>
    <cellStyle name="Percent 3 37 2 6" xfId="14439"/>
    <cellStyle name="Percent 3 37 2 7" xfId="14440"/>
    <cellStyle name="Percent 3 37 2 8" xfId="14441"/>
    <cellStyle name="Percent 3 37 2 9" xfId="14442"/>
    <cellStyle name="Percent 3 37 20" xfId="14443"/>
    <cellStyle name="Percent 3 37 21" xfId="14444"/>
    <cellStyle name="Percent 3 37 3" xfId="14445"/>
    <cellStyle name="Percent 3 37 3 10" xfId="14446"/>
    <cellStyle name="Percent 3 37 3 11" xfId="14447"/>
    <cellStyle name="Percent 3 37 3 12" xfId="14448"/>
    <cellStyle name="Percent 3 37 3 13" xfId="14449"/>
    <cellStyle name="Percent 3 37 3 14" xfId="14450"/>
    <cellStyle name="Percent 3 37 3 15" xfId="14451"/>
    <cellStyle name="Percent 3 37 3 16" xfId="14452"/>
    <cellStyle name="Percent 3 37 3 17" xfId="14453"/>
    <cellStyle name="Percent 3 37 3 18" xfId="14454"/>
    <cellStyle name="Percent 3 37 3 19" xfId="14455"/>
    <cellStyle name="Percent 3 37 3 2" xfId="14456"/>
    <cellStyle name="Percent 3 37 3 3" xfId="14457"/>
    <cellStyle name="Percent 3 37 3 4" xfId="14458"/>
    <cellStyle name="Percent 3 37 3 5" xfId="14459"/>
    <cellStyle name="Percent 3 37 3 6" xfId="14460"/>
    <cellStyle name="Percent 3 37 3 7" xfId="14461"/>
    <cellStyle name="Percent 3 37 3 8" xfId="14462"/>
    <cellStyle name="Percent 3 37 3 9" xfId="14463"/>
    <cellStyle name="Percent 3 37 4" xfId="14464"/>
    <cellStyle name="Percent 3 37 5" xfId="14465"/>
    <cellStyle name="Percent 3 37 6" xfId="14466"/>
    <cellStyle name="Percent 3 37 7" xfId="14467"/>
    <cellStyle name="Percent 3 37 8" xfId="14468"/>
    <cellStyle name="Percent 3 37 9" xfId="14469"/>
    <cellStyle name="Percent 3 38" xfId="3312"/>
    <cellStyle name="Percent 3 38 10" xfId="14470"/>
    <cellStyle name="Percent 3 38 11" xfId="14471"/>
    <cellStyle name="Percent 3 38 12" xfId="14472"/>
    <cellStyle name="Percent 3 38 13" xfId="14473"/>
    <cellStyle name="Percent 3 38 14" xfId="14474"/>
    <cellStyle name="Percent 3 38 15" xfId="14475"/>
    <cellStyle name="Percent 3 38 16" xfId="14476"/>
    <cellStyle name="Percent 3 38 17" xfId="14477"/>
    <cellStyle name="Percent 3 38 18" xfId="14478"/>
    <cellStyle name="Percent 3 38 19" xfId="14479"/>
    <cellStyle name="Percent 3 38 2" xfId="14480"/>
    <cellStyle name="Percent 3 38 2 10" xfId="14481"/>
    <cellStyle name="Percent 3 38 2 11" xfId="14482"/>
    <cellStyle name="Percent 3 38 2 12" xfId="14483"/>
    <cellStyle name="Percent 3 38 2 13" xfId="14484"/>
    <cellStyle name="Percent 3 38 2 14" xfId="14485"/>
    <cellStyle name="Percent 3 38 2 15" xfId="14486"/>
    <cellStyle name="Percent 3 38 2 16" xfId="14487"/>
    <cellStyle name="Percent 3 38 2 17" xfId="14488"/>
    <cellStyle name="Percent 3 38 2 18" xfId="14489"/>
    <cellStyle name="Percent 3 38 2 19" xfId="14490"/>
    <cellStyle name="Percent 3 38 2 2" xfId="14491"/>
    <cellStyle name="Percent 3 38 2 2 10" xfId="14492"/>
    <cellStyle name="Percent 3 38 2 2 11" xfId="14493"/>
    <cellStyle name="Percent 3 38 2 2 12" xfId="14494"/>
    <cellStyle name="Percent 3 38 2 2 13" xfId="14495"/>
    <cellStyle name="Percent 3 38 2 2 14" xfId="14496"/>
    <cellStyle name="Percent 3 38 2 2 15" xfId="14497"/>
    <cellStyle name="Percent 3 38 2 2 16" xfId="14498"/>
    <cellStyle name="Percent 3 38 2 2 17" xfId="14499"/>
    <cellStyle name="Percent 3 38 2 2 18" xfId="14500"/>
    <cellStyle name="Percent 3 38 2 2 19" xfId="14501"/>
    <cellStyle name="Percent 3 38 2 2 2" xfId="14502"/>
    <cellStyle name="Percent 3 38 2 2 3" xfId="14503"/>
    <cellStyle name="Percent 3 38 2 2 4" xfId="14504"/>
    <cellStyle name="Percent 3 38 2 2 5" xfId="14505"/>
    <cellStyle name="Percent 3 38 2 2 6" xfId="14506"/>
    <cellStyle name="Percent 3 38 2 2 7" xfId="14507"/>
    <cellStyle name="Percent 3 38 2 2 8" xfId="14508"/>
    <cellStyle name="Percent 3 38 2 2 9" xfId="14509"/>
    <cellStyle name="Percent 3 38 2 20" xfId="14510"/>
    <cellStyle name="Percent 3 38 2 3" xfId="14511"/>
    <cellStyle name="Percent 3 38 2 4" xfId="14512"/>
    <cellStyle name="Percent 3 38 2 5" xfId="14513"/>
    <cellStyle name="Percent 3 38 2 6" xfId="14514"/>
    <cellStyle name="Percent 3 38 2 7" xfId="14515"/>
    <cellStyle name="Percent 3 38 2 8" xfId="14516"/>
    <cellStyle name="Percent 3 38 2 9" xfId="14517"/>
    <cellStyle name="Percent 3 38 20" xfId="14518"/>
    <cellStyle name="Percent 3 38 21" xfId="14519"/>
    <cellStyle name="Percent 3 38 3" xfId="14520"/>
    <cellStyle name="Percent 3 38 3 10" xfId="14521"/>
    <cellStyle name="Percent 3 38 3 11" xfId="14522"/>
    <cellStyle name="Percent 3 38 3 12" xfId="14523"/>
    <cellStyle name="Percent 3 38 3 13" xfId="14524"/>
    <cellStyle name="Percent 3 38 3 14" xfId="14525"/>
    <cellStyle name="Percent 3 38 3 15" xfId="14526"/>
    <cellStyle name="Percent 3 38 3 16" xfId="14527"/>
    <cellStyle name="Percent 3 38 3 17" xfId="14528"/>
    <cellStyle name="Percent 3 38 3 18" xfId="14529"/>
    <cellStyle name="Percent 3 38 3 19" xfId="14530"/>
    <cellStyle name="Percent 3 38 3 2" xfId="14531"/>
    <cellStyle name="Percent 3 38 3 3" xfId="14532"/>
    <cellStyle name="Percent 3 38 3 4" xfId="14533"/>
    <cellStyle name="Percent 3 38 3 5" xfId="14534"/>
    <cellStyle name="Percent 3 38 3 6" xfId="14535"/>
    <cellStyle name="Percent 3 38 3 7" xfId="14536"/>
    <cellStyle name="Percent 3 38 3 8" xfId="14537"/>
    <cellStyle name="Percent 3 38 3 9" xfId="14538"/>
    <cellStyle name="Percent 3 38 4" xfId="14539"/>
    <cellStyle name="Percent 3 38 5" xfId="14540"/>
    <cellStyle name="Percent 3 38 6" xfId="14541"/>
    <cellStyle name="Percent 3 38 7" xfId="14542"/>
    <cellStyle name="Percent 3 38 8" xfId="14543"/>
    <cellStyle name="Percent 3 38 9" xfId="14544"/>
    <cellStyle name="Percent 3 39" xfId="3313"/>
    <cellStyle name="Percent 3 39 10" xfId="14545"/>
    <cellStyle name="Percent 3 39 11" xfId="14546"/>
    <cellStyle name="Percent 3 39 12" xfId="14547"/>
    <cellStyle name="Percent 3 39 13" xfId="14548"/>
    <cellStyle name="Percent 3 39 14" xfId="14549"/>
    <cellStyle name="Percent 3 39 15" xfId="14550"/>
    <cellStyle name="Percent 3 39 16" xfId="14551"/>
    <cellStyle name="Percent 3 39 17" xfId="14552"/>
    <cellStyle name="Percent 3 39 18" xfId="14553"/>
    <cellStyle name="Percent 3 39 19" xfId="14554"/>
    <cellStyle name="Percent 3 39 2" xfId="14555"/>
    <cellStyle name="Percent 3 39 2 10" xfId="14556"/>
    <cellStyle name="Percent 3 39 2 11" xfId="14557"/>
    <cellStyle name="Percent 3 39 2 12" xfId="14558"/>
    <cellStyle name="Percent 3 39 2 13" xfId="14559"/>
    <cellStyle name="Percent 3 39 2 14" xfId="14560"/>
    <cellStyle name="Percent 3 39 2 15" xfId="14561"/>
    <cellStyle name="Percent 3 39 2 16" xfId="14562"/>
    <cellStyle name="Percent 3 39 2 17" xfId="14563"/>
    <cellStyle name="Percent 3 39 2 18" xfId="14564"/>
    <cellStyle name="Percent 3 39 2 19" xfId="14565"/>
    <cellStyle name="Percent 3 39 2 2" xfId="14566"/>
    <cellStyle name="Percent 3 39 2 2 10" xfId="14567"/>
    <cellStyle name="Percent 3 39 2 2 11" xfId="14568"/>
    <cellStyle name="Percent 3 39 2 2 12" xfId="14569"/>
    <cellStyle name="Percent 3 39 2 2 13" xfId="14570"/>
    <cellStyle name="Percent 3 39 2 2 14" xfId="14571"/>
    <cellStyle name="Percent 3 39 2 2 15" xfId="14572"/>
    <cellStyle name="Percent 3 39 2 2 16" xfId="14573"/>
    <cellStyle name="Percent 3 39 2 2 17" xfId="14574"/>
    <cellStyle name="Percent 3 39 2 2 18" xfId="14575"/>
    <cellStyle name="Percent 3 39 2 2 19" xfId="14576"/>
    <cellStyle name="Percent 3 39 2 2 2" xfId="14577"/>
    <cellStyle name="Percent 3 39 2 2 3" xfId="14578"/>
    <cellStyle name="Percent 3 39 2 2 4" xfId="14579"/>
    <cellStyle name="Percent 3 39 2 2 5" xfId="14580"/>
    <cellStyle name="Percent 3 39 2 2 6" xfId="14581"/>
    <cellStyle name="Percent 3 39 2 2 7" xfId="14582"/>
    <cellStyle name="Percent 3 39 2 2 8" xfId="14583"/>
    <cellStyle name="Percent 3 39 2 2 9" xfId="14584"/>
    <cellStyle name="Percent 3 39 2 20" xfId="14585"/>
    <cellStyle name="Percent 3 39 2 3" xfId="14586"/>
    <cellStyle name="Percent 3 39 2 4" xfId="14587"/>
    <cellStyle name="Percent 3 39 2 5" xfId="14588"/>
    <cellStyle name="Percent 3 39 2 6" xfId="14589"/>
    <cellStyle name="Percent 3 39 2 7" xfId="14590"/>
    <cellStyle name="Percent 3 39 2 8" xfId="14591"/>
    <cellStyle name="Percent 3 39 2 9" xfId="14592"/>
    <cellStyle name="Percent 3 39 20" xfId="14593"/>
    <cellStyle name="Percent 3 39 21" xfId="14594"/>
    <cellStyle name="Percent 3 39 3" xfId="14595"/>
    <cellStyle name="Percent 3 39 3 10" xfId="14596"/>
    <cellStyle name="Percent 3 39 3 11" xfId="14597"/>
    <cellStyle name="Percent 3 39 3 12" xfId="14598"/>
    <cellStyle name="Percent 3 39 3 13" xfId="14599"/>
    <cellStyle name="Percent 3 39 3 14" xfId="14600"/>
    <cellStyle name="Percent 3 39 3 15" xfId="14601"/>
    <cellStyle name="Percent 3 39 3 16" xfId="14602"/>
    <cellStyle name="Percent 3 39 3 17" xfId="14603"/>
    <cellStyle name="Percent 3 39 3 18" xfId="14604"/>
    <cellStyle name="Percent 3 39 3 19" xfId="14605"/>
    <cellStyle name="Percent 3 39 3 2" xfId="14606"/>
    <cellStyle name="Percent 3 39 3 3" xfId="14607"/>
    <cellStyle name="Percent 3 39 3 4" xfId="14608"/>
    <cellStyle name="Percent 3 39 3 5" xfId="14609"/>
    <cellStyle name="Percent 3 39 3 6" xfId="14610"/>
    <cellStyle name="Percent 3 39 3 7" xfId="14611"/>
    <cellStyle name="Percent 3 39 3 8" xfId="14612"/>
    <cellStyle name="Percent 3 39 3 9" xfId="14613"/>
    <cellStyle name="Percent 3 39 4" xfId="14614"/>
    <cellStyle name="Percent 3 39 5" xfId="14615"/>
    <cellStyle name="Percent 3 39 6" xfId="14616"/>
    <cellStyle name="Percent 3 39 7" xfId="14617"/>
    <cellStyle name="Percent 3 39 8" xfId="14618"/>
    <cellStyle name="Percent 3 39 9" xfId="14619"/>
    <cellStyle name="Percent 3 4" xfId="3314"/>
    <cellStyle name="Percent 3 4 10" xfId="14620"/>
    <cellStyle name="Percent 3 4 11" xfId="14621"/>
    <cellStyle name="Percent 3 4 12" xfId="14622"/>
    <cellStyle name="Percent 3 4 13" xfId="14623"/>
    <cellStyle name="Percent 3 4 14" xfId="14624"/>
    <cellStyle name="Percent 3 4 15" xfId="14625"/>
    <cellStyle name="Percent 3 4 16" xfId="14626"/>
    <cellStyle name="Percent 3 4 17" xfId="14627"/>
    <cellStyle name="Percent 3 4 18" xfId="14628"/>
    <cellStyle name="Percent 3 4 19" xfId="14629"/>
    <cellStyle name="Percent 3 4 2" xfId="14630"/>
    <cellStyle name="Percent 3 4 2 10" xfId="14631"/>
    <cellStyle name="Percent 3 4 2 11" xfId="14632"/>
    <cellStyle name="Percent 3 4 2 12" xfId="14633"/>
    <cellStyle name="Percent 3 4 2 13" xfId="14634"/>
    <cellStyle name="Percent 3 4 2 14" xfId="14635"/>
    <cellStyle name="Percent 3 4 2 15" xfId="14636"/>
    <cellStyle name="Percent 3 4 2 16" xfId="14637"/>
    <cellStyle name="Percent 3 4 2 17" xfId="14638"/>
    <cellStyle name="Percent 3 4 2 18" xfId="14639"/>
    <cellStyle name="Percent 3 4 2 19" xfId="14640"/>
    <cellStyle name="Percent 3 4 2 2" xfId="14641"/>
    <cellStyle name="Percent 3 4 2 2 10" xfId="14642"/>
    <cellStyle name="Percent 3 4 2 2 11" xfId="14643"/>
    <cellStyle name="Percent 3 4 2 2 12" xfId="14644"/>
    <cellStyle name="Percent 3 4 2 2 13" xfId="14645"/>
    <cellStyle name="Percent 3 4 2 2 14" xfId="14646"/>
    <cellStyle name="Percent 3 4 2 2 15" xfId="14647"/>
    <cellStyle name="Percent 3 4 2 2 16" xfId="14648"/>
    <cellStyle name="Percent 3 4 2 2 17" xfId="14649"/>
    <cellStyle name="Percent 3 4 2 2 18" xfId="14650"/>
    <cellStyle name="Percent 3 4 2 2 19" xfId="14651"/>
    <cellStyle name="Percent 3 4 2 2 2" xfId="14652"/>
    <cellStyle name="Percent 3 4 2 2 3" xfId="14653"/>
    <cellStyle name="Percent 3 4 2 2 4" xfId="14654"/>
    <cellStyle name="Percent 3 4 2 2 5" xfId="14655"/>
    <cellStyle name="Percent 3 4 2 2 6" xfId="14656"/>
    <cellStyle name="Percent 3 4 2 2 7" xfId="14657"/>
    <cellStyle name="Percent 3 4 2 2 8" xfId="14658"/>
    <cellStyle name="Percent 3 4 2 2 9" xfId="14659"/>
    <cellStyle name="Percent 3 4 2 20" xfId="14660"/>
    <cellStyle name="Percent 3 4 2 3" xfId="14661"/>
    <cellStyle name="Percent 3 4 2 4" xfId="14662"/>
    <cellStyle name="Percent 3 4 2 5" xfId="14663"/>
    <cellStyle name="Percent 3 4 2 6" xfId="14664"/>
    <cellStyle name="Percent 3 4 2 7" xfId="14665"/>
    <cellStyle name="Percent 3 4 2 8" xfId="14666"/>
    <cellStyle name="Percent 3 4 2 9" xfId="14667"/>
    <cellStyle name="Percent 3 4 20" xfId="14668"/>
    <cellStyle name="Percent 3 4 21" xfId="14669"/>
    <cellStyle name="Percent 3 4 3" xfId="14670"/>
    <cellStyle name="Percent 3 4 3 10" xfId="14671"/>
    <cellStyle name="Percent 3 4 3 11" xfId="14672"/>
    <cellStyle name="Percent 3 4 3 12" xfId="14673"/>
    <cellStyle name="Percent 3 4 3 13" xfId="14674"/>
    <cellStyle name="Percent 3 4 3 14" xfId="14675"/>
    <cellStyle name="Percent 3 4 3 15" xfId="14676"/>
    <cellStyle name="Percent 3 4 3 16" xfId="14677"/>
    <cellStyle name="Percent 3 4 3 17" xfId="14678"/>
    <cellStyle name="Percent 3 4 3 18" xfId="14679"/>
    <cellStyle name="Percent 3 4 3 19" xfId="14680"/>
    <cellStyle name="Percent 3 4 3 2" xfId="14681"/>
    <cellStyle name="Percent 3 4 3 3" xfId="14682"/>
    <cellStyle name="Percent 3 4 3 4" xfId="14683"/>
    <cellStyle name="Percent 3 4 3 5" xfId="14684"/>
    <cellStyle name="Percent 3 4 3 6" xfId="14685"/>
    <cellStyle name="Percent 3 4 3 7" xfId="14686"/>
    <cellStyle name="Percent 3 4 3 8" xfId="14687"/>
    <cellStyle name="Percent 3 4 3 9" xfId="14688"/>
    <cellStyle name="Percent 3 4 4" xfId="14689"/>
    <cellStyle name="Percent 3 4 5" xfId="14690"/>
    <cellStyle name="Percent 3 4 6" xfId="14691"/>
    <cellStyle name="Percent 3 4 7" xfId="14692"/>
    <cellStyle name="Percent 3 4 8" xfId="14693"/>
    <cellStyle name="Percent 3 4 9" xfId="14694"/>
    <cellStyle name="Percent 3 40" xfId="3315"/>
    <cellStyle name="Percent 3 41" xfId="3316"/>
    <cellStyle name="Percent 3 42" xfId="3317"/>
    <cellStyle name="Percent 3 42 10" xfId="14695"/>
    <cellStyle name="Percent 3 42 11" xfId="14696"/>
    <cellStyle name="Percent 3 42 12" xfId="14697"/>
    <cellStyle name="Percent 3 42 13" xfId="14698"/>
    <cellStyle name="Percent 3 42 14" xfId="14699"/>
    <cellStyle name="Percent 3 42 15" xfId="14700"/>
    <cellStyle name="Percent 3 42 16" xfId="14701"/>
    <cellStyle name="Percent 3 42 17" xfId="14702"/>
    <cellStyle name="Percent 3 42 18" xfId="14703"/>
    <cellStyle name="Percent 3 42 19" xfId="14704"/>
    <cellStyle name="Percent 3 42 2" xfId="14705"/>
    <cellStyle name="Percent 3 42 2 10" xfId="14706"/>
    <cellStyle name="Percent 3 42 2 11" xfId="14707"/>
    <cellStyle name="Percent 3 42 2 12" xfId="14708"/>
    <cellStyle name="Percent 3 42 2 13" xfId="14709"/>
    <cellStyle name="Percent 3 42 2 14" xfId="14710"/>
    <cellStyle name="Percent 3 42 2 15" xfId="14711"/>
    <cellStyle name="Percent 3 42 2 16" xfId="14712"/>
    <cellStyle name="Percent 3 42 2 17" xfId="14713"/>
    <cellStyle name="Percent 3 42 2 18" xfId="14714"/>
    <cellStyle name="Percent 3 42 2 19" xfId="14715"/>
    <cellStyle name="Percent 3 42 2 2" xfId="14716"/>
    <cellStyle name="Percent 3 42 2 2 10" xfId="14717"/>
    <cellStyle name="Percent 3 42 2 2 11" xfId="14718"/>
    <cellStyle name="Percent 3 42 2 2 12" xfId="14719"/>
    <cellStyle name="Percent 3 42 2 2 13" xfId="14720"/>
    <cellStyle name="Percent 3 42 2 2 14" xfId="14721"/>
    <cellStyle name="Percent 3 42 2 2 15" xfId="14722"/>
    <cellStyle name="Percent 3 42 2 2 16" xfId="14723"/>
    <cellStyle name="Percent 3 42 2 2 17" xfId="14724"/>
    <cellStyle name="Percent 3 42 2 2 18" xfId="14725"/>
    <cellStyle name="Percent 3 42 2 2 19" xfId="14726"/>
    <cellStyle name="Percent 3 42 2 2 2" xfId="14727"/>
    <cellStyle name="Percent 3 42 2 2 3" xfId="14728"/>
    <cellStyle name="Percent 3 42 2 2 4" xfId="14729"/>
    <cellStyle name="Percent 3 42 2 2 5" xfId="14730"/>
    <cellStyle name="Percent 3 42 2 2 6" xfId="14731"/>
    <cellStyle name="Percent 3 42 2 2 7" xfId="14732"/>
    <cellStyle name="Percent 3 42 2 2 8" xfId="14733"/>
    <cellStyle name="Percent 3 42 2 2 9" xfId="14734"/>
    <cellStyle name="Percent 3 42 2 20" xfId="14735"/>
    <cellStyle name="Percent 3 42 2 3" xfId="14736"/>
    <cellStyle name="Percent 3 42 2 4" xfId="14737"/>
    <cellStyle name="Percent 3 42 2 5" xfId="14738"/>
    <cellStyle name="Percent 3 42 2 6" xfId="14739"/>
    <cellStyle name="Percent 3 42 2 7" xfId="14740"/>
    <cellStyle name="Percent 3 42 2 8" xfId="14741"/>
    <cellStyle name="Percent 3 42 2 9" xfId="14742"/>
    <cellStyle name="Percent 3 42 20" xfId="14743"/>
    <cellStyle name="Percent 3 42 21" xfId="14744"/>
    <cellStyle name="Percent 3 42 3" xfId="14745"/>
    <cellStyle name="Percent 3 42 3 10" xfId="14746"/>
    <cellStyle name="Percent 3 42 3 11" xfId="14747"/>
    <cellStyle name="Percent 3 42 3 12" xfId="14748"/>
    <cellStyle name="Percent 3 42 3 13" xfId="14749"/>
    <cellStyle name="Percent 3 42 3 14" xfId="14750"/>
    <cellStyle name="Percent 3 42 3 15" xfId="14751"/>
    <cellStyle name="Percent 3 42 3 16" xfId="14752"/>
    <cellStyle name="Percent 3 42 3 17" xfId="14753"/>
    <cellStyle name="Percent 3 42 3 18" xfId="14754"/>
    <cellStyle name="Percent 3 42 3 19" xfId="14755"/>
    <cellStyle name="Percent 3 42 3 2" xfId="14756"/>
    <cellStyle name="Percent 3 42 3 3" xfId="14757"/>
    <cellStyle name="Percent 3 42 3 4" xfId="14758"/>
    <cellStyle name="Percent 3 42 3 5" xfId="14759"/>
    <cellStyle name="Percent 3 42 3 6" xfId="14760"/>
    <cellStyle name="Percent 3 42 3 7" xfId="14761"/>
    <cellStyle name="Percent 3 42 3 8" xfId="14762"/>
    <cellStyle name="Percent 3 42 3 9" xfId="14763"/>
    <cellStyle name="Percent 3 42 4" xfId="14764"/>
    <cellStyle name="Percent 3 42 5" xfId="14765"/>
    <cellStyle name="Percent 3 42 6" xfId="14766"/>
    <cellStyle name="Percent 3 42 7" xfId="14767"/>
    <cellStyle name="Percent 3 42 8" xfId="14768"/>
    <cellStyle name="Percent 3 42 9" xfId="14769"/>
    <cellStyle name="Percent 3 43" xfId="3318"/>
    <cellStyle name="Percent 3 43 10" xfId="14770"/>
    <cellStyle name="Percent 3 43 11" xfId="14771"/>
    <cellStyle name="Percent 3 43 12" xfId="14772"/>
    <cellStyle name="Percent 3 43 13" xfId="14773"/>
    <cellStyle name="Percent 3 43 14" xfId="14774"/>
    <cellStyle name="Percent 3 43 15" xfId="14775"/>
    <cellStyle name="Percent 3 43 16" xfId="14776"/>
    <cellStyle name="Percent 3 43 17" xfId="14777"/>
    <cellStyle name="Percent 3 43 18" xfId="14778"/>
    <cellStyle name="Percent 3 43 19" xfId="14779"/>
    <cellStyle name="Percent 3 43 2" xfId="14780"/>
    <cellStyle name="Percent 3 43 2 10" xfId="14781"/>
    <cellStyle name="Percent 3 43 2 11" xfId="14782"/>
    <cellStyle name="Percent 3 43 2 12" xfId="14783"/>
    <cellStyle name="Percent 3 43 2 13" xfId="14784"/>
    <cellStyle name="Percent 3 43 2 14" xfId="14785"/>
    <cellStyle name="Percent 3 43 2 15" xfId="14786"/>
    <cellStyle name="Percent 3 43 2 16" xfId="14787"/>
    <cellStyle name="Percent 3 43 2 17" xfId="14788"/>
    <cellStyle name="Percent 3 43 2 18" xfId="14789"/>
    <cellStyle name="Percent 3 43 2 19" xfId="14790"/>
    <cellStyle name="Percent 3 43 2 2" xfId="14791"/>
    <cellStyle name="Percent 3 43 2 2 10" xfId="14792"/>
    <cellStyle name="Percent 3 43 2 2 11" xfId="14793"/>
    <cellStyle name="Percent 3 43 2 2 12" xfId="14794"/>
    <cellStyle name="Percent 3 43 2 2 13" xfId="14795"/>
    <cellStyle name="Percent 3 43 2 2 14" xfId="14796"/>
    <cellStyle name="Percent 3 43 2 2 15" xfId="14797"/>
    <cellStyle name="Percent 3 43 2 2 16" xfId="14798"/>
    <cellStyle name="Percent 3 43 2 2 17" xfId="14799"/>
    <cellStyle name="Percent 3 43 2 2 18" xfId="14800"/>
    <cellStyle name="Percent 3 43 2 2 19" xfId="14801"/>
    <cellStyle name="Percent 3 43 2 2 2" xfId="14802"/>
    <cellStyle name="Percent 3 43 2 2 3" xfId="14803"/>
    <cellStyle name="Percent 3 43 2 2 4" xfId="14804"/>
    <cellStyle name="Percent 3 43 2 2 5" xfId="14805"/>
    <cellStyle name="Percent 3 43 2 2 6" xfId="14806"/>
    <cellStyle name="Percent 3 43 2 2 7" xfId="14807"/>
    <cellStyle name="Percent 3 43 2 2 8" xfId="14808"/>
    <cellStyle name="Percent 3 43 2 2 9" xfId="14809"/>
    <cellStyle name="Percent 3 43 2 20" xfId="14810"/>
    <cellStyle name="Percent 3 43 2 3" xfId="14811"/>
    <cellStyle name="Percent 3 43 2 4" xfId="14812"/>
    <cellStyle name="Percent 3 43 2 5" xfId="14813"/>
    <cellStyle name="Percent 3 43 2 6" xfId="14814"/>
    <cellStyle name="Percent 3 43 2 7" xfId="14815"/>
    <cellStyle name="Percent 3 43 2 8" xfId="14816"/>
    <cellStyle name="Percent 3 43 2 9" xfId="14817"/>
    <cellStyle name="Percent 3 43 20" xfId="14818"/>
    <cellStyle name="Percent 3 43 21" xfId="14819"/>
    <cellStyle name="Percent 3 43 3" xfId="14820"/>
    <cellStyle name="Percent 3 43 3 10" xfId="14821"/>
    <cellStyle name="Percent 3 43 3 11" xfId="14822"/>
    <cellStyle name="Percent 3 43 3 12" xfId="14823"/>
    <cellStyle name="Percent 3 43 3 13" xfId="14824"/>
    <cellStyle name="Percent 3 43 3 14" xfId="14825"/>
    <cellStyle name="Percent 3 43 3 15" xfId="14826"/>
    <cellStyle name="Percent 3 43 3 16" xfId="14827"/>
    <cellStyle name="Percent 3 43 3 17" xfId="14828"/>
    <cellStyle name="Percent 3 43 3 18" xfId="14829"/>
    <cellStyle name="Percent 3 43 3 19" xfId="14830"/>
    <cellStyle name="Percent 3 43 3 2" xfId="14831"/>
    <cellStyle name="Percent 3 43 3 3" xfId="14832"/>
    <cellStyle name="Percent 3 43 3 4" xfId="14833"/>
    <cellStyle name="Percent 3 43 3 5" xfId="14834"/>
    <cellStyle name="Percent 3 43 3 6" xfId="14835"/>
    <cellStyle name="Percent 3 43 3 7" xfId="14836"/>
    <cellStyle name="Percent 3 43 3 8" xfId="14837"/>
    <cellStyle name="Percent 3 43 3 9" xfId="14838"/>
    <cellStyle name="Percent 3 43 4" xfId="14839"/>
    <cellStyle name="Percent 3 43 5" xfId="14840"/>
    <cellStyle name="Percent 3 43 6" xfId="14841"/>
    <cellStyle name="Percent 3 43 7" xfId="14842"/>
    <cellStyle name="Percent 3 43 8" xfId="14843"/>
    <cellStyle name="Percent 3 43 9" xfId="14844"/>
    <cellStyle name="Percent 3 44" xfId="3319"/>
    <cellStyle name="Percent 3 44 10" xfId="14845"/>
    <cellStyle name="Percent 3 44 11" xfId="14846"/>
    <cellStyle name="Percent 3 44 12" xfId="14847"/>
    <cellStyle name="Percent 3 44 13" xfId="14848"/>
    <cellStyle name="Percent 3 44 14" xfId="14849"/>
    <cellStyle name="Percent 3 44 15" xfId="14850"/>
    <cellStyle name="Percent 3 44 16" xfId="14851"/>
    <cellStyle name="Percent 3 44 17" xfId="14852"/>
    <cellStyle name="Percent 3 44 18" xfId="14853"/>
    <cellStyle name="Percent 3 44 19" xfId="14854"/>
    <cellStyle name="Percent 3 44 2" xfId="14855"/>
    <cellStyle name="Percent 3 44 2 10" xfId="14856"/>
    <cellStyle name="Percent 3 44 2 11" xfId="14857"/>
    <cellStyle name="Percent 3 44 2 12" xfId="14858"/>
    <cellStyle name="Percent 3 44 2 13" xfId="14859"/>
    <cellStyle name="Percent 3 44 2 14" xfId="14860"/>
    <cellStyle name="Percent 3 44 2 15" xfId="14861"/>
    <cellStyle name="Percent 3 44 2 16" xfId="14862"/>
    <cellStyle name="Percent 3 44 2 17" xfId="14863"/>
    <cellStyle name="Percent 3 44 2 18" xfId="14864"/>
    <cellStyle name="Percent 3 44 2 19" xfId="14865"/>
    <cellStyle name="Percent 3 44 2 2" xfId="14866"/>
    <cellStyle name="Percent 3 44 2 2 10" xfId="14867"/>
    <cellStyle name="Percent 3 44 2 2 11" xfId="14868"/>
    <cellStyle name="Percent 3 44 2 2 12" xfId="14869"/>
    <cellStyle name="Percent 3 44 2 2 13" xfId="14870"/>
    <cellStyle name="Percent 3 44 2 2 14" xfId="14871"/>
    <cellStyle name="Percent 3 44 2 2 15" xfId="14872"/>
    <cellStyle name="Percent 3 44 2 2 16" xfId="14873"/>
    <cellStyle name="Percent 3 44 2 2 17" xfId="14874"/>
    <cellStyle name="Percent 3 44 2 2 18" xfId="14875"/>
    <cellStyle name="Percent 3 44 2 2 19" xfId="14876"/>
    <cellStyle name="Percent 3 44 2 2 2" xfId="14877"/>
    <cellStyle name="Percent 3 44 2 2 3" xfId="14878"/>
    <cellStyle name="Percent 3 44 2 2 4" xfId="14879"/>
    <cellStyle name="Percent 3 44 2 2 5" xfId="14880"/>
    <cellStyle name="Percent 3 44 2 2 6" xfId="14881"/>
    <cellStyle name="Percent 3 44 2 2 7" xfId="14882"/>
    <cellStyle name="Percent 3 44 2 2 8" xfId="14883"/>
    <cellStyle name="Percent 3 44 2 2 9" xfId="14884"/>
    <cellStyle name="Percent 3 44 2 20" xfId="14885"/>
    <cellStyle name="Percent 3 44 2 3" xfId="14886"/>
    <cellStyle name="Percent 3 44 2 4" xfId="14887"/>
    <cellStyle name="Percent 3 44 2 5" xfId="14888"/>
    <cellStyle name="Percent 3 44 2 6" xfId="14889"/>
    <cellStyle name="Percent 3 44 2 7" xfId="14890"/>
    <cellStyle name="Percent 3 44 2 8" xfId="14891"/>
    <cellStyle name="Percent 3 44 2 9" xfId="14892"/>
    <cellStyle name="Percent 3 44 20" xfId="14893"/>
    <cellStyle name="Percent 3 44 21" xfId="14894"/>
    <cellStyle name="Percent 3 44 3" xfId="14895"/>
    <cellStyle name="Percent 3 44 3 10" xfId="14896"/>
    <cellStyle name="Percent 3 44 3 11" xfId="14897"/>
    <cellStyle name="Percent 3 44 3 12" xfId="14898"/>
    <cellStyle name="Percent 3 44 3 13" xfId="14899"/>
    <cellStyle name="Percent 3 44 3 14" xfId="14900"/>
    <cellStyle name="Percent 3 44 3 15" xfId="14901"/>
    <cellStyle name="Percent 3 44 3 16" xfId="14902"/>
    <cellStyle name="Percent 3 44 3 17" xfId="14903"/>
    <cellStyle name="Percent 3 44 3 18" xfId="14904"/>
    <cellStyle name="Percent 3 44 3 19" xfId="14905"/>
    <cellStyle name="Percent 3 44 3 2" xfId="14906"/>
    <cellStyle name="Percent 3 44 3 3" xfId="14907"/>
    <cellStyle name="Percent 3 44 3 4" xfId="14908"/>
    <cellStyle name="Percent 3 44 3 5" xfId="14909"/>
    <cellStyle name="Percent 3 44 3 6" xfId="14910"/>
    <cellStyle name="Percent 3 44 3 7" xfId="14911"/>
    <cellStyle name="Percent 3 44 3 8" xfId="14912"/>
    <cellStyle name="Percent 3 44 3 9" xfId="14913"/>
    <cellStyle name="Percent 3 44 4" xfId="14914"/>
    <cellStyle name="Percent 3 44 5" xfId="14915"/>
    <cellStyle name="Percent 3 44 6" xfId="14916"/>
    <cellStyle name="Percent 3 44 7" xfId="14917"/>
    <cellStyle name="Percent 3 44 8" xfId="14918"/>
    <cellStyle name="Percent 3 44 9" xfId="14919"/>
    <cellStyle name="Percent 3 45" xfId="3320"/>
    <cellStyle name="Percent 3 45 10" xfId="14920"/>
    <cellStyle name="Percent 3 45 11" xfId="14921"/>
    <cellStyle name="Percent 3 45 12" xfId="14922"/>
    <cellStyle name="Percent 3 45 13" xfId="14923"/>
    <cellStyle name="Percent 3 45 14" xfId="14924"/>
    <cellStyle name="Percent 3 45 15" xfId="14925"/>
    <cellStyle name="Percent 3 45 16" xfId="14926"/>
    <cellStyle name="Percent 3 45 17" xfId="14927"/>
    <cellStyle name="Percent 3 45 18" xfId="14928"/>
    <cellStyle name="Percent 3 45 19" xfId="14929"/>
    <cellStyle name="Percent 3 45 2" xfId="14930"/>
    <cellStyle name="Percent 3 45 2 10" xfId="14931"/>
    <cellStyle name="Percent 3 45 2 11" xfId="14932"/>
    <cellStyle name="Percent 3 45 2 12" xfId="14933"/>
    <cellStyle name="Percent 3 45 2 13" xfId="14934"/>
    <cellStyle name="Percent 3 45 2 14" xfId="14935"/>
    <cellStyle name="Percent 3 45 2 15" xfId="14936"/>
    <cellStyle name="Percent 3 45 2 16" xfId="14937"/>
    <cellStyle name="Percent 3 45 2 17" xfId="14938"/>
    <cellStyle name="Percent 3 45 2 18" xfId="14939"/>
    <cellStyle name="Percent 3 45 2 19" xfId="14940"/>
    <cellStyle name="Percent 3 45 2 2" xfId="14941"/>
    <cellStyle name="Percent 3 45 2 2 10" xfId="14942"/>
    <cellStyle name="Percent 3 45 2 2 11" xfId="14943"/>
    <cellStyle name="Percent 3 45 2 2 12" xfId="14944"/>
    <cellStyle name="Percent 3 45 2 2 13" xfId="14945"/>
    <cellStyle name="Percent 3 45 2 2 14" xfId="14946"/>
    <cellStyle name="Percent 3 45 2 2 15" xfId="14947"/>
    <cellStyle name="Percent 3 45 2 2 16" xfId="14948"/>
    <cellStyle name="Percent 3 45 2 2 17" xfId="14949"/>
    <cellStyle name="Percent 3 45 2 2 18" xfId="14950"/>
    <cellStyle name="Percent 3 45 2 2 19" xfId="14951"/>
    <cellStyle name="Percent 3 45 2 2 2" xfId="14952"/>
    <cellStyle name="Percent 3 45 2 2 3" xfId="14953"/>
    <cellStyle name="Percent 3 45 2 2 4" xfId="14954"/>
    <cellStyle name="Percent 3 45 2 2 5" xfId="14955"/>
    <cellStyle name="Percent 3 45 2 2 6" xfId="14956"/>
    <cellStyle name="Percent 3 45 2 2 7" xfId="14957"/>
    <cellStyle name="Percent 3 45 2 2 8" xfId="14958"/>
    <cellStyle name="Percent 3 45 2 2 9" xfId="14959"/>
    <cellStyle name="Percent 3 45 2 20" xfId="14960"/>
    <cellStyle name="Percent 3 45 2 3" xfId="14961"/>
    <cellStyle name="Percent 3 45 2 4" xfId="14962"/>
    <cellStyle name="Percent 3 45 2 5" xfId="14963"/>
    <cellStyle name="Percent 3 45 2 6" xfId="14964"/>
    <cellStyle name="Percent 3 45 2 7" xfId="14965"/>
    <cellStyle name="Percent 3 45 2 8" xfId="14966"/>
    <cellStyle name="Percent 3 45 2 9" xfId="14967"/>
    <cellStyle name="Percent 3 45 20" xfId="14968"/>
    <cellStyle name="Percent 3 45 21" xfId="14969"/>
    <cellStyle name="Percent 3 45 3" xfId="14970"/>
    <cellStyle name="Percent 3 45 3 10" xfId="14971"/>
    <cellStyle name="Percent 3 45 3 11" xfId="14972"/>
    <cellStyle name="Percent 3 45 3 12" xfId="14973"/>
    <cellStyle name="Percent 3 45 3 13" xfId="14974"/>
    <cellStyle name="Percent 3 45 3 14" xfId="14975"/>
    <cellStyle name="Percent 3 45 3 15" xfId="14976"/>
    <cellStyle name="Percent 3 45 3 16" xfId="14977"/>
    <cellStyle name="Percent 3 45 3 17" xfId="14978"/>
    <cellStyle name="Percent 3 45 3 18" xfId="14979"/>
    <cellStyle name="Percent 3 45 3 19" xfId="14980"/>
    <cellStyle name="Percent 3 45 3 2" xfId="14981"/>
    <cellStyle name="Percent 3 45 3 3" xfId="14982"/>
    <cellStyle name="Percent 3 45 3 4" xfId="14983"/>
    <cellStyle name="Percent 3 45 3 5" xfId="14984"/>
    <cellStyle name="Percent 3 45 3 6" xfId="14985"/>
    <cellStyle name="Percent 3 45 3 7" xfId="14986"/>
    <cellStyle name="Percent 3 45 3 8" xfId="14987"/>
    <cellStyle name="Percent 3 45 3 9" xfId="14988"/>
    <cellStyle name="Percent 3 45 4" xfId="14989"/>
    <cellStyle name="Percent 3 45 5" xfId="14990"/>
    <cellStyle name="Percent 3 45 6" xfId="14991"/>
    <cellStyle name="Percent 3 45 7" xfId="14992"/>
    <cellStyle name="Percent 3 45 8" xfId="14993"/>
    <cellStyle name="Percent 3 45 9" xfId="14994"/>
    <cellStyle name="Percent 3 46" xfId="3321"/>
    <cellStyle name="Percent 3 46 10" xfId="14995"/>
    <cellStyle name="Percent 3 46 11" xfId="14996"/>
    <cellStyle name="Percent 3 46 12" xfId="14997"/>
    <cellStyle name="Percent 3 46 13" xfId="14998"/>
    <cellStyle name="Percent 3 46 14" xfId="14999"/>
    <cellStyle name="Percent 3 46 15" xfId="15000"/>
    <cellStyle name="Percent 3 46 16" xfId="15001"/>
    <cellStyle name="Percent 3 46 17" xfId="15002"/>
    <cellStyle name="Percent 3 46 18" xfId="15003"/>
    <cellStyle name="Percent 3 46 19" xfId="15004"/>
    <cellStyle name="Percent 3 46 2" xfId="15005"/>
    <cellStyle name="Percent 3 46 2 10" xfId="15006"/>
    <cellStyle name="Percent 3 46 2 11" xfId="15007"/>
    <cellStyle name="Percent 3 46 2 12" xfId="15008"/>
    <cellStyle name="Percent 3 46 2 13" xfId="15009"/>
    <cellStyle name="Percent 3 46 2 14" xfId="15010"/>
    <cellStyle name="Percent 3 46 2 15" xfId="15011"/>
    <cellStyle name="Percent 3 46 2 16" xfId="15012"/>
    <cellStyle name="Percent 3 46 2 17" xfId="15013"/>
    <cellStyle name="Percent 3 46 2 18" xfId="15014"/>
    <cellStyle name="Percent 3 46 2 19" xfId="15015"/>
    <cellStyle name="Percent 3 46 2 2" xfId="15016"/>
    <cellStyle name="Percent 3 46 2 2 10" xfId="15017"/>
    <cellStyle name="Percent 3 46 2 2 11" xfId="15018"/>
    <cellStyle name="Percent 3 46 2 2 12" xfId="15019"/>
    <cellStyle name="Percent 3 46 2 2 13" xfId="15020"/>
    <cellStyle name="Percent 3 46 2 2 14" xfId="15021"/>
    <cellStyle name="Percent 3 46 2 2 15" xfId="15022"/>
    <cellStyle name="Percent 3 46 2 2 16" xfId="15023"/>
    <cellStyle name="Percent 3 46 2 2 17" xfId="15024"/>
    <cellStyle name="Percent 3 46 2 2 18" xfId="15025"/>
    <cellStyle name="Percent 3 46 2 2 19" xfId="15026"/>
    <cellStyle name="Percent 3 46 2 2 2" xfId="15027"/>
    <cellStyle name="Percent 3 46 2 2 3" xfId="15028"/>
    <cellStyle name="Percent 3 46 2 2 4" xfId="15029"/>
    <cellStyle name="Percent 3 46 2 2 5" xfId="15030"/>
    <cellStyle name="Percent 3 46 2 2 6" xfId="15031"/>
    <cellStyle name="Percent 3 46 2 2 7" xfId="15032"/>
    <cellStyle name="Percent 3 46 2 2 8" xfId="15033"/>
    <cellStyle name="Percent 3 46 2 2 9" xfId="15034"/>
    <cellStyle name="Percent 3 46 2 20" xfId="15035"/>
    <cellStyle name="Percent 3 46 2 3" xfId="15036"/>
    <cellStyle name="Percent 3 46 2 4" xfId="15037"/>
    <cellStyle name="Percent 3 46 2 5" xfId="15038"/>
    <cellStyle name="Percent 3 46 2 6" xfId="15039"/>
    <cellStyle name="Percent 3 46 2 7" xfId="15040"/>
    <cellStyle name="Percent 3 46 2 8" xfId="15041"/>
    <cellStyle name="Percent 3 46 2 9" xfId="15042"/>
    <cellStyle name="Percent 3 46 20" xfId="15043"/>
    <cellStyle name="Percent 3 46 21" xfId="15044"/>
    <cellStyle name="Percent 3 46 3" xfId="15045"/>
    <cellStyle name="Percent 3 46 3 10" xfId="15046"/>
    <cellStyle name="Percent 3 46 3 11" xfId="15047"/>
    <cellStyle name="Percent 3 46 3 12" xfId="15048"/>
    <cellStyle name="Percent 3 46 3 13" xfId="15049"/>
    <cellStyle name="Percent 3 46 3 14" xfId="15050"/>
    <cellStyle name="Percent 3 46 3 15" xfId="15051"/>
    <cellStyle name="Percent 3 46 3 16" xfId="15052"/>
    <cellStyle name="Percent 3 46 3 17" xfId="15053"/>
    <cellStyle name="Percent 3 46 3 18" xfId="15054"/>
    <cellStyle name="Percent 3 46 3 19" xfId="15055"/>
    <cellStyle name="Percent 3 46 3 2" xfId="15056"/>
    <cellStyle name="Percent 3 46 3 3" xfId="15057"/>
    <cellStyle name="Percent 3 46 3 4" xfId="15058"/>
    <cellStyle name="Percent 3 46 3 5" xfId="15059"/>
    <cellStyle name="Percent 3 46 3 6" xfId="15060"/>
    <cellStyle name="Percent 3 46 3 7" xfId="15061"/>
    <cellStyle name="Percent 3 46 3 8" xfId="15062"/>
    <cellStyle name="Percent 3 46 3 9" xfId="15063"/>
    <cellStyle name="Percent 3 46 4" xfId="15064"/>
    <cellStyle name="Percent 3 46 5" xfId="15065"/>
    <cellStyle name="Percent 3 46 6" xfId="15066"/>
    <cellStyle name="Percent 3 46 7" xfId="15067"/>
    <cellStyle name="Percent 3 46 8" xfId="15068"/>
    <cellStyle name="Percent 3 46 9" xfId="15069"/>
    <cellStyle name="Percent 3 47" xfId="3322"/>
    <cellStyle name="Percent 3 47 10" xfId="15070"/>
    <cellStyle name="Percent 3 47 11" xfId="15071"/>
    <cellStyle name="Percent 3 47 12" xfId="15072"/>
    <cellStyle name="Percent 3 47 13" xfId="15073"/>
    <cellStyle name="Percent 3 47 14" xfId="15074"/>
    <cellStyle name="Percent 3 47 15" xfId="15075"/>
    <cellStyle name="Percent 3 47 16" xfId="15076"/>
    <cellStyle name="Percent 3 47 17" xfId="15077"/>
    <cellStyle name="Percent 3 47 18" xfId="15078"/>
    <cellStyle name="Percent 3 47 19" xfId="15079"/>
    <cellStyle name="Percent 3 47 2" xfId="15080"/>
    <cellStyle name="Percent 3 47 2 10" xfId="15081"/>
    <cellStyle name="Percent 3 47 2 11" xfId="15082"/>
    <cellStyle name="Percent 3 47 2 12" xfId="15083"/>
    <cellStyle name="Percent 3 47 2 13" xfId="15084"/>
    <cellStyle name="Percent 3 47 2 14" xfId="15085"/>
    <cellStyle name="Percent 3 47 2 15" xfId="15086"/>
    <cellStyle name="Percent 3 47 2 16" xfId="15087"/>
    <cellStyle name="Percent 3 47 2 17" xfId="15088"/>
    <cellStyle name="Percent 3 47 2 18" xfId="15089"/>
    <cellStyle name="Percent 3 47 2 19" xfId="15090"/>
    <cellStyle name="Percent 3 47 2 2" xfId="15091"/>
    <cellStyle name="Percent 3 47 2 2 10" xfId="15092"/>
    <cellStyle name="Percent 3 47 2 2 11" xfId="15093"/>
    <cellStyle name="Percent 3 47 2 2 12" xfId="15094"/>
    <cellStyle name="Percent 3 47 2 2 13" xfId="15095"/>
    <cellStyle name="Percent 3 47 2 2 14" xfId="15096"/>
    <cellStyle name="Percent 3 47 2 2 15" xfId="15097"/>
    <cellStyle name="Percent 3 47 2 2 16" xfId="15098"/>
    <cellStyle name="Percent 3 47 2 2 17" xfId="15099"/>
    <cellStyle name="Percent 3 47 2 2 18" xfId="15100"/>
    <cellStyle name="Percent 3 47 2 2 19" xfId="15101"/>
    <cellStyle name="Percent 3 47 2 2 2" xfId="15102"/>
    <cellStyle name="Percent 3 47 2 2 3" xfId="15103"/>
    <cellStyle name="Percent 3 47 2 2 4" xfId="15104"/>
    <cellStyle name="Percent 3 47 2 2 5" xfId="15105"/>
    <cellStyle name="Percent 3 47 2 2 6" xfId="15106"/>
    <cellStyle name="Percent 3 47 2 2 7" xfId="15107"/>
    <cellStyle name="Percent 3 47 2 2 8" xfId="15108"/>
    <cellStyle name="Percent 3 47 2 2 9" xfId="15109"/>
    <cellStyle name="Percent 3 47 2 20" xfId="15110"/>
    <cellStyle name="Percent 3 47 2 3" xfId="15111"/>
    <cellStyle name="Percent 3 47 2 4" xfId="15112"/>
    <cellStyle name="Percent 3 47 2 5" xfId="15113"/>
    <cellStyle name="Percent 3 47 2 6" xfId="15114"/>
    <cellStyle name="Percent 3 47 2 7" xfId="15115"/>
    <cellStyle name="Percent 3 47 2 8" xfId="15116"/>
    <cellStyle name="Percent 3 47 2 9" xfId="15117"/>
    <cellStyle name="Percent 3 47 20" xfId="15118"/>
    <cellStyle name="Percent 3 47 21" xfId="15119"/>
    <cellStyle name="Percent 3 47 3" xfId="15120"/>
    <cellStyle name="Percent 3 47 3 10" xfId="15121"/>
    <cellStyle name="Percent 3 47 3 11" xfId="15122"/>
    <cellStyle name="Percent 3 47 3 12" xfId="15123"/>
    <cellStyle name="Percent 3 47 3 13" xfId="15124"/>
    <cellStyle name="Percent 3 47 3 14" xfId="15125"/>
    <cellStyle name="Percent 3 47 3 15" xfId="15126"/>
    <cellStyle name="Percent 3 47 3 16" xfId="15127"/>
    <cellStyle name="Percent 3 47 3 17" xfId="15128"/>
    <cellStyle name="Percent 3 47 3 18" xfId="15129"/>
    <cellStyle name="Percent 3 47 3 19" xfId="15130"/>
    <cellStyle name="Percent 3 47 3 2" xfId="15131"/>
    <cellStyle name="Percent 3 47 3 3" xfId="15132"/>
    <cellStyle name="Percent 3 47 3 4" xfId="15133"/>
    <cellStyle name="Percent 3 47 3 5" xfId="15134"/>
    <cellStyle name="Percent 3 47 3 6" xfId="15135"/>
    <cellStyle name="Percent 3 47 3 7" xfId="15136"/>
    <cellStyle name="Percent 3 47 3 8" xfId="15137"/>
    <cellStyle name="Percent 3 47 3 9" xfId="15138"/>
    <cellStyle name="Percent 3 47 4" xfId="15139"/>
    <cellStyle name="Percent 3 47 5" xfId="15140"/>
    <cellStyle name="Percent 3 47 6" xfId="15141"/>
    <cellStyle name="Percent 3 47 7" xfId="15142"/>
    <cellStyle name="Percent 3 47 8" xfId="15143"/>
    <cellStyle name="Percent 3 47 9" xfId="15144"/>
    <cellStyle name="Percent 3 48" xfId="3323"/>
    <cellStyle name="Percent 3 48 10" xfId="15145"/>
    <cellStyle name="Percent 3 48 11" xfId="15146"/>
    <cellStyle name="Percent 3 48 12" xfId="15147"/>
    <cellStyle name="Percent 3 48 13" xfId="15148"/>
    <cellStyle name="Percent 3 48 14" xfId="15149"/>
    <cellStyle name="Percent 3 48 15" xfId="15150"/>
    <cellStyle name="Percent 3 48 16" xfId="15151"/>
    <cellStyle name="Percent 3 48 17" xfId="15152"/>
    <cellStyle name="Percent 3 48 18" xfId="15153"/>
    <cellStyle name="Percent 3 48 19" xfId="15154"/>
    <cellStyle name="Percent 3 48 2" xfId="15155"/>
    <cellStyle name="Percent 3 48 2 10" xfId="15156"/>
    <cellStyle name="Percent 3 48 2 11" xfId="15157"/>
    <cellStyle name="Percent 3 48 2 12" xfId="15158"/>
    <cellStyle name="Percent 3 48 2 13" xfId="15159"/>
    <cellStyle name="Percent 3 48 2 14" xfId="15160"/>
    <cellStyle name="Percent 3 48 2 15" xfId="15161"/>
    <cellStyle name="Percent 3 48 2 16" xfId="15162"/>
    <cellStyle name="Percent 3 48 2 17" xfId="15163"/>
    <cellStyle name="Percent 3 48 2 18" xfId="15164"/>
    <cellStyle name="Percent 3 48 2 19" xfId="15165"/>
    <cellStyle name="Percent 3 48 2 2" xfId="15166"/>
    <cellStyle name="Percent 3 48 2 2 10" xfId="15167"/>
    <cellStyle name="Percent 3 48 2 2 11" xfId="15168"/>
    <cellStyle name="Percent 3 48 2 2 12" xfId="15169"/>
    <cellStyle name="Percent 3 48 2 2 13" xfId="15170"/>
    <cellStyle name="Percent 3 48 2 2 14" xfId="15171"/>
    <cellStyle name="Percent 3 48 2 2 15" xfId="15172"/>
    <cellStyle name="Percent 3 48 2 2 16" xfId="15173"/>
    <cellStyle name="Percent 3 48 2 2 17" xfId="15174"/>
    <cellStyle name="Percent 3 48 2 2 18" xfId="15175"/>
    <cellStyle name="Percent 3 48 2 2 19" xfId="15176"/>
    <cellStyle name="Percent 3 48 2 2 2" xfId="15177"/>
    <cellStyle name="Percent 3 48 2 2 3" xfId="15178"/>
    <cellStyle name="Percent 3 48 2 2 4" xfId="15179"/>
    <cellStyle name="Percent 3 48 2 2 5" xfId="15180"/>
    <cellStyle name="Percent 3 48 2 2 6" xfId="15181"/>
    <cellStyle name="Percent 3 48 2 2 7" xfId="15182"/>
    <cellStyle name="Percent 3 48 2 2 8" xfId="15183"/>
    <cellStyle name="Percent 3 48 2 2 9" xfId="15184"/>
    <cellStyle name="Percent 3 48 2 20" xfId="15185"/>
    <cellStyle name="Percent 3 48 2 3" xfId="15186"/>
    <cellStyle name="Percent 3 48 2 4" xfId="15187"/>
    <cellStyle name="Percent 3 48 2 5" xfId="15188"/>
    <cellStyle name="Percent 3 48 2 6" xfId="15189"/>
    <cellStyle name="Percent 3 48 2 7" xfId="15190"/>
    <cellStyle name="Percent 3 48 2 8" xfId="15191"/>
    <cellStyle name="Percent 3 48 2 9" xfId="15192"/>
    <cellStyle name="Percent 3 48 20" xfId="15193"/>
    <cellStyle name="Percent 3 48 21" xfId="15194"/>
    <cellStyle name="Percent 3 48 3" xfId="15195"/>
    <cellStyle name="Percent 3 48 3 10" xfId="15196"/>
    <cellStyle name="Percent 3 48 3 11" xfId="15197"/>
    <cellStyle name="Percent 3 48 3 12" xfId="15198"/>
    <cellStyle name="Percent 3 48 3 13" xfId="15199"/>
    <cellStyle name="Percent 3 48 3 14" xfId="15200"/>
    <cellStyle name="Percent 3 48 3 15" xfId="15201"/>
    <cellStyle name="Percent 3 48 3 16" xfId="15202"/>
    <cellStyle name="Percent 3 48 3 17" xfId="15203"/>
    <cellStyle name="Percent 3 48 3 18" xfId="15204"/>
    <cellStyle name="Percent 3 48 3 19" xfId="15205"/>
    <cellStyle name="Percent 3 48 3 2" xfId="15206"/>
    <cellStyle name="Percent 3 48 3 3" xfId="15207"/>
    <cellStyle name="Percent 3 48 3 4" xfId="15208"/>
    <cellStyle name="Percent 3 48 3 5" xfId="15209"/>
    <cellStyle name="Percent 3 48 3 6" xfId="15210"/>
    <cellStyle name="Percent 3 48 3 7" xfId="15211"/>
    <cellStyle name="Percent 3 48 3 8" xfId="15212"/>
    <cellStyle name="Percent 3 48 3 9" xfId="15213"/>
    <cellStyle name="Percent 3 48 4" xfId="15214"/>
    <cellStyle name="Percent 3 48 5" xfId="15215"/>
    <cellStyle name="Percent 3 48 6" xfId="15216"/>
    <cellStyle name="Percent 3 48 7" xfId="15217"/>
    <cellStyle name="Percent 3 48 8" xfId="15218"/>
    <cellStyle name="Percent 3 48 9" xfId="15219"/>
    <cellStyle name="Percent 3 49" xfId="3324"/>
    <cellStyle name="Percent 3 49 10" xfId="15220"/>
    <cellStyle name="Percent 3 49 11" xfId="15221"/>
    <cellStyle name="Percent 3 49 12" xfId="15222"/>
    <cellStyle name="Percent 3 49 13" xfId="15223"/>
    <cellStyle name="Percent 3 49 14" xfId="15224"/>
    <cellStyle name="Percent 3 49 15" xfId="15225"/>
    <cellStyle name="Percent 3 49 16" xfId="15226"/>
    <cellStyle name="Percent 3 49 17" xfId="15227"/>
    <cellStyle name="Percent 3 49 18" xfId="15228"/>
    <cellStyle name="Percent 3 49 19" xfId="15229"/>
    <cellStyle name="Percent 3 49 2" xfId="15230"/>
    <cellStyle name="Percent 3 49 2 10" xfId="15231"/>
    <cellStyle name="Percent 3 49 2 11" xfId="15232"/>
    <cellStyle name="Percent 3 49 2 12" xfId="15233"/>
    <cellStyle name="Percent 3 49 2 13" xfId="15234"/>
    <cellStyle name="Percent 3 49 2 14" xfId="15235"/>
    <cellStyle name="Percent 3 49 2 15" xfId="15236"/>
    <cellStyle name="Percent 3 49 2 16" xfId="15237"/>
    <cellStyle name="Percent 3 49 2 17" xfId="15238"/>
    <cellStyle name="Percent 3 49 2 18" xfId="15239"/>
    <cellStyle name="Percent 3 49 2 19" xfId="15240"/>
    <cellStyle name="Percent 3 49 2 2" xfId="15241"/>
    <cellStyle name="Percent 3 49 2 2 10" xfId="15242"/>
    <cellStyle name="Percent 3 49 2 2 11" xfId="15243"/>
    <cellStyle name="Percent 3 49 2 2 12" xfId="15244"/>
    <cellStyle name="Percent 3 49 2 2 13" xfId="15245"/>
    <cellStyle name="Percent 3 49 2 2 14" xfId="15246"/>
    <cellStyle name="Percent 3 49 2 2 15" xfId="15247"/>
    <cellStyle name="Percent 3 49 2 2 16" xfId="15248"/>
    <cellStyle name="Percent 3 49 2 2 17" xfId="15249"/>
    <cellStyle name="Percent 3 49 2 2 18" xfId="15250"/>
    <cellStyle name="Percent 3 49 2 2 19" xfId="15251"/>
    <cellStyle name="Percent 3 49 2 2 2" xfId="15252"/>
    <cellStyle name="Percent 3 49 2 2 3" xfId="15253"/>
    <cellStyle name="Percent 3 49 2 2 4" xfId="15254"/>
    <cellStyle name="Percent 3 49 2 2 5" xfId="15255"/>
    <cellStyle name="Percent 3 49 2 2 6" xfId="15256"/>
    <cellStyle name="Percent 3 49 2 2 7" xfId="15257"/>
    <cellStyle name="Percent 3 49 2 2 8" xfId="15258"/>
    <cellStyle name="Percent 3 49 2 2 9" xfId="15259"/>
    <cellStyle name="Percent 3 49 2 20" xfId="15260"/>
    <cellStyle name="Percent 3 49 2 3" xfId="15261"/>
    <cellStyle name="Percent 3 49 2 4" xfId="15262"/>
    <cellStyle name="Percent 3 49 2 5" xfId="15263"/>
    <cellStyle name="Percent 3 49 2 6" xfId="15264"/>
    <cellStyle name="Percent 3 49 2 7" xfId="15265"/>
    <cellStyle name="Percent 3 49 2 8" xfId="15266"/>
    <cellStyle name="Percent 3 49 2 9" xfId="15267"/>
    <cellStyle name="Percent 3 49 20" xfId="15268"/>
    <cellStyle name="Percent 3 49 21" xfId="15269"/>
    <cellStyle name="Percent 3 49 3" xfId="15270"/>
    <cellStyle name="Percent 3 49 3 10" xfId="15271"/>
    <cellStyle name="Percent 3 49 3 11" xfId="15272"/>
    <cellStyle name="Percent 3 49 3 12" xfId="15273"/>
    <cellStyle name="Percent 3 49 3 13" xfId="15274"/>
    <cellStyle name="Percent 3 49 3 14" xfId="15275"/>
    <cellStyle name="Percent 3 49 3 15" xfId="15276"/>
    <cellStyle name="Percent 3 49 3 16" xfId="15277"/>
    <cellStyle name="Percent 3 49 3 17" xfId="15278"/>
    <cellStyle name="Percent 3 49 3 18" xfId="15279"/>
    <cellStyle name="Percent 3 49 3 19" xfId="15280"/>
    <cellStyle name="Percent 3 49 3 2" xfId="15281"/>
    <cellStyle name="Percent 3 49 3 3" xfId="15282"/>
    <cellStyle name="Percent 3 49 3 4" xfId="15283"/>
    <cellStyle name="Percent 3 49 3 5" xfId="15284"/>
    <cellStyle name="Percent 3 49 3 6" xfId="15285"/>
    <cellStyle name="Percent 3 49 3 7" xfId="15286"/>
    <cellStyle name="Percent 3 49 3 8" xfId="15287"/>
    <cellStyle name="Percent 3 49 3 9" xfId="15288"/>
    <cellStyle name="Percent 3 49 4" xfId="15289"/>
    <cellStyle name="Percent 3 49 5" xfId="15290"/>
    <cellStyle name="Percent 3 49 6" xfId="15291"/>
    <cellStyle name="Percent 3 49 7" xfId="15292"/>
    <cellStyle name="Percent 3 49 8" xfId="15293"/>
    <cellStyle name="Percent 3 49 9" xfId="15294"/>
    <cellStyle name="Percent 3 5" xfId="3325"/>
    <cellStyle name="Percent 3 5 10" xfId="15295"/>
    <cellStyle name="Percent 3 5 11" xfId="15296"/>
    <cellStyle name="Percent 3 5 12" xfId="15297"/>
    <cellStyle name="Percent 3 5 13" xfId="15298"/>
    <cellStyle name="Percent 3 5 14" xfId="15299"/>
    <cellStyle name="Percent 3 5 15" xfId="15300"/>
    <cellStyle name="Percent 3 5 16" xfId="15301"/>
    <cellStyle name="Percent 3 5 17" xfId="15302"/>
    <cellStyle name="Percent 3 5 18" xfId="15303"/>
    <cellStyle name="Percent 3 5 19" xfId="15304"/>
    <cellStyle name="Percent 3 5 2" xfId="15305"/>
    <cellStyle name="Percent 3 5 2 10" xfId="15306"/>
    <cellStyle name="Percent 3 5 2 11" xfId="15307"/>
    <cellStyle name="Percent 3 5 2 12" xfId="15308"/>
    <cellStyle name="Percent 3 5 2 13" xfId="15309"/>
    <cellStyle name="Percent 3 5 2 14" xfId="15310"/>
    <cellStyle name="Percent 3 5 2 15" xfId="15311"/>
    <cellStyle name="Percent 3 5 2 16" xfId="15312"/>
    <cellStyle name="Percent 3 5 2 17" xfId="15313"/>
    <cellStyle name="Percent 3 5 2 18" xfId="15314"/>
    <cellStyle name="Percent 3 5 2 19" xfId="15315"/>
    <cellStyle name="Percent 3 5 2 2" xfId="15316"/>
    <cellStyle name="Percent 3 5 2 2 10" xfId="15317"/>
    <cellStyle name="Percent 3 5 2 2 11" xfId="15318"/>
    <cellStyle name="Percent 3 5 2 2 12" xfId="15319"/>
    <cellStyle name="Percent 3 5 2 2 13" xfId="15320"/>
    <cellStyle name="Percent 3 5 2 2 14" xfId="15321"/>
    <cellStyle name="Percent 3 5 2 2 15" xfId="15322"/>
    <cellStyle name="Percent 3 5 2 2 16" xfId="15323"/>
    <cellStyle name="Percent 3 5 2 2 17" xfId="15324"/>
    <cellStyle name="Percent 3 5 2 2 18" xfId="15325"/>
    <cellStyle name="Percent 3 5 2 2 19" xfId="15326"/>
    <cellStyle name="Percent 3 5 2 2 2" xfId="15327"/>
    <cellStyle name="Percent 3 5 2 2 3" xfId="15328"/>
    <cellStyle name="Percent 3 5 2 2 4" xfId="15329"/>
    <cellStyle name="Percent 3 5 2 2 5" xfId="15330"/>
    <cellStyle name="Percent 3 5 2 2 6" xfId="15331"/>
    <cellStyle name="Percent 3 5 2 2 7" xfId="15332"/>
    <cellStyle name="Percent 3 5 2 2 8" xfId="15333"/>
    <cellStyle name="Percent 3 5 2 2 9" xfId="15334"/>
    <cellStyle name="Percent 3 5 2 20" xfId="15335"/>
    <cellStyle name="Percent 3 5 2 3" xfId="15336"/>
    <cellStyle name="Percent 3 5 2 4" xfId="15337"/>
    <cellStyle name="Percent 3 5 2 5" xfId="15338"/>
    <cellStyle name="Percent 3 5 2 6" xfId="15339"/>
    <cellStyle name="Percent 3 5 2 7" xfId="15340"/>
    <cellStyle name="Percent 3 5 2 8" xfId="15341"/>
    <cellStyle name="Percent 3 5 2 9" xfId="15342"/>
    <cellStyle name="Percent 3 5 20" xfId="15343"/>
    <cellStyle name="Percent 3 5 21" xfId="15344"/>
    <cellStyle name="Percent 3 5 3" xfId="15345"/>
    <cellStyle name="Percent 3 5 3 10" xfId="15346"/>
    <cellStyle name="Percent 3 5 3 11" xfId="15347"/>
    <cellStyle name="Percent 3 5 3 12" xfId="15348"/>
    <cellStyle name="Percent 3 5 3 13" xfId="15349"/>
    <cellStyle name="Percent 3 5 3 14" xfId="15350"/>
    <cellStyle name="Percent 3 5 3 15" xfId="15351"/>
    <cellStyle name="Percent 3 5 3 16" xfId="15352"/>
    <cellStyle name="Percent 3 5 3 17" xfId="15353"/>
    <cellStyle name="Percent 3 5 3 18" xfId="15354"/>
    <cellStyle name="Percent 3 5 3 19" xfId="15355"/>
    <cellStyle name="Percent 3 5 3 2" xfId="15356"/>
    <cellStyle name="Percent 3 5 3 3" xfId="15357"/>
    <cellStyle name="Percent 3 5 3 4" xfId="15358"/>
    <cellStyle name="Percent 3 5 3 5" xfId="15359"/>
    <cellStyle name="Percent 3 5 3 6" xfId="15360"/>
    <cellStyle name="Percent 3 5 3 7" xfId="15361"/>
    <cellStyle name="Percent 3 5 3 8" xfId="15362"/>
    <cellStyle name="Percent 3 5 3 9" xfId="15363"/>
    <cellStyle name="Percent 3 5 4" xfId="15364"/>
    <cellStyle name="Percent 3 5 5" xfId="15365"/>
    <cellStyle name="Percent 3 5 6" xfId="15366"/>
    <cellStyle name="Percent 3 5 7" xfId="15367"/>
    <cellStyle name="Percent 3 5 8" xfId="15368"/>
    <cellStyle name="Percent 3 5 9" xfId="15369"/>
    <cellStyle name="Percent 3 50" xfId="3326"/>
    <cellStyle name="Percent 3 50 10" xfId="15370"/>
    <cellStyle name="Percent 3 50 11" xfId="15371"/>
    <cellStyle name="Percent 3 50 12" xfId="15372"/>
    <cellStyle name="Percent 3 50 13" xfId="15373"/>
    <cellStyle name="Percent 3 50 14" xfId="15374"/>
    <cellStyle name="Percent 3 50 15" xfId="15375"/>
    <cellStyle name="Percent 3 50 16" xfId="15376"/>
    <cellStyle name="Percent 3 50 17" xfId="15377"/>
    <cellStyle name="Percent 3 50 18" xfId="15378"/>
    <cellStyle name="Percent 3 50 19" xfId="15379"/>
    <cellStyle name="Percent 3 50 2" xfId="15380"/>
    <cellStyle name="Percent 3 50 2 10" xfId="15381"/>
    <cellStyle name="Percent 3 50 2 11" xfId="15382"/>
    <cellStyle name="Percent 3 50 2 12" xfId="15383"/>
    <cellStyle name="Percent 3 50 2 13" xfId="15384"/>
    <cellStyle name="Percent 3 50 2 14" xfId="15385"/>
    <cellStyle name="Percent 3 50 2 15" xfId="15386"/>
    <cellStyle name="Percent 3 50 2 16" xfId="15387"/>
    <cellStyle name="Percent 3 50 2 17" xfId="15388"/>
    <cellStyle name="Percent 3 50 2 18" xfId="15389"/>
    <cellStyle name="Percent 3 50 2 19" xfId="15390"/>
    <cellStyle name="Percent 3 50 2 2" xfId="15391"/>
    <cellStyle name="Percent 3 50 2 2 10" xfId="15392"/>
    <cellStyle name="Percent 3 50 2 2 11" xfId="15393"/>
    <cellStyle name="Percent 3 50 2 2 12" xfId="15394"/>
    <cellStyle name="Percent 3 50 2 2 13" xfId="15395"/>
    <cellStyle name="Percent 3 50 2 2 14" xfId="15396"/>
    <cellStyle name="Percent 3 50 2 2 15" xfId="15397"/>
    <cellStyle name="Percent 3 50 2 2 16" xfId="15398"/>
    <cellStyle name="Percent 3 50 2 2 17" xfId="15399"/>
    <cellStyle name="Percent 3 50 2 2 18" xfId="15400"/>
    <cellStyle name="Percent 3 50 2 2 19" xfId="15401"/>
    <cellStyle name="Percent 3 50 2 2 2" xfId="15402"/>
    <cellStyle name="Percent 3 50 2 2 3" xfId="15403"/>
    <cellStyle name="Percent 3 50 2 2 4" xfId="15404"/>
    <cellStyle name="Percent 3 50 2 2 5" xfId="15405"/>
    <cellStyle name="Percent 3 50 2 2 6" xfId="15406"/>
    <cellStyle name="Percent 3 50 2 2 7" xfId="15407"/>
    <cellStyle name="Percent 3 50 2 2 8" xfId="15408"/>
    <cellStyle name="Percent 3 50 2 2 9" xfId="15409"/>
    <cellStyle name="Percent 3 50 2 20" xfId="15410"/>
    <cellStyle name="Percent 3 50 2 3" xfId="15411"/>
    <cellStyle name="Percent 3 50 2 4" xfId="15412"/>
    <cellStyle name="Percent 3 50 2 5" xfId="15413"/>
    <cellStyle name="Percent 3 50 2 6" xfId="15414"/>
    <cellStyle name="Percent 3 50 2 7" xfId="15415"/>
    <cellStyle name="Percent 3 50 2 8" xfId="15416"/>
    <cellStyle name="Percent 3 50 2 9" xfId="15417"/>
    <cellStyle name="Percent 3 50 20" xfId="15418"/>
    <cellStyle name="Percent 3 50 21" xfId="15419"/>
    <cellStyle name="Percent 3 50 3" xfId="15420"/>
    <cellStyle name="Percent 3 50 3 10" xfId="15421"/>
    <cellStyle name="Percent 3 50 3 11" xfId="15422"/>
    <cellStyle name="Percent 3 50 3 12" xfId="15423"/>
    <cellStyle name="Percent 3 50 3 13" xfId="15424"/>
    <cellStyle name="Percent 3 50 3 14" xfId="15425"/>
    <cellStyle name="Percent 3 50 3 15" xfId="15426"/>
    <cellStyle name="Percent 3 50 3 16" xfId="15427"/>
    <cellStyle name="Percent 3 50 3 17" xfId="15428"/>
    <cellStyle name="Percent 3 50 3 18" xfId="15429"/>
    <cellStyle name="Percent 3 50 3 19" xfId="15430"/>
    <cellStyle name="Percent 3 50 3 2" xfId="15431"/>
    <cellStyle name="Percent 3 50 3 3" xfId="15432"/>
    <cellStyle name="Percent 3 50 3 4" xfId="15433"/>
    <cellStyle name="Percent 3 50 3 5" xfId="15434"/>
    <cellStyle name="Percent 3 50 3 6" xfId="15435"/>
    <cellStyle name="Percent 3 50 3 7" xfId="15436"/>
    <cellStyle name="Percent 3 50 3 8" xfId="15437"/>
    <cellStyle name="Percent 3 50 3 9" xfId="15438"/>
    <cellStyle name="Percent 3 50 4" xfId="15439"/>
    <cellStyle name="Percent 3 50 5" xfId="15440"/>
    <cellStyle name="Percent 3 50 6" xfId="15441"/>
    <cellStyle name="Percent 3 50 7" xfId="15442"/>
    <cellStyle name="Percent 3 50 8" xfId="15443"/>
    <cellStyle name="Percent 3 50 9" xfId="15444"/>
    <cellStyle name="Percent 3 51" xfId="3327"/>
    <cellStyle name="Percent 3 51 10" xfId="15445"/>
    <cellStyle name="Percent 3 51 11" xfId="15446"/>
    <cellStyle name="Percent 3 51 12" xfId="15447"/>
    <cellStyle name="Percent 3 51 13" xfId="15448"/>
    <cellStyle name="Percent 3 51 14" xfId="15449"/>
    <cellStyle name="Percent 3 51 15" xfId="15450"/>
    <cellStyle name="Percent 3 51 16" xfId="15451"/>
    <cellStyle name="Percent 3 51 17" xfId="15452"/>
    <cellStyle name="Percent 3 51 18" xfId="15453"/>
    <cellStyle name="Percent 3 51 19" xfId="15454"/>
    <cellStyle name="Percent 3 51 2" xfId="15455"/>
    <cellStyle name="Percent 3 51 2 10" xfId="15456"/>
    <cellStyle name="Percent 3 51 2 11" xfId="15457"/>
    <cellStyle name="Percent 3 51 2 12" xfId="15458"/>
    <cellStyle name="Percent 3 51 2 13" xfId="15459"/>
    <cellStyle name="Percent 3 51 2 14" xfId="15460"/>
    <cellStyle name="Percent 3 51 2 15" xfId="15461"/>
    <cellStyle name="Percent 3 51 2 16" xfId="15462"/>
    <cellStyle name="Percent 3 51 2 17" xfId="15463"/>
    <cellStyle name="Percent 3 51 2 18" xfId="15464"/>
    <cellStyle name="Percent 3 51 2 19" xfId="15465"/>
    <cellStyle name="Percent 3 51 2 2" xfId="15466"/>
    <cellStyle name="Percent 3 51 2 2 10" xfId="15467"/>
    <cellStyle name="Percent 3 51 2 2 11" xfId="15468"/>
    <cellStyle name="Percent 3 51 2 2 12" xfId="15469"/>
    <cellStyle name="Percent 3 51 2 2 13" xfId="15470"/>
    <cellStyle name="Percent 3 51 2 2 14" xfId="15471"/>
    <cellStyle name="Percent 3 51 2 2 15" xfId="15472"/>
    <cellStyle name="Percent 3 51 2 2 16" xfId="15473"/>
    <cellStyle name="Percent 3 51 2 2 17" xfId="15474"/>
    <cellStyle name="Percent 3 51 2 2 18" xfId="15475"/>
    <cellStyle name="Percent 3 51 2 2 19" xfId="15476"/>
    <cellStyle name="Percent 3 51 2 2 2" xfId="15477"/>
    <cellStyle name="Percent 3 51 2 2 3" xfId="15478"/>
    <cellStyle name="Percent 3 51 2 2 4" xfId="15479"/>
    <cellStyle name="Percent 3 51 2 2 5" xfId="15480"/>
    <cellStyle name="Percent 3 51 2 2 6" xfId="15481"/>
    <cellStyle name="Percent 3 51 2 2 7" xfId="15482"/>
    <cellStyle name="Percent 3 51 2 2 8" xfId="15483"/>
    <cellStyle name="Percent 3 51 2 2 9" xfId="15484"/>
    <cellStyle name="Percent 3 51 2 20" xfId="15485"/>
    <cellStyle name="Percent 3 51 2 3" xfId="15486"/>
    <cellStyle name="Percent 3 51 2 4" xfId="15487"/>
    <cellStyle name="Percent 3 51 2 5" xfId="15488"/>
    <cellStyle name="Percent 3 51 2 6" xfId="15489"/>
    <cellStyle name="Percent 3 51 2 7" xfId="15490"/>
    <cellStyle name="Percent 3 51 2 8" xfId="15491"/>
    <cellStyle name="Percent 3 51 2 9" xfId="15492"/>
    <cellStyle name="Percent 3 51 20" xfId="15493"/>
    <cellStyle name="Percent 3 51 21" xfId="15494"/>
    <cellStyle name="Percent 3 51 3" xfId="15495"/>
    <cellStyle name="Percent 3 51 3 10" xfId="15496"/>
    <cellStyle name="Percent 3 51 3 11" xfId="15497"/>
    <cellStyle name="Percent 3 51 3 12" xfId="15498"/>
    <cellStyle name="Percent 3 51 3 13" xfId="15499"/>
    <cellStyle name="Percent 3 51 3 14" xfId="15500"/>
    <cellStyle name="Percent 3 51 3 15" xfId="15501"/>
    <cellStyle name="Percent 3 51 3 16" xfId="15502"/>
    <cellStyle name="Percent 3 51 3 17" xfId="15503"/>
    <cellStyle name="Percent 3 51 3 18" xfId="15504"/>
    <cellStyle name="Percent 3 51 3 19" xfId="15505"/>
    <cellStyle name="Percent 3 51 3 2" xfId="15506"/>
    <cellStyle name="Percent 3 51 3 3" xfId="15507"/>
    <cellStyle name="Percent 3 51 3 4" xfId="15508"/>
    <cellStyle name="Percent 3 51 3 5" xfId="15509"/>
    <cellStyle name="Percent 3 51 3 6" xfId="15510"/>
    <cellStyle name="Percent 3 51 3 7" xfId="15511"/>
    <cellStyle name="Percent 3 51 3 8" xfId="15512"/>
    <cellStyle name="Percent 3 51 3 9" xfId="15513"/>
    <cellStyle name="Percent 3 51 4" xfId="15514"/>
    <cellStyle name="Percent 3 51 5" xfId="15515"/>
    <cellStyle name="Percent 3 51 6" xfId="15516"/>
    <cellStyle name="Percent 3 51 7" xfId="15517"/>
    <cellStyle name="Percent 3 51 8" xfId="15518"/>
    <cellStyle name="Percent 3 51 9" xfId="15519"/>
    <cellStyle name="Percent 3 52" xfId="3328"/>
    <cellStyle name="Percent 3 52 10" xfId="15520"/>
    <cellStyle name="Percent 3 52 11" xfId="15521"/>
    <cellStyle name="Percent 3 52 12" xfId="15522"/>
    <cellStyle name="Percent 3 52 13" xfId="15523"/>
    <cellStyle name="Percent 3 52 14" xfId="15524"/>
    <cellStyle name="Percent 3 52 15" xfId="15525"/>
    <cellStyle name="Percent 3 52 16" xfId="15526"/>
    <cellStyle name="Percent 3 52 17" xfId="15527"/>
    <cellStyle name="Percent 3 52 18" xfId="15528"/>
    <cellStyle name="Percent 3 52 19" xfId="15529"/>
    <cellStyle name="Percent 3 52 2" xfId="15530"/>
    <cellStyle name="Percent 3 52 2 10" xfId="15531"/>
    <cellStyle name="Percent 3 52 2 11" xfId="15532"/>
    <cellStyle name="Percent 3 52 2 12" xfId="15533"/>
    <cellStyle name="Percent 3 52 2 13" xfId="15534"/>
    <cellStyle name="Percent 3 52 2 14" xfId="15535"/>
    <cellStyle name="Percent 3 52 2 15" xfId="15536"/>
    <cellStyle name="Percent 3 52 2 16" xfId="15537"/>
    <cellStyle name="Percent 3 52 2 17" xfId="15538"/>
    <cellStyle name="Percent 3 52 2 18" xfId="15539"/>
    <cellStyle name="Percent 3 52 2 19" xfId="15540"/>
    <cellStyle name="Percent 3 52 2 2" xfId="15541"/>
    <cellStyle name="Percent 3 52 2 2 10" xfId="15542"/>
    <cellStyle name="Percent 3 52 2 2 11" xfId="15543"/>
    <cellStyle name="Percent 3 52 2 2 12" xfId="15544"/>
    <cellStyle name="Percent 3 52 2 2 13" xfId="15545"/>
    <cellStyle name="Percent 3 52 2 2 14" xfId="15546"/>
    <cellStyle name="Percent 3 52 2 2 15" xfId="15547"/>
    <cellStyle name="Percent 3 52 2 2 16" xfId="15548"/>
    <cellStyle name="Percent 3 52 2 2 17" xfId="15549"/>
    <cellStyle name="Percent 3 52 2 2 18" xfId="15550"/>
    <cellStyle name="Percent 3 52 2 2 19" xfId="15551"/>
    <cellStyle name="Percent 3 52 2 2 2" xfId="15552"/>
    <cellStyle name="Percent 3 52 2 2 3" xfId="15553"/>
    <cellStyle name="Percent 3 52 2 2 4" xfId="15554"/>
    <cellStyle name="Percent 3 52 2 2 5" xfId="15555"/>
    <cellStyle name="Percent 3 52 2 2 6" xfId="15556"/>
    <cellStyle name="Percent 3 52 2 2 7" xfId="15557"/>
    <cellStyle name="Percent 3 52 2 2 8" xfId="15558"/>
    <cellStyle name="Percent 3 52 2 2 9" xfId="15559"/>
    <cellStyle name="Percent 3 52 2 20" xfId="15560"/>
    <cellStyle name="Percent 3 52 2 3" xfId="15561"/>
    <cellStyle name="Percent 3 52 2 4" xfId="15562"/>
    <cellStyle name="Percent 3 52 2 5" xfId="15563"/>
    <cellStyle name="Percent 3 52 2 6" xfId="15564"/>
    <cellStyle name="Percent 3 52 2 7" xfId="15565"/>
    <cellStyle name="Percent 3 52 2 8" xfId="15566"/>
    <cellStyle name="Percent 3 52 2 9" xfId="15567"/>
    <cellStyle name="Percent 3 52 20" xfId="15568"/>
    <cellStyle name="Percent 3 52 21" xfId="15569"/>
    <cellStyle name="Percent 3 52 3" xfId="15570"/>
    <cellStyle name="Percent 3 52 3 10" xfId="15571"/>
    <cellStyle name="Percent 3 52 3 11" xfId="15572"/>
    <cellStyle name="Percent 3 52 3 12" xfId="15573"/>
    <cellStyle name="Percent 3 52 3 13" xfId="15574"/>
    <cellStyle name="Percent 3 52 3 14" xfId="15575"/>
    <cellStyle name="Percent 3 52 3 15" xfId="15576"/>
    <cellStyle name="Percent 3 52 3 16" xfId="15577"/>
    <cellStyle name="Percent 3 52 3 17" xfId="15578"/>
    <cellStyle name="Percent 3 52 3 18" xfId="15579"/>
    <cellStyle name="Percent 3 52 3 19" xfId="15580"/>
    <cellStyle name="Percent 3 52 3 2" xfId="15581"/>
    <cellStyle name="Percent 3 52 3 3" xfId="15582"/>
    <cellStyle name="Percent 3 52 3 4" xfId="15583"/>
    <cellStyle name="Percent 3 52 3 5" xfId="15584"/>
    <cellStyle name="Percent 3 52 3 6" xfId="15585"/>
    <cellStyle name="Percent 3 52 3 7" xfId="15586"/>
    <cellStyle name="Percent 3 52 3 8" xfId="15587"/>
    <cellStyle name="Percent 3 52 3 9" xfId="15588"/>
    <cellStyle name="Percent 3 52 4" xfId="15589"/>
    <cellStyle name="Percent 3 52 5" xfId="15590"/>
    <cellStyle name="Percent 3 52 6" xfId="15591"/>
    <cellStyle name="Percent 3 52 7" xfId="15592"/>
    <cellStyle name="Percent 3 52 8" xfId="15593"/>
    <cellStyle name="Percent 3 52 9" xfId="15594"/>
    <cellStyle name="Percent 3 53" xfId="3329"/>
    <cellStyle name="Percent 3 53 10" xfId="15595"/>
    <cellStyle name="Percent 3 53 11" xfId="15596"/>
    <cellStyle name="Percent 3 53 12" xfId="15597"/>
    <cellStyle name="Percent 3 53 13" xfId="15598"/>
    <cellStyle name="Percent 3 53 14" xfId="15599"/>
    <cellStyle name="Percent 3 53 15" xfId="15600"/>
    <cellStyle name="Percent 3 53 16" xfId="15601"/>
    <cellStyle name="Percent 3 53 17" xfId="15602"/>
    <cellStyle name="Percent 3 53 18" xfId="15603"/>
    <cellStyle name="Percent 3 53 19" xfId="15604"/>
    <cellStyle name="Percent 3 53 2" xfId="15605"/>
    <cellStyle name="Percent 3 53 2 10" xfId="15606"/>
    <cellStyle name="Percent 3 53 2 11" xfId="15607"/>
    <cellStyle name="Percent 3 53 2 12" xfId="15608"/>
    <cellStyle name="Percent 3 53 2 13" xfId="15609"/>
    <cellStyle name="Percent 3 53 2 14" xfId="15610"/>
    <cellStyle name="Percent 3 53 2 15" xfId="15611"/>
    <cellStyle name="Percent 3 53 2 16" xfId="15612"/>
    <cellStyle name="Percent 3 53 2 17" xfId="15613"/>
    <cellStyle name="Percent 3 53 2 18" xfId="15614"/>
    <cellStyle name="Percent 3 53 2 19" xfId="15615"/>
    <cellStyle name="Percent 3 53 2 2" xfId="15616"/>
    <cellStyle name="Percent 3 53 2 2 10" xfId="15617"/>
    <cellStyle name="Percent 3 53 2 2 11" xfId="15618"/>
    <cellStyle name="Percent 3 53 2 2 12" xfId="15619"/>
    <cellStyle name="Percent 3 53 2 2 13" xfId="15620"/>
    <cellStyle name="Percent 3 53 2 2 14" xfId="15621"/>
    <cellStyle name="Percent 3 53 2 2 15" xfId="15622"/>
    <cellStyle name="Percent 3 53 2 2 16" xfId="15623"/>
    <cellStyle name="Percent 3 53 2 2 17" xfId="15624"/>
    <cellStyle name="Percent 3 53 2 2 18" xfId="15625"/>
    <cellStyle name="Percent 3 53 2 2 19" xfId="15626"/>
    <cellStyle name="Percent 3 53 2 2 2" xfId="15627"/>
    <cellStyle name="Percent 3 53 2 2 3" xfId="15628"/>
    <cellStyle name="Percent 3 53 2 2 4" xfId="15629"/>
    <cellStyle name="Percent 3 53 2 2 5" xfId="15630"/>
    <cellStyle name="Percent 3 53 2 2 6" xfId="15631"/>
    <cellStyle name="Percent 3 53 2 2 7" xfId="15632"/>
    <cellStyle name="Percent 3 53 2 2 8" xfId="15633"/>
    <cellStyle name="Percent 3 53 2 2 9" xfId="15634"/>
    <cellStyle name="Percent 3 53 2 20" xfId="15635"/>
    <cellStyle name="Percent 3 53 2 3" xfId="15636"/>
    <cellStyle name="Percent 3 53 2 4" xfId="15637"/>
    <cellStyle name="Percent 3 53 2 5" xfId="15638"/>
    <cellStyle name="Percent 3 53 2 6" xfId="15639"/>
    <cellStyle name="Percent 3 53 2 7" xfId="15640"/>
    <cellStyle name="Percent 3 53 2 8" xfId="15641"/>
    <cellStyle name="Percent 3 53 2 9" xfId="15642"/>
    <cellStyle name="Percent 3 53 20" xfId="15643"/>
    <cellStyle name="Percent 3 53 21" xfId="15644"/>
    <cellStyle name="Percent 3 53 3" xfId="15645"/>
    <cellStyle name="Percent 3 53 3 10" xfId="15646"/>
    <cellStyle name="Percent 3 53 3 11" xfId="15647"/>
    <cellStyle name="Percent 3 53 3 12" xfId="15648"/>
    <cellStyle name="Percent 3 53 3 13" xfId="15649"/>
    <cellStyle name="Percent 3 53 3 14" xfId="15650"/>
    <cellStyle name="Percent 3 53 3 15" xfId="15651"/>
    <cellStyle name="Percent 3 53 3 16" xfId="15652"/>
    <cellStyle name="Percent 3 53 3 17" xfId="15653"/>
    <cellStyle name="Percent 3 53 3 18" xfId="15654"/>
    <cellStyle name="Percent 3 53 3 19" xfId="15655"/>
    <cellStyle name="Percent 3 53 3 2" xfId="15656"/>
    <cellStyle name="Percent 3 53 3 3" xfId="15657"/>
    <cellStyle name="Percent 3 53 3 4" xfId="15658"/>
    <cellStyle name="Percent 3 53 3 5" xfId="15659"/>
    <cellStyle name="Percent 3 53 3 6" xfId="15660"/>
    <cellStyle name="Percent 3 53 3 7" xfId="15661"/>
    <cellStyle name="Percent 3 53 3 8" xfId="15662"/>
    <cellStyle name="Percent 3 53 3 9" xfId="15663"/>
    <cellStyle name="Percent 3 53 4" xfId="15664"/>
    <cellStyle name="Percent 3 53 5" xfId="15665"/>
    <cellStyle name="Percent 3 53 6" xfId="15666"/>
    <cellStyle name="Percent 3 53 7" xfId="15667"/>
    <cellStyle name="Percent 3 53 8" xfId="15668"/>
    <cellStyle name="Percent 3 53 9" xfId="15669"/>
    <cellStyle name="Percent 3 54" xfId="3330"/>
    <cellStyle name="Percent 3 54 10" xfId="15670"/>
    <cellStyle name="Percent 3 54 11" xfId="15671"/>
    <cellStyle name="Percent 3 54 12" xfId="15672"/>
    <cellStyle name="Percent 3 54 13" xfId="15673"/>
    <cellStyle name="Percent 3 54 14" xfId="15674"/>
    <cellStyle name="Percent 3 54 15" xfId="15675"/>
    <cellStyle name="Percent 3 54 16" xfId="15676"/>
    <cellStyle name="Percent 3 54 17" xfId="15677"/>
    <cellStyle name="Percent 3 54 18" xfId="15678"/>
    <cellStyle name="Percent 3 54 19" xfId="15679"/>
    <cellStyle name="Percent 3 54 2" xfId="15680"/>
    <cellStyle name="Percent 3 54 2 10" xfId="15681"/>
    <cellStyle name="Percent 3 54 2 11" xfId="15682"/>
    <cellStyle name="Percent 3 54 2 12" xfId="15683"/>
    <cellStyle name="Percent 3 54 2 13" xfId="15684"/>
    <cellStyle name="Percent 3 54 2 14" xfId="15685"/>
    <cellStyle name="Percent 3 54 2 15" xfId="15686"/>
    <cellStyle name="Percent 3 54 2 16" xfId="15687"/>
    <cellStyle name="Percent 3 54 2 17" xfId="15688"/>
    <cellStyle name="Percent 3 54 2 18" xfId="15689"/>
    <cellStyle name="Percent 3 54 2 19" xfId="15690"/>
    <cellStyle name="Percent 3 54 2 2" xfId="15691"/>
    <cellStyle name="Percent 3 54 2 2 10" xfId="15692"/>
    <cellStyle name="Percent 3 54 2 2 11" xfId="15693"/>
    <cellStyle name="Percent 3 54 2 2 12" xfId="15694"/>
    <cellStyle name="Percent 3 54 2 2 13" xfId="15695"/>
    <cellStyle name="Percent 3 54 2 2 14" xfId="15696"/>
    <cellStyle name="Percent 3 54 2 2 15" xfId="15697"/>
    <cellStyle name="Percent 3 54 2 2 16" xfId="15698"/>
    <cellStyle name="Percent 3 54 2 2 17" xfId="15699"/>
    <cellStyle name="Percent 3 54 2 2 18" xfId="15700"/>
    <cellStyle name="Percent 3 54 2 2 19" xfId="15701"/>
    <cellStyle name="Percent 3 54 2 2 2" xfId="15702"/>
    <cellStyle name="Percent 3 54 2 2 3" xfId="15703"/>
    <cellStyle name="Percent 3 54 2 2 4" xfId="15704"/>
    <cellStyle name="Percent 3 54 2 2 5" xfId="15705"/>
    <cellStyle name="Percent 3 54 2 2 6" xfId="15706"/>
    <cellStyle name="Percent 3 54 2 2 7" xfId="15707"/>
    <cellStyle name="Percent 3 54 2 2 8" xfId="15708"/>
    <cellStyle name="Percent 3 54 2 2 9" xfId="15709"/>
    <cellStyle name="Percent 3 54 2 20" xfId="15710"/>
    <cellStyle name="Percent 3 54 2 3" xfId="15711"/>
    <cellStyle name="Percent 3 54 2 4" xfId="15712"/>
    <cellStyle name="Percent 3 54 2 5" xfId="15713"/>
    <cellStyle name="Percent 3 54 2 6" xfId="15714"/>
    <cellStyle name="Percent 3 54 2 7" xfId="15715"/>
    <cellStyle name="Percent 3 54 2 8" xfId="15716"/>
    <cellStyle name="Percent 3 54 2 9" xfId="15717"/>
    <cellStyle name="Percent 3 54 20" xfId="15718"/>
    <cellStyle name="Percent 3 54 21" xfId="15719"/>
    <cellStyle name="Percent 3 54 3" xfId="15720"/>
    <cellStyle name="Percent 3 54 3 10" xfId="15721"/>
    <cellStyle name="Percent 3 54 3 11" xfId="15722"/>
    <cellStyle name="Percent 3 54 3 12" xfId="15723"/>
    <cellStyle name="Percent 3 54 3 13" xfId="15724"/>
    <cellStyle name="Percent 3 54 3 14" xfId="15725"/>
    <cellStyle name="Percent 3 54 3 15" xfId="15726"/>
    <cellStyle name="Percent 3 54 3 16" xfId="15727"/>
    <cellStyle name="Percent 3 54 3 17" xfId="15728"/>
    <cellStyle name="Percent 3 54 3 18" xfId="15729"/>
    <cellStyle name="Percent 3 54 3 19" xfId="15730"/>
    <cellStyle name="Percent 3 54 3 2" xfId="15731"/>
    <cellStyle name="Percent 3 54 3 3" xfId="15732"/>
    <cellStyle name="Percent 3 54 3 4" xfId="15733"/>
    <cellStyle name="Percent 3 54 3 5" xfId="15734"/>
    <cellStyle name="Percent 3 54 3 6" xfId="15735"/>
    <cellStyle name="Percent 3 54 3 7" xfId="15736"/>
    <cellStyle name="Percent 3 54 3 8" xfId="15737"/>
    <cellStyle name="Percent 3 54 3 9" xfId="15738"/>
    <cellStyle name="Percent 3 54 4" xfId="15739"/>
    <cellStyle name="Percent 3 54 5" xfId="15740"/>
    <cellStyle name="Percent 3 54 6" xfId="15741"/>
    <cellStyle name="Percent 3 54 7" xfId="15742"/>
    <cellStyle name="Percent 3 54 8" xfId="15743"/>
    <cellStyle name="Percent 3 54 9" xfId="15744"/>
    <cellStyle name="Percent 3 55" xfId="3331"/>
    <cellStyle name="Percent 3 55 10" xfId="15745"/>
    <cellStyle name="Percent 3 55 11" xfId="15746"/>
    <cellStyle name="Percent 3 55 12" xfId="15747"/>
    <cellStyle name="Percent 3 55 13" xfId="15748"/>
    <cellStyle name="Percent 3 55 14" xfId="15749"/>
    <cellStyle name="Percent 3 55 15" xfId="15750"/>
    <cellStyle name="Percent 3 55 16" xfId="15751"/>
    <cellStyle name="Percent 3 55 17" xfId="15752"/>
    <cellStyle name="Percent 3 55 18" xfId="15753"/>
    <cellStyle name="Percent 3 55 19" xfId="15754"/>
    <cellStyle name="Percent 3 55 2" xfId="15755"/>
    <cellStyle name="Percent 3 55 2 10" xfId="15756"/>
    <cellStyle name="Percent 3 55 2 11" xfId="15757"/>
    <cellStyle name="Percent 3 55 2 12" xfId="15758"/>
    <cellStyle name="Percent 3 55 2 13" xfId="15759"/>
    <cellStyle name="Percent 3 55 2 14" xfId="15760"/>
    <cellStyle name="Percent 3 55 2 15" xfId="15761"/>
    <cellStyle name="Percent 3 55 2 16" xfId="15762"/>
    <cellStyle name="Percent 3 55 2 17" xfId="15763"/>
    <cellStyle name="Percent 3 55 2 18" xfId="15764"/>
    <cellStyle name="Percent 3 55 2 19" xfId="15765"/>
    <cellStyle name="Percent 3 55 2 2" xfId="15766"/>
    <cellStyle name="Percent 3 55 2 2 10" xfId="15767"/>
    <cellStyle name="Percent 3 55 2 2 11" xfId="15768"/>
    <cellStyle name="Percent 3 55 2 2 12" xfId="15769"/>
    <cellStyle name="Percent 3 55 2 2 13" xfId="15770"/>
    <cellStyle name="Percent 3 55 2 2 14" xfId="15771"/>
    <cellStyle name="Percent 3 55 2 2 15" xfId="15772"/>
    <cellStyle name="Percent 3 55 2 2 16" xfId="15773"/>
    <cellStyle name="Percent 3 55 2 2 17" xfId="15774"/>
    <cellStyle name="Percent 3 55 2 2 18" xfId="15775"/>
    <cellStyle name="Percent 3 55 2 2 19" xfId="15776"/>
    <cellStyle name="Percent 3 55 2 2 2" xfId="15777"/>
    <cellStyle name="Percent 3 55 2 2 3" xfId="15778"/>
    <cellStyle name="Percent 3 55 2 2 4" xfId="15779"/>
    <cellStyle name="Percent 3 55 2 2 5" xfId="15780"/>
    <cellStyle name="Percent 3 55 2 2 6" xfId="15781"/>
    <cellStyle name="Percent 3 55 2 2 7" xfId="15782"/>
    <cellStyle name="Percent 3 55 2 2 8" xfId="15783"/>
    <cellStyle name="Percent 3 55 2 2 9" xfId="15784"/>
    <cellStyle name="Percent 3 55 2 20" xfId="15785"/>
    <cellStyle name="Percent 3 55 2 3" xfId="15786"/>
    <cellStyle name="Percent 3 55 2 4" xfId="15787"/>
    <cellStyle name="Percent 3 55 2 5" xfId="15788"/>
    <cellStyle name="Percent 3 55 2 6" xfId="15789"/>
    <cellStyle name="Percent 3 55 2 7" xfId="15790"/>
    <cellStyle name="Percent 3 55 2 8" xfId="15791"/>
    <cellStyle name="Percent 3 55 2 9" xfId="15792"/>
    <cellStyle name="Percent 3 55 20" xfId="15793"/>
    <cellStyle name="Percent 3 55 21" xfId="15794"/>
    <cellStyle name="Percent 3 55 3" xfId="15795"/>
    <cellStyle name="Percent 3 55 3 10" xfId="15796"/>
    <cellStyle name="Percent 3 55 3 11" xfId="15797"/>
    <cellStyle name="Percent 3 55 3 12" xfId="15798"/>
    <cellStyle name="Percent 3 55 3 13" xfId="15799"/>
    <cellStyle name="Percent 3 55 3 14" xfId="15800"/>
    <cellStyle name="Percent 3 55 3 15" xfId="15801"/>
    <cellStyle name="Percent 3 55 3 16" xfId="15802"/>
    <cellStyle name="Percent 3 55 3 17" xfId="15803"/>
    <cellStyle name="Percent 3 55 3 18" xfId="15804"/>
    <cellStyle name="Percent 3 55 3 19" xfId="15805"/>
    <cellStyle name="Percent 3 55 3 2" xfId="15806"/>
    <cellStyle name="Percent 3 55 3 3" xfId="15807"/>
    <cellStyle name="Percent 3 55 3 4" xfId="15808"/>
    <cellStyle name="Percent 3 55 3 5" xfId="15809"/>
    <cellStyle name="Percent 3 55 3 6" xfId="15810"/>
    <cellStyle name="Percent 3 55 3 7" xfId="15811"/>
    <cellStyle name="Percent 3 55 3 8" xfId="15812"/>
    <cellStyle name="Percent 3 55 3 9" xfId="15813"/>
    <cellStyle name="Percent 3 55 4" xfId="15814"/>
    <cellStyle name="Percent 3 55 5" xfId="15815"/>
    <cellStyle name="Percent 3 55 6" xfId="15816"/>
    <cellStyle name="Percent 3 55 7" xfId="15817"/>
    <cellStyle name="Percent 3 55 8" xfId="15818"/>
    <cellStyle name="Percent 3 55 9" xfId="15819"/>
    <cellStyle name="Percent 3 56" xfId="3332"/>
    <cellStyle name="Percent 3 56 10" xfId="15820"/>
    <cellStyle name="Percent 3 56 11" xfId="15821"/>
    <cellStyle name="Percent 3 56 12" xfId="15822"/>
    <cellStyle name="Percent 3 56 13" xfId="15823"/>
    <cellStyle name="Percent 3 56 14" xfId="15824"/>
    <cellStyle name="Percent 3 56 15" xfId="15825"/>
    <cellStyle name="Percent 3 56 16" xfId="15826"/>
    <cellStyle name="Percent 3 56 17" xfId="15827"/>
    <cellStyle name="Percent 3 56 18" xfId="15828"/>
    <cellStyle name="Percent 3 56 19" xfId="15829"/>
    <cellStyle name="Percent 3 56 2" xfId="15830"/>
    <cellStyle name="Percent 3 56 2 10" xfId="15831"/>
    <cellStyle name="Percent 3 56 2 11" xfId="15832"/>
    <cellStyle name="Percent 3 56 2 12" xfId="15833"/>
    <cellStyle name="Percent 3 56 2 13" xfId="15834"/>
    <cellStyle name="Percent 3 56 2 14" xfId="15835"/>
    <cellStyle name="Percent 3 56 2 15" xfId="15836"/>
    <cellStyle name="Percent 3 56 2 16" xfId="15837"/>
    <cellStyle name="Percent 3 56 2 17" xfId="15838"/>
    <cellStyle name="Percent 3 56 2 18" xfId="15839"/>
    <cellStyle name="Percent 3 56 2 19" xfId="15840"/>
    <cellStyle name="Percent 3 56 2 2" xfId="15841"/>
    <cellStyle name="Percent 3 56 2 2 10" xfId="15842"/>
    <cellStyle name="Percent 3 56 2 2 11" xfId="15843"/>
    <cellStyle name="Percent 3 56 2 2 12" xfId="15844"/>
    <cellStyle name="Percent 3 56 2 2 13" xfId="15845"/>
    <cellStyle name="Percent 3 56 2 2 14" xfId="15846"/>
    <cellStyle name="Percent 3 56 2 2 15" xfId="15847"/>
    <cellStyle name="Percent 3 56 2 2 16" xfId="15848"/>
    <cellStyle name="Percent 3 56 2 2 17" xfId="15849"/>
    <cellStyle name="Percent 3 56 2 2 18" xfId="15850"/>
    <cellStyle name="Percent 3 56 2 2 19" xfId="15851"/>
    <cellStyle name="Percent 3 56 2 2 2" xfId="15852"/>
    <cellStyle name="Percent 3 56 2 2 3" xfId="15853"/>
    <cellStyle name="Percent 3 56 2 2 4" xfId="15854"/>
    <cellStyle name="Percent 3 56 2 2 5" xfId="15855"/>
    <cellStyle name="Percent 3 56 2 2 6" xfId="15856"/>
    <cellStyle name="Percent 3 56 2 2 7" xfId="15857"/>
    <cellStyle name="Percent 3 56 2 2 8" xfId="15858"/>
    <cellStyle name="Percent 3 56 2 2 9" xfId="15859"/>
    <cellStyle name="Percent 3 56 2 20" xfId="15860"/>
    <cellStyle name="Percent 3 56 2 3" xfId="15861"/>
    <cellStyle name="Percent 3 56 2 4" xfId="15862"/>
    <cellStyle name="Percent 3 56 2 5" xfId="15863"/>
    <cellStyle name="Percent 3 56 2 6" xfId="15864"/>
    <cellStyle name="Percent 3 56 2 7" xfId="15865"/>
    <cellStyle name="Percent 3 56 2 8" xfId="15866"/>
    <cellStyle name="Percent 3 56 2 9" xfId="15867"/>
    <cellStyle name="Percent 3 56 20" xfId="15868"/>
    <cellStyle name="Percent 3 56 21" xfId="15869"/>
    <cellStyle name="Percent 3 56 3" xfId="15870"/>
    <cellStyle name="Percent 3 56 3 10" xfId="15871"/>
    <cellStyle name="Percent 3 56 3 11" xfId="15872"/>
    <cellStyle name="Percent 3 56 3 12" xfId="15873"/>
    <cellStyle name="Percent 3 56 3 13" xfId="15874"/>
    <cellStyle name="Percent 3 56 3 14" xfId="15875"/>
    <cellStyle name="Percent 3 56 3 15" xfId="15876"/>
    <cellStyle name="Percent 3 56 3 16" xfId="15877"/>
    <cellStyle name="Percent 3 56 3 17" xfId="15878"/>
    <cellStyle name="Percent 3 56 3 18" xfId="15879"/>
    <cellStyle name="Percent 3 56 3 19" xfId="15880"/>
    <cellStyle name="Percent 3 56 3 2" xfId="15881"/>
    <cellStyle name="Percent 3 56 3 3" xfId="15882"/>
    <cellStyle name="Percent 3 56 3 4" xfId="15883"/>
    <cellStyle name="Percent 3 56 3 5" xfId="15884"/>
    <cellStyle name="Percent 3 56 3 6" xfId="15885"/>
    <cellStyle name="Percent 3 56 3 7" xfId="15886"/>
    <cellStyle name="Percent 3 56 3 8" xfId="15887"/>
    <cellStyle name="Percent 3 56 3 9" xfId="15888"/>
    <cellStyle name="Percent 3 56 4" xfId="15889"/>
    <cellStyle name="Percent 3 56 5" xfId="15890"/>
    <cellStyle name="Percent 3 56 6" xfId="15891"/>
    <cellStyle name="Percent 3 56 7" xfId="15892"/>
    <cellStyle name="Percent 3 56 8" xfId="15893"/>
    <cellStyle name="Percent 3 56 9" xfId="15894"/>
    <cellStyle name="Percent 3 57" xfId="3333"/>
    <cellStyle name="Percent 3 57 10" xfId="15895"/>
    <cellStyle name="Percent 3 57 11" xfId="15896"/>
    <cellStyle name="Percent 3 57 12" xfId="15897"/>
    <cellStyle name="Percent 3 57 13" xfId="15898"/>
    <cellStyle name="Percent 3 57 14" xfId="15899"/>
    <cellStyle name="Percent 3 57 15" xfId="15900"/>
    <cellStyle name="Percent 3 57 16" xfId="15901"/>
    <cellStyle name="Percent 3 57 17" xfId="15902"/>
    <cellStyle name="Percent 3 57 18" xfId="15903"/>
    <cellStyle name="Percent 3 57 19" xfId="15904"/>
    <cellStyle name="Percent 3 57 2" xfId="15905"/>
    <cellStyle name="Percent 3 57 2 10" xfId="15906"/>
    <cellStyle name="Percent 3 57 2 11" xfId="15907"/>
    <cellStyle name="Percent 3 57 2 12" xfId="15908"/>
    <cellStyle name="Percent 3 57 2 13" xfId="15909"/>
    <cellStyle name="Percent 3 57 2 14" xfId="15910"/>
    <cellStyle name="Percent 3 57 2 15" xfId="15911"/>
    <cellStyle name="Percent 3 57 2 16" xfId="15912"/>
    <cellStyle name="Percent 3 57 2 17" xfId="15913"/>
    <cellStyle name="Percent 3 57 2 18" xfId="15914"/>
    <cellStyle name="Percent 3 57 2 19" xfId="15915"/>
    <cellStyle name="Percent 3 57 2 2" xfId="15916"/>
    <cellStyle name="Percent 3 57 2 2 10" xfId="15917"/>
    <cellStyle name="Percent 3 57 2 2 11" xfId="15918"/>
    <cellStyle name="Percent 3 57 2 2 12" xfId="15919"/>
    <cellStyle name="Percent 3 57 2 2 13" xfId="15920"/>
    <cellStyle name="Percent 3 57 2 2 14" xfId="15921"/>
    <cellStyle name="Percent 3 57 2 2 15" xfId="15922"/>
    <cellStyle name="Percent 3 57 2 2 16" xfId="15923"/>
    <cellStyle name="Percent 3 57 2 2 17" xfId="15924"/>
    <cellStyle name="Percent 3 57 2 2 18" xfId="15925"/>
    <cellStyle name="Percent 3 57 2 2 19" xfId="15926"/>
    <cellStyle name="Percent 3 57 2 2 2" xfId="15927"/>
    <cellStyle name="Percent 3 57 2 2 3" xfId="15928"/>
    <cellStyle name="Percent 3 57 2 2 4" xfId="15929"/>
    <cellStyle name="Percent 3 57 2 2 5" xfId="15930"/>
    <cellStyle name="Percent 3 57 2 2 6" xfId="15931"/>
    <cellStyle name="Percent 3 57 2 2 7" xfId="15932"/>
    <cellStyle name="Percent 3 57 2 2 8" xfId="15933"/>
    <cellStyle name="Percent 3 57 2 2 9" xfId="15934"/>
    <cellStyle name="Percent 3 57 2 20" xfId="15935"/>
    <cellStyle name="Percent 3 57 2 3" xfId="15936"/>
    <cellStyle name="Percent 3 57 2 4" xfId="15937"/>
    <cellStyle name="Percent 3 57 2 5" xfId="15938"/>
    <cellStyle name="Percent 3 57 2 6" xfId="15939"/>
    <cellStyle name="Percent 3 57 2 7" xfId="15940"/>
    <cellStyle name="Percent 3 57 2 8" xfId="15941"/>
    <cellStyle name="Percent 3 57 2 9" xfId="15942"/>
    <cellStyle name="Percent 3 57 20" xfId="15943"/>
    <cellStyle name="Percent 3 57 21" xfId="15944"/>
    <cellStyle name="Percent 3 57 3" xfId="15945"/>
    <cellStyle name="Percent 3 57 3 10" xfId="15946"/>
    <cellStyle name="Percent 3 57 3 11" xfId="15947"/>
    <cellStyle name="Percent 3 57 3 12" xfId="15948"/>
    <cellStyle name="Percent 3 57 3 13" xfId="15949"/>
    <cellStyle name="Percent 3 57 3 14" xfId="15950"/>
    <cellStyle name="Percent 3 57 3 15" xfId="15951"/>
    <cellStyle name="Percent 3 57 3 16" xfId="15952"/>
    <cellStyle name="Percent 3 57 3 17" xfId="15953"/>
    <cellStyle name="Percent 3 57 3 18" xfId="15954"/>
    <cellStyle name="Percent 3 57 3 19" xfId="15955"/>
    <cellStyle name="Percent 3 57 3 2" xfId="15956"/>
    <cellStyle name="Percent 3 57 3 3" xfId="15957"/>
    <cellStyle name="Percent 3 57 3 4" xfId="15958"/>
    <cellStyle name="Percent 3 57 3 5" xfId="15959"/>
    <cellStyle name="Percent 3 57 3 6" xfId="15960"/>
    <cellStyle name="Percent 3 57 3 7" xfId="15961"/>
    <cellStyle name="Percent 3 57 3 8" xfId="15962"/>
    <cellStyle name="Percent 3 57 3 9" xfId="15963"/>
    <cellStyle name="Percent 3 57 4" xfId="15964"/>
    <cellStyle name="Percent 3 57 5" xfId="15965"/>
    <cellStyle name="Percent 3 57 6" xfId="15966"/>
    <cellStyle name="Percent 3 57 7" xfId="15967"/>
    <cellStyle name="Percent 3 57 8" xfId="15968"/>
    <cellStyle name="Percent 3 57 9" xfId="15969"/>
    <cellStyle name="Percent 3 58" xfId="15970"/>
    <cellStyle name="Percent 3 58 10" xfId="15971"/>
    <cellStyle name="Percent 3 58 11" xfId="15972"/>
    <cellStyle name="Percent 3 58 12" xfId="15973"/>
    <cellStyle name="Percent 3 58 13" xfId="15974"/>
    <cellStyle name="Percent 3 58 14" xfId="15975"/>
    <cellStyle name="Percent 3 58 15" xfId="15976"/>
    <cellStyle name="Percent 3 58 16" xfId="15977"/>
    <cellStyle name="Percent 3 58 17" xfId="15978"/>
    <cellStyle name="Percent 3 58 18" xfId="15979"/>
    <cellStyle name="Percent 3 58 19" xfId="15980"/>
    <cellStyle name="Percent 3 58 2" xfId="15981"/>
    <cellStyle name="Percent 3 58 2 10" xfId="15982"/>
    <cellStyle name="Percent 3 58 2 11" xfId="15983"/>
    <cellStyle name="Percent 3 58 2 12" xfId="15984"/>
    <cellStyle name="Percent 3 58 2 13" xfId="15985"/>
    <cellStyle name="Percent 3 58 2 14" xfId="15986"/>
    <cellStyle name="Percent 3 58 2 15" xfId="15987"/>
    <cellStyle name="Percent 3 58 2 16" xfId="15988"/>
    <cellStyle name="Percent 3 58 2 17" xfId="15989"/>
    <cellStyle name="Percent 3 58 2 18" xfId="15990"/>
    <cellStyle name="Percent 3 58 2 19" xfId="15991"/>
    <cellStyle name="Percent 3 58 2 2" xfId="15992"/>
    <cellStyle name="Percent 3 58 2 3" xfId="15993"/>
    <cellStyle name="Percent 3 58 2 4" xfId="15994"/>
    <cellStyle name="Percent 3 58 2 5" xfId="15995"/>
    <cellStyle name="Percent 3 58 2 6" xfId="15996"/>
    <cellStyle name="Percent 3 58 2 7" xfId="15997"/>
    <cellStyle name="Percent 3 58 2 8" xfId="15998"/>
    <cellStyle name="Percent 3 58 2 9" xfId="15999"/>
    <cellStyle name="Percent 3 58 20" xfId="16000"/>
    <cellStyle name="Percent 3 58 3" xfId="16001"/>
    <cellStyle name="Percent 3 58 4" xfId="16002"/>
    <cellStyle name="Percent 3 58 5" xfId="16003"/>
    <cellStyle name="Percent 3 58 6" xfId="16004"/>
    <cellStyle name="Percent 3 58 7" xfId="16005"/>
    <cellStyle name="Percent 3 58 8" xfId="16006"/>
    <cellStyle name="Percent 3 58 9" xfId="16007"/>
    <cellStyle name="Percent 3 59" xfId="16008"/>
    <cellStyle name="Percent 3 59 10" xfId="16009"/>
    <cellStyle name="Percent 3 59 11" xfId="16010"/>
    <cellStyle name="Percent 3 59 12" xfId="16011"/>
    <cellStyle name="Percent 3 59 13" xfId="16012"/>
    <cellStyle name="Percent 3 59 14" xfId="16013"/>
    <cellStyle name="Percent 3 59 15" xfId="16014"/>
    <cellStyle name="Percent 3 59 16" xfId="16015"/>
    <cellStyle name="Percent 3 59 17" xfId="16016"/>
    <cellStyle name="Percent 3 59 18" xfId="16017"/>
    <cellStyle name="Percent 3 59 19" xfId="16018"/>
    <cellStyle name="Percent 3 59 2" xfId="16019"/>
    <cellStyle name="Percent 3 59 3" xfId="16020"/>
    <cellStyle name="Percent 3 59 4" xfId="16021"/>
    <cellStyle name="Percent 3 59 5" xfId="16022"/>
    <cellStyle name="Percent 3 59 6" xfId="16023"/>
    <cellStyle name="Percent 3 59 7" xfId="16024"/>
    <cellStyle name="Percent 3 59 8" xfId="16025"/>
    <cellStyle name="Percent 3 59 9" xfId="16026"/>
    <cellStyle name="Percent 3 6" xfId="3334"/>
    <cellStyle name="Percent 3 6 10" xfId="16027"/>
    <cellStyle name="Percent 3 6 11" xfId="16028"/>
    <cellStyle name="Percent 3 6 12" xfId="16029"/>
    <cellStyle name="Percent 3 6 13" xfId="16030"/>
    <cellStyle name="Percent 3 6 14" xfId="16031"/>
    <cellStyle name="Percent 3 6 15" xfId="16032"/>
    <cellStyle name="Percent 3 6 16" xfId="16033"/>
    <cellStyle name="Percent 3 6 17" xfId="16034"/>
    <cellStyle name="Percent 3 6 18" xfId="16035"/>
    <cellStyle name="Percent 3 6 19" xfId="16036"/>
    <cellStyle name="Percent 3 6 2" xfId="16037"/>
    <cellStyle name="Percent 3 6 2 10" xfId="16038"/>
    <cellStyle name="Percent 3 6 2 11" xfId="16039"/>
    <cellStyle name="Percent 3 6 2 12" xfId="16040"/>
    <cellStyle name="Percent 3 6 2 13" xfId="16041"/>
    <cellStyle name="Percent 3 6 2 14" xfId="16042"/>
    <cellStyle name="Percent 3 6 2 15" xfId="16043"/>
    <cellStyle name="Percent 3 6 2 16" xfId="16044"/>
    <cellStyle name="Percent 3 6 2 17" xfId="16045"/>
    <cellStyle name="Percent 3 6 2 18" xfId="16046"/>
    <cellStyle name="Percent 3 6 2 19" xfId="16047"/>
    <cellStyle name="Percent 3 6 2 2" xfId="16048"/>
    <cellStyle name="Percent 3 6 2 2 10" xfId="16049"/>
    <cellStyle name="Percent 3 6 2 2 11" xfId="16050"/>
    <cellStyle name="Percent 3 6 2 2 12" xfId="16051"/>
    <cellStyle name="Percent 3 6 2 2 13" xfId="16052"/>
    <cellStyle name="Percent 3 6 2 2 14" xfId="16053"/>
    <cellStyle name="Percent 3 6 2 2 15" xfId="16054"/>
    <cellStyle name="Percent 3 6 2 2 16" xfId="16055"/>
    <cellStyle name="Percent 3 6 2 2 17" xfId="16056"/>
    <cellStyle name="Percent 3 6 2 2 18" xfId="16057"/>
    <cellStyle name="Percent 3 6 2 2 19" xfId="16058"/>
    <cellStyle name="Percent 3 6 2 2 2" xfId="16059"/>
    <cellStyle name="Percent 3 6 2 2 3" xfId="16060"/>
    <cellStyle name="Percent 3 6 2 2 4" xfId="16061"/>
    <cellStyle name="Percent 3 6 2 2 5" xfId="16062"/>
    <cellStyle name="Percent 3 6 2 2 6" xfId="16063"/>
    <cellStyle name="Percent 3 6 2 2 7" xfId="16064"/>
    <cellStyle name="Percent 3 6 2 2 8" xfId="16065"/>
    <cellStyle name="Percent 3 6 2 2 9" xfId="16066"/>
    <cellStyle name="Percent 3 6 2 20" xfId="16067"/>
    <cellStyle name="Percent 3 6 2 3" xfId="16068"/>
    <cellStyle name="Percent 3 6 2 4" xfId="16069"/>
    <cellStyle name="Percent 3 6 2 5" xfId="16070"/>
    <cellStyle name="Percent 3 6 2 6" xfId="16071"/>
    <cellStyle name="Percent 3 6 2 7" xfId="16072"/>
    <cellStyle name="Percent 3 6 2 8" xfId="16073"/>
    <cellStyle name="Percent 3 6 2 9" xfId="16074"/>
    <cellStyle name="Percent 3 6 20" xfId="16075"/>
    <cellStyle name="Percent 3 6 21" xfId="16076"/>
    <cellStyle name="Percent 3 6 3" xfId="16077"/>
    <cellStyle name="Percent 3 6 3 10" xfId="16078"/>
    <cellStyle name="Percent 3 6 3 11" xfId="16079"/>
    <cellStyle name="Percent 3 6 3 12" xfId="16080"/>
    <cellStyle name="Percent 3 6 3 13" xfId="16081"/>
    <cellStyle name="Percent 3 6 3 14" xfId="16082"/>
    <cellStyle name="Percent 3 6 3 15" xfId="16083"/>
    <cellStyle name="Percent 3 6 3 16" xfId="16084"/>
    <cellStyle name="Percent 3 6 3 17" xfId="16085"/>
    <cellStyle name="Percent 3 6 3 18" xfId="16086"/>
    <cellStyle name="Percent 3 6 3 19" xfId="16087"/>
    <cellStyle name="Percent 3 6 3 2" xfId="16088"/>
    <cellStyle name="Percent 3 6 3 3" xfId="16089"/>
    <cellStyle name="Percent 3 6 3 4" xfId="16090"/>
    <cellStyle name="Percent 3 6 3 5" xfId="16091"/>
    <cellStyle name="Percent 3 6 3 6" xfId="16092"/>
    <cellStyle name="Percent 3 6 3 7" xfId="16093"/>
    <cellStyle name="Percent 3 6 3 8" xfId="16094"/>
    <cellStyle name="Percent 3 6 3 9" xfId="16095"/>
    <cellStyle name="Percent 3 6 4" xfId="16096"/>
    <cellStyle name="Percent 3 6 5" xfId="16097"/>
    <cellStyle name="Percent 3 6 6" xfId="16098"/>
    <cellStyle name="Percent 3 6 7" xfId="16099"/>
    <cellStyle name="Percent 3 6 8" xfId="16100"/>
    <cellStyle name="Percent 3 6 9" xfId="16101"/>
    <cellStyle name="Percent 3 60" xfId="16102"/>
    <cellStyle name="Percent 3 61" xfId="16103"/>
    <cellStyle name="Percent 3 62" xfId="16104"/>
    <cellStyle name="Percent 3 63" xfId="16105"/>
    <cellStyle name="Percent 3 64" xfId="16106"/>
    <cellStyle name="Percent 3 65" xfId="16107"/>
    <cellStyle name="Percent 3 66" xfId="16108"/>
    <cellStyle name="Percent 3 67" xfId="16109"/>
    <cellStyle name="Percent 3 68" xfId="16110"/>
    <cellStyle name="Percent 3 69" xfId="16111"/>
    <cellStyle name="Percent 3 7" xfId="3335"/>
    <cellStyle name="Percent 3 7 10" xfId="16112"/>
    <cellStyle name="Percent 3 7 11" xfId="16113"/>
    <cellStyle name="Percent 3 7 12" xfId="16114"/>
    <cellStyle name="Percent 3 7 13" xfId="16115"/>
    <cellStyle name="Percent 3 7 14" xfId="16116"/>
    <cellStyle name="Percent 3 7 15" xfId="16117"/>
    <cellStyle name="Percent 3 7 16" xfId="16118"/>
    <cellStyle name="Percent 3 7 17" xfId="16119"/>
    <cellStyle name="Percent 3 7 18" xfId="16120"/>
    <cellStyle name="Percent 3 7 19" xfId="16121"/>
    <cellStyle name="Percent 3 7 2" xfId="16122"/>
    <cellStyle name="Percent 3 7 2 10" xfId="16123"/>
    <cellStyle name="Percent 3 7 2 11" xfId="16124"/>
    <cellStyle name="Percent 3 7 2 12" xfId="16125"/>
    <cellStyle name="Percent 3 7 2 13" xfId="16126"/>
    <cellStyle name="Percent 3 7 2 14" xfId="16127"/>
    <cellStyle name="Percent 3 7 2 15" xfId="16128"/>
    <cellStyle name="Percent 3 7 2 16" xfId="16129"/>
    <cellStyle name="Percent 3 7 2 17" xfId="16130"/>
    <cellStyle name="Percent 3 7 2 18" xfId="16131"/>
    <cellStyle name="Percent 3 7 2 19" xfId="16132"/>
    <cellStyle name="Percent 3 7 2 2" xfId="16133"/>
    <cellStyle name="Percent 3 7 2 2 10" xfId="16134"/>
    <cellStyle name="Percent 3 7 2 2 11" xfId="16135"/>
    <cellStyle name="Percent 3 7 2 2 12" xfId="16136"/>
    <cellStyle name="Percent 3 7 2 2 13" xfId="16137"/>
    <cellStyle name="Percent 3 7 2 2 14" xfId="16138"/>
    <cellStyle name="Percent 3 7 2 2 15" xfId="16139"/>
    <cellStyle name="Percent 3 7 2 2 16" xfId="16140"/>
    <cellStyle name="Percent 3 7 2 2 17" xfId="16141"/>
    <cellStyle name="Percent 3 7 2 2 18" xfId="16142"/>
    <cellStyle name="Percent 3 7 2 2 19" xfId="16143"/>
    <cellStyle name="Percent 3 7 2 2 2" xfId="16144"/>
    <cellStyle name="Percent 3 7 2 2 3" xfId="16145"/>
    <cellStyle name="Percent 3 7 2 2 4" xfId="16146"/>
    <cellStyle name="Percent 3 7 2 2 5" xfId="16147"/>
    <cellStyle name="Percent 3 7 2 2 6" xfId="16148"/>
    <cellStyle name="Percent 3 7 2 2 7" xfId="16149"/>
    <cellStyle name="Percent 3 7 2 2 8" xfId="16150"/>
    <cellStyle name="Percent 3 7 2 2 9" xfId="16151"/>
    <cellStyle name="Percent 3 7 2 20" xfId="16152"/>
    <cellStyle name="Percent 3 7 2 3" xfId="16153"/>
    <cellStyle name="Percent 3 7 2 4" xfId="16154"/>
    <cellStyle name="Percent 3 7 2 5" xfId="16155"/>
    <cellStyle name="Percent 3 7 2 6" xfId="16156"/>
    <cellStyle name="Percent 3 7 2 7" xfId="16157"/>
    <cellStyle name="Percent 3 7 2 8" xfId="16158"/>
    <cellStyle name="Percent 3 7 2 9" xfId="16159"/>
    <cellStyle name="Percent 3 7 20" xfId="16160"/>
    <cellStyle name="Percent 3 7 21" xfId="16161"/>
    <cellStyle name="Percent 3 7 3" xfId="16162"/>
    <cellStyle name="Percent 3 7 3 10" xfId="16163"/>
    <cellStyle name="Percent 3 7 3 11" xfId="16164"/>
    <cellStyle name="Percent 3 7 3 12" xfId="16165"/>
    <cellStyle name="Percent 3 7 3 13" xfId="16166"/>
    <cellStyle name="Percent 3 7 3 14" xfId="16167"/>
    <cellStyle name="Percent 3 7 3 15" xfId="16168"/>
    <cellStyle name="Percent 3 7 3 16" xfId="16169"/>
    <cellStyle name="Percent 3 7 3 17" xfId="16170"/>
    <cellStyle name="Percent 3 7 3 18" xfId="16171"/>
    <cellStyle name="Percent 3 7 3 19" xfId="16172"/>
    <cellStyle name="Percent 3 7 3 2" xfId="16173"/>
    <cellStyle name="Percent 3 7 3 3" xfId="16174"/>
    <cellStyle name="Percent 3 7 3 4" xfId="16175"/>
    <cellStyle name="Percent 3 7 3 5" xfId="16176"/>
    <cellStyle name="Percent 3 7 3 6" xfId="16177"/>
    <cellStyle name="Percent 3 7 3 7" xfId="16178"/>
    <cellStyle name="Percent 3 7 3 8" xfId="16179"/>
    <cellStyle name="Percent 3 7 3 9" xfId="16180"/>
    <cellStyle name="Percent 3 7 4" xfId="16181"/>
    <cellStyle name="Percent 3 7 5" xfId="16182"/>
    <cellStyle name="Percent 3 7 6" xfId="16183"/>
    <cellStyle name="Percent 3 7 7" xfId="16184"/>
    <cellStyle name="Percent 3 7 8" xfId="16185"/>
    <cellStyle name="Percent 3 7 9" xfId="16186"/>
    <cellStyle name="Percent 3 70" xfId="16187"/>
    <cellStyle name="Percent 3 71" xfId="16188"/>
    <cellStyle name="Percent 3 72" xfId="16189"/>
    <cellStyle name="Percent 3 73" xfId="16190"/>
    <cellStyle name="Percent 3 74" xfId="16191"/>
    <cellStyle name="Percent 3 75" xfId="16192"/>
    <cellStyle name="Percent 3 76" xfId="16193"/>
    <cellStyle name="Percent 3 77" xfId="16194"/>
    <cellStyle name="Percent 3 8" xfId="3336"/>
    <cellStyle name="Percent 3 8 10" xfId="16195"/>
    <cellStyle name="Percent 3 8 11" xfId="16196"/>
    <cellStyle name="Percent 3 8 12" xfId="16197"/>
    <cellStyle name="Percent 3 8 13" xfId="16198"/>
    <cellStyle name="Percent 3 8 14" xfId="16199"/>
    <cellStyle name="Percent 3 8 15" xfId="16200"/>
    <cellStyle name="Percent 3 8 16" xfId="16201"/>
    <cellStyle name="Percent 3 8 17" xfId="16202"/>
    <cellStyle name="Percent 3 8 18" xfId="16203"/>
    <cellStyle name="Percent 3 8 19" xfId="16204"/>
    <cellStyle name="Percent 3 8 2" xfId="16205"/>
    <cellStyle name="Percent 3 8 2 10" xfId="16206"/>
    <cellStyle name="Percent 3 8 2 11" xfId="16207"/>
    <cellStyle name="Percent 3 8 2 12" xfId="16208"/>
    <cellStyle name="Percent 3 8 2 13" xfId="16209"/>
    <cellStyle name="Percent 3 8 2 14" xfId="16210"/>
    <cellStyle name="Percent 3 8 2 15" xfId="16211"/>
    <cellStyle name="Percent 3 8 2 16" xfId="16212"/>
    <cellStyle name="Percent 3 8 2 17" xfId="16213"/>
    <cellStyle name="Percent 3 8 2 18" xfId="16214"/>
    <cellStyle name="Percent 3 8 2 19" xfId="16215"/>
    <cellStyle name="Percent 3 8 2 2" xfId="16216"/>
    <cellStyle name="Percent 3 8 2 2 10" xfId="16217"/>
    <cellStyle name="Percent 3 8 2 2 11" xfId="16218"/>
    <cellStyle name="Percent 3 8 2 2 12" xfId="16219"/>
    <cellStyle name="Percent 3 8 2 2 13" xfId="16220"/>
    <cellStyle name="Percent 3 8 2 2 14" xfId="16221"/>
    <cellStyle name="Percent 3 8 2 2 15" xfId="16222"/>
    <cellStyle name="Percent 3 8 2 2 16" xfId="16223"/>
    <cellStyle name="Percent 3 8 2 2 17" xfId="16224"/>
    <cellStyle name="Percent 3 8 2 2 18" xfId="16225"/>
    <cellStyle name="Percent 3 8 2 2 19" xfId="16226"/>
    <cellStyle name="Percent 3 8 2 2 2" xfId="16227"/>
    <cellStyle name="Percent 3 8 2 2 3" xfId="16228"/>
    <cellStyle name="Percent 3 8 2 2 4" xfId="16229"/>
    <cellStyle name="Percent 3 8 2 2 5" xfId="16230"/>
    <cellStyle name="Percent 3 8 2 2 6" xfId="16231"/>
    <cellStyle name="Percent 3 8 2 2 7" xfId="16232"/>
    <cellStyle name="Percent 3 8 2 2 8" xfId="16233"/>
    <cellStyle name="Percent 3 8 2 2 9" xfId="16234"/>
    <cellStyle name="Percent 3 8 2 20" xfId="16235"/>
    <cellStyle name="Percent 3 8 2 3" xfId="16236"/>
    <cellStyle name="Percent 3 8 2 4" xfId="16237"/>
    <cellStyle name="Percent 3 8 2 5" xfId="16238"/>
    <cellStyle name="Percent 3 8 2 6" xfId="16239"/>
    <cellStyle name="Percent 3 8 2 7" xfId="16240"/>
    <cellStyle name="Percent 3 8 2 8" xfId="16241"/>
    <cellStyle name="Percent 3 8 2 9" xfId="16242"/>
    <cellStyle name="Percent 3 8 20" xfId="16243"/>
    <cellStyle name="Percent 3 8 21" xfId="16244"/>
    <cellStyle name="Percent 3 8 3" xfId="16245"/>
    <cellStyle name="Percent 3 8 3 10" xfId="16246"/>
    <cellStyle name="Percent 3 8 3 11" xfId="16247"/>
    <cellStyle name="Percent 3 8 3 12" xfId="16248"/>
    <cellStyle name="Percent 3 8 3 13" xfId="16249"/>
    <cellStyle name="Percent 3 8 3 14" xfId="16250"/>
    <cellStyle name="Percent 3 8 3 15" xfId="16251"/>
    <cellStyle name="Percent 3 8 3 16" xfId="16252"/>
    <cellStyle name="Percent 3 8 3 17" xfId="16253"/>
    <cellStyle name="Percent 3 8 3 18" xfId="16254"/>
    <cellStyle name="Percent 3 8 3 19" xfId="16255"/>
    <cellStyle name="Percent 3 8 3 2" xfId="16256"/>
    <cellStyle name="Percent 3 8 3 3" xfId="16257"/>
    <cellStyle name="Percent 3 8 3 4" xfId="16258"/>
    <cellStyle name="Percent 3 8 3 5" xfId="16259"/>
    <cellStyle name="Percent 3 8 3 6" xfId="16260"/>
    <cellStyle name="Percent 3 8 3 7" xfId="16261"/>
    <cellStyle name="Percent 3 8 3 8" xfId="16262"/>
    <cellStyle name="Percent 3 8 3 9" xfId="16263"/>
    <cellStyle name="Percent 3 8 4" xfId="16264"/>
    <cellStyle name="Percent 3 8 5" xfId="16265"/>
    <cellStyle name="Percent 3 8 6" xfId="16266"/>
    <cellStyle name="Percent 3 8 7" xfId="16267"/>
    <cellStyle name="Percent 3 8 8" xfId="16268"/>
    <cellStyle name="Percent 3 8 9" xfId="16269"/>
    <cellStyle name="Percent 3 9" xfId="3337"/>
    <cellStyle name="Percent 3 9 10" xfId="16270"/>
    <cellStyle name="Percent 3 9 11" xfId="16271"/>
    <cellStyle name="Percent 3 9 12" xfId="16272"/>
    <cellStyle name="Percent 3 9 13" xfId="16273"/>
    <cellStyle name="Percent 3 9 14" xfId="16274"/>
    <cellStyle name="Percent 3 9 15" xfId="16275"/>
    <cellStyle name="Percent 3 9 16" xfId="16276"/>
    <cellStyle name="Percent 3 9 17" xfId="16277"/>
    <cellStyle name="Percent 3 9 18" xfId="16278"/>
    <cellStyle name="Percent 3 9 19" xfId="16279"/>
    <cellStyle name="Percent 3 9 2" xfId="16280"/>
    <cellStyle name="Percent 3 9 2 10" xfId="16281"/>
    <cellStyle name="Percent 3 9 2 11" xfId="16282"/>
    <cellStyle name="Percent 3 9 2 12" xfId="16283"/>
    <cellStyle name="Percent 3 9 2 13" xfId="16284"/>
    <cellStyle name="Percent 3 9 2 14" xfId="16285"/>
    <cellStyle name="Percent 3 9 2 15" xfId="16286"/>
    <cellStyle name="Percent 3 9 2 16" xfId="16287"/>
    <cellStyle name="Percent 3 9 2 17" xfId="16288"/>
    <cellStyle name="Percent 3 9 2 18" xfId="16289"/>
    <cellStyle name="Percent 3 9 2 19" xfId="16290"/>
    <cellStyle name="Percent 3 9 2 2" xfId="16291"/>
    <cellStyle name="Percent 3 9 2 2 10" xfId="16292"/>
    <cellStyle name="Percent 3 9 2 2 11" xfId="16293"/>
    <cellStyle name="Percent 3 9 2 2 12" xfId="16294"/>
    <cellStyle name="Percent 3 9 2 2 13" xfId="16295"/>
    <cellStyle name="Percent 3 9 2 2 14" xfId="16296"/>
    <cellStyle name="Percent 3 9 2 2 15" xfId="16297"/>
    <cellStyle name="Percent 3 9 2 2 16" xfId="16298"/>
    <cellStyle name="Percent 3 9 2 2 17" xfId="16299"/>
    <cellStyle name="Percent 3 9 2 2 18" xfId="16300"/>
    <cellStyle name="Percent 3 9 2 2 19" xfId="16301"/>
    <cellStyle name="Percent 3 9 2 2 2" xfId="16302"/>
    <cellStyle name="Percent 3 9 2 2 3" xfId="16303"/>
    <cellStyle name="Percent 3 9 2 2 4" xfId="16304"/>
    <cellStyle name="Percent 3 9 2 2 5" xfId="16305"/>
    <cellStyle name="Percent 3 9 2 2 6" xfId="16306"/>
    <cellStyle name="Percent 3 9 2 2 7" xfId="16307"/>
    <cellStyle name="Percent 3 9 2 2 8" xfId="16308"/>
    <cellStyle name="Percent 3 9 2 2 9" xfId="16309"/>
    <cellStyle name="Percent 3 9 2 20" xfId="16310"/>
    <cellStyle name="Percent 3 9 2 3" xfId="16311"/>
    <cellStyle name="Percent 3 9 2 4" xfId="16312"/>
    <cellStyle name="Percent 3 9 2 5" xfId="16313"/>
    <cellStyle name="Percent 3 9 2 6" xfId="16314"/>
    <cellStyle name="Percent 3 9 2 7" xfId="16315"/>
    <cellStyle name="Percent 3 9 2 8" xfId="16316"/>
    <cellStyle name="Percent 3 9 2 9" xfId="16317"/>
    <cellStyle name="Percent 3 9 20" xfId="16318"/>
    <cellStyle name="Percent 3 9 21" xfId="16319"/>
    <cellStyle name="Percent 3 9 3" xfId="16320"/>
    <cellStyle name="Percent 3 9 3 10" xfId="16321"/>
    <cellStyle name="Percent 3 9 3 11" xfId="16322"/>
    <cellStyle name="Percent 3 9 3 12" xfId="16323"/>
    <cellStyle name="Percent 3 9 3 13" xfId="16324"/>
    <cellStyle name="Percent 3 9 3 14" xfId="16325"/>
    <cellStyle name="Percent 3 9 3 15" xfId="16326"/>
    <cellStyle name="Percent 3 9 3 16" xfId="16327"/>
    <cellStyle name="Percent 3 9 3 17" xfId="16328"/>
    <cellStyle name="Percent 3 9 3 18" xfId="16329"/>
    <cellStyle name="Percent 3 9 3 19" xfId="16330"/>
    <cellStyle name="Percent 3 9 3 2" xfId="16331"/>
    <cellStyle name="Percent 3 9 3 3" xfId="16332"/>
    <cellStyle name="Percent 3 9 3 4" xfId="16333"/>
    <cellStyle name="Percent 3 9 3 5" xfId="16334"/>
    <cellStyle name="Percent 3 9 3 6" xfId="16335"/>
    <cellStyle name="Percent 3 9 3 7" xfId="16336"/>
    <cellStyle name="Percent 3 9 3 8" xfId="16337"/>
    <cellStyle name="Percent 3 9 3 9" xfId="16338"/>
    <cellStyle name="Percent 3 9 4" xfId="16339"/>
    <cellStyle name="Percent 3 9 5" xfId="16340"/>
    <cellStyle name="Percent 3 9 6" xfId="16341"/>
    <cellStyle name="Percent 3 9 7" xfId="16342"/>
    <cellStyle name="Percent 3 9 8" xfId="16343"/>
    <cellStyle name="Percent 3 9 9" xfId="16344"/>
    <cellStyle name="Percent 4" xfId="29"/>
    <cellStyle name="Percent 4 10" xfId="3338"/>
    <cellStyle name="Percent 4 11" xfId="3339"/>
    <cellStyle name="Percent 4 12" xfId="3340"/>
    <cellStyle name="Percent 4 13" xfId="3341"/>
    <cellStyle name="Percent 4 14" xfId="16345"/>
    <cellStyle name="Percent 4 14 10" xfId="16346"/>
    <cellStyle name="Percent 4 14 11" xfId="16347"/>
    <cellStyle name="Percent 4 14 12" xfId="16348"/>
    <cellStyle name="Percent 4 14 13" xfId="16349"/>
    <cellStyle name="Percent 4 14 14" xfId="16350"/>
    <cellStyle name="Percent 4 14 15" xfId="16351"/>
    <cellStyle name="Percent 4 14 16" xfId="16352"/>
    <cellStyle name="Percent 4 14 17" xfId="16353"/>
    <cellStyle name="Percent 4 14 18" xfId="16354"/>
    <cellStyle name="Percent 4 14 19" xfId="16355"/>
    <cellStyle name="Percent 4 14 2" xfId="16356"/>
    <cellStyle name="Percent 4 14 2 10" xfId="16357"/>
    <cellStyle name="Percent 4 14 2 11" xfId="16358"/>
    <cellStyle name="Percent 4 14 2 12" xfId="16359"/>
    <cellStyle name="Percent 4 14 2 13" xfId="16360"/>
    <cellStyle name="Percent 4 14 2 14" xfId="16361"/>
    <cellStyle name="Percent 4 14 2 15" xfId="16362"/>
    <cellStyle name="Percent 4 14 2 16" xfId="16363"/>
    <cellStyle name="Percent 4 14 2 17" xfId="16364"/>
    <cellStyle name="Percent 4 14 2 18" xfId="16365"/>
    <cellStyle name="Percent 4 14 2 19" xfId="16366"/>
    <cellStyle name="Percent 4 14 2 2" xfId="16367"/>
    <cellStyle name="Percent 4 14 2 3" xfId="16368"/>
    <cellStyle name="Percent 4 14 2 4" xfId="16369"/>
    <cellStyle name="Percent 4 14 2 5" xfId="16370"/>
    <cellStyle name="Percent 4 14 2 6" xfId="16371"/>
    <cellStyle name="Percent 4 14 2 7" xfId="16372"/>
    <cellStyle name="Percent 4 14 2 8" xfId="16373"/>
    <cellStyle name="Percent 4 14 2 9" xfId="16374"/>
    <cellStyle name="Percent 4 14 20" xfId="16375"/>
    <cellStyle name="Percent 4 14 3" xfId="16376"/>
    <cellStyle name="Percent 4 14 4" xfId="16377"/>
    <cellStyle name="Percent 4 14 5" xfId="16378"/>
    <cellStyle name="Percent 4 14 6" xfId="16379"/>
    <cellStyle name="Percent 4 14 7" xfId="16380"/>
    <cellStyle name="Percent 4 14 8" xfId="16381"/>
    <cellStyle name="Percent 4 14 9" xfId="16382"/>
    <cellStyle name="Percent 4 15" xfId="16383"/>
    <cellStyle name="Percent 4 15 10" xfId="16384"/>
    <cellStyle name="Percent 4 15 11" xfId="16385"/>
    <cellStyle name="Percent 4 15 12" xfId="16386"/>
    <cellStyle name="Percent 4 15 13" xfId="16387"/>
    <cellStyle name="Percent 4 15 14" xfId="16388"/>
    <cellStyle name="Percent 4 15 15" xfId="16389"/>
    <cellStyle name="Percent 4 15 16" xfId="16390"/>
    <cellStyle name="Percent 4 15 17" xfId="16391"/>
    <cellStyle name="Percent 4 15 18" xfId="16392"/>
    <cellStyle name="Percent 4 15 19" xfId="16393"/>
    <cellStyle name="Percent 4 15 2" xfId="16394"/>
    <cellStyle name="Percent 4 15 3" xfId="16395"/>
    <cellStyle name="Percent 4 15 4" xfId="16396"/>
    <cellStyle name="Percent 4 15 5" xfId="16397"/>
    <cellStyle name="Percent 4 15 6" xfId="16398"/>
    <cellStyle name="Percent 4 15 7" xfId="16399"/>
    <cellStyle name="Percent 4 15 8" xfId="16400"/>
    <cellStyle name="Percent 4 15 9" xfId="16401"/>
    <cellStyle name="Percent 4 16" xfId="16402"/>
    <cellStyle name="Percent 4 17" xfId="16403"/>
    <cellStyle name="Percent 4 18" xfId="16404"/>
    <cellStyle name="Percent 4 19" xfId="16405"/>
    <cellStyle name="Percent 4 2" xfId="3342"/>
    <cellStyle name="Percent 4 20" xfId="16406"/>
    <cellStyle name="Percent 4 21" xfId="16407"/>
    <cellStyle name="Percent 4 22" xfId="16408"/>
    <cellStyle name="Percent 4 23" xfId="16409"/>
    <cellStyle name="Percent 4 24" xfId="16410"/>
    <cellStyle name="Percent 4 25" xfId="16411"/>
    <cellStyle name="Percent 4 26" xfId="16412"/>
    <cellStyle name="Percent 4 27" xfId="16413"/>
    <cellStyle name="Percent 4 28" xfId="16414"/>
    <cellStyle name="Percent 4 29" xfId="16415"/>
    <cellStyle name="Percent 4 3" xfId="3343"/>
    <cellStyle name="Percent 4 30" xfId="16416"/>
    <cellStyle name="Percent 4 31" xfId="16417"/>
    <cellStyle name="Percent 4 32" xfId="16418"/>
    <cellStyle name="Percent 4 33" xfId="16419"/>
    <cellStyle name="Percent 4 4" xfId="3344"/>
    <cellStyle name="Percent 4 5" xfId="3345"/>
    <cellStyle name="Percent 4 6" xfId="3346"/>
    <cellStyle name="Percent 4 7" xfId="3347"/>
    <cellStyle name="Percent 4 8" xfId="3348"/>
    <cellStyle name="Percent 4 9" xfId="3349"/>
    <cellStyle name="Percent 5" xfId="30"/>
    <cellStyle name="Percent 6" xfId="16826"/>
    <cellStyle name="Percent 7" xfId="16827"/>
    <cellStyle name="Percent 8" xfId="16828"/>
    <cellStyle name="PERCENTAGE" xfId="16829"/>
    <cellStyle name="PHANG" xfId="16838"/>
    <cellStyle name="PrePop Currency (0)" xfId="16830"/>
    <cellStyle name="PrePop Currency (2)" xfId="16831"/>
    <cellStyle name="PrePop Units (0)" xfId="16832"/>
    <cellStyle name="PrePop Units (1)" xfId="16833"/>
    <cellStyle name="PrePop Units (2)" xfId="16834"/>
    <cellStyle name="pricing" xfId="16835"/>
    <cellStyle name="PSChar" xfId="16836"/>
    <cellStyle name="PSHeading" xfId="16837"/>
    <cellStyle name="RevList" xfId="16839"/>
    <cellStyle name="S—_x005f_x0008_" xfId="16840"/>
    <cellStyle name="Style 1" xfId="3350"/>
    <cellStyle name="Style 2" xfId="16841"/>
    <cellStyle name="Style 3" xfId="16842"/>
    <cellStyle name="Style 4" xfId="16843"/>
    <cellStyle name="subhead" xfId="16844"/>
    <cellStyle name="Subtotal" xfId="16845"/>
    <cellStyle name="T" xfId="16846"/>
    <cellStyle name="T 2" xfId="16847"/>
    <cellStyle name="T_Secondary June July Aug - incentive" xfId="16848"/>
    <cellStyle name="T_Secondary June July Aug - incentive 2" xfId="16849"/>
    <cellStyle name="T_Tay Bac 1" xfId="16850"/>
    <cellStyle name="T_Tay Bac 1 2" xfId="16851"/>
    <cellStyle name="Text Indent A" xfId="16852"/>
    <cellStyle name="Text Indent B" xfId="16853"/>
    <cellStyle name="Text Indent C" xfId="16854"/>
    <cellStyle name="th" xfId="16858"/>
    <cellStyle name="th 2" xfId="16859"/>
    <cellStyle name="þ_x005f_x001d_ð¤_x005f_x000c_¯þ_x005f_x0014__x005f_x000d_¨þU_x005f_x0001_À_x005f_x0004_ _x005f_x0015__x005f_x000f__x005f_x0001__x005f_x0001_" xfId="16860"/>
    <cellStyle name="þ_x005f_x001d_ðK_x005f_x000c_Fý_x005f_x001b__x005f_x000d_9ýU_x005f_x0001_Ð_x005f_x0008_¦)_x005f_x0007__x005f_x0001__x005f_x0001_" xfId="16861"/>
    <cellStyle name="Times New Roman" xfId="16855"/>
    <cellStyle name="Title 10" xfId="3351"/>
    <cellStyle name="Title 10 2" xfId="16420"/>
    <cellStyle name="Title 11" xfId="3352"/>
    <cellStyle name="Title 11 2" xfId="16421"/>
    <cellStyle name="Title 12" xfId="3353"/>
    <cellStyle name="Title 12 2" xfId="16422"/>
    <cellStyle name="Title 13" xfId="3354"/>
    <cellStyle name="Title 13 2" xfId="16423"/>
    <cellStyle name="Title 14" xfId="3355"/>
    <cellStyle name="Title 14 2" xfId="16424"/>
    <cellStyle name="Title 15" xfId="3356"/>
    <cellStyle name="Title 15 2" xfId="16425"/>
    <cellStyle name="Title 16" xfId="3357"/>
    <cellStyle name="Title 16 2" xfId="16426"/>
    <cellStyle name="Title 17" xfId="3358"/>
    <cellStyle name="Title 17 2" xfId="16427"/>
    <cellStyle name="Title 18" xfId="3359"/>
    <cellStyle name="Title 18 2" xfId="16428"/>
    <cellStyle name="Title 19" xfId="3360"/>
    <cellStyle name="Title 19 2" xfId="16429"/>
    <cellStyle name="Title 2" xfId="3361"/>
    <cellStyle name="Title 2 2" xfId="3362"/>
    <cellStyle name="Title 2 2 2" xfId="16430"/>
    <cellStyle name="Title 2 3" xfId="16431"/>
    <cellStyle name="Title 20" xfId="3363"/>
    <cellStyle name="Title 20 2" xfId="16432"/>
    <cellStyle name="Title 21" xfId="3364"/>
    <cellStyle name="Title 21 2" xfId="16433"/>
    <cellStyle name="Title 22" xfId="3365"/>
    <cellStyle name="Title 22 2" xfId="16434"/>
    <cellStyle name="Title 23" xfId="3366"/>
    <cellStyle name="Title 23 2" xfId="16435"/>
    <cellStyle name="Title 24" xfId="3367"/>
    <cellStyle name="Title 24 2" xfId="16436"/>
    <cellStyle name="Title 25" xfId="3368"/>
    <cellStyle name="Title 25 2" xfId="16437"/>
    <cellStyle name="Title 26" xfId="3369"/>
    <cellStyle name="Title 26 2" xfId="16438"/>
    <cellStyle name="Title 27" xfId="3370"/>
    <cellStyle name="Title 27 2" xfId="16439"/>
    <cellStyle name="Title 28" xfId="3371"/>
    <cellStyle name="Title 28 2" xfId="16440"/>
    <cellStyle name="Title 29" xfId="3372"/>
    <cellStyle name="Title 29 2" xfId="16441"/>
    <cellStyle name="Title 3" xfId="3373"/>
    <cellStyle name="Title 3 2" xfId="16442"/>
    <cellStyle name="Title 30" xfId="3374"/>
    <cellStyle name="Title 30 2" xfId="16443"/>
    <cellStyle name="Title 31" xfId="3375"/>
    <cellStyle name="Title 31 2" xfId="16444"/>
    <cellStyle name="Title 32" xfId="3376"/>
    <cellStyle name="Title 32 2" xfId="16445"/>
    <cellStyle name="Title 33" xfId="3377"/>
    <cellStyle name="Title 33 2" xfId="16446"/>
    <cellStyle name="Title 34" xfId="3378"/>
    <cellStyle name="Title 34 2" xfId="16447"/>
    <cellStyle name="Title 35" xfId="3379"/>
    <cellStyle name="Title 35 2" xfId="16448"/>
    <cellStyle name="Title 36" xfId="3380"/>
    <cellStyle name="Title 36 2" xfId="16449"/>
    <cellStyle name="Title 37" xfId="3381"/>
    <cellStyle name="Title 37 2" xfId="16450"/>
    <cellStyle name="Title 38" xfId="3382"/>
    <cellStyle name="Title 38 2" xfId="16451"/>
    <cellStyle name="Title 39" xfId="3383"/>
    <cellStyle name="Title 39 2" xfId="16452"/>
    <cellStyle name="Title 4" xfId="3384"/>
    <cellStyle name="Title 4 2" xfId="16453"/>
    <cellStyle name="Title 40" xfId="3385"/>
    <cellStyle name="Title 40 2" xfId="16454"/>
    <cellStyle name="Title 41" xfId="3386"/>
    <cellStyle name="Title 41 2" xfId="16455"/>
    <cellStyle name="Title 42" xfId="3387"/>
    <cellStyle name="Title 42 2" xfId="16456"/>
    <cellStyle name="Title 43" xfId="3388"/>
    <cellStyle name="Title 43 2" xfId="16457"/>
    <cellStyle name="Title 44" xfId="3389"/>
    <cellStyle name="Title 44 2" xfId="16458"/>
    <cellStyle name="Title 45" xfId="3390"/>
    <cellStyle name="Title 45 2" xfId="16459"/>
    <cellStyle name="Title 46" xfId="3391"/>
    <cellStyle name="Title 46 2" xfId="16460"/>
    <cellStyle name="Title 47" xfId="3392"/>
    <cellStyle name="Title 47 2" xfId="16461"/>
    <cellStyle name="Title 48" xfId="3393"/>
    <cellStyle name="Title 48 2" xfId="16462"/>
    <cellStyle name="Title 49" xfId="3394"/>
    <cellStyle name="Title 49 2" xfId="16463"/>
    <cellStyle name="Title 5" xfId="3395"/>
    <cellStyle name="Title 5 2" xfId="16464"/>
    <cellStyle name="Title 50" xfId="3396"/>
    <cellStyle name="Title 50 2" xfId="16465"/>
    <cellStyle name="Title 51" xfId="3397"/>
    <cellStyle name="Title 51 2" xfId="16466"/>
    <cellStyle name="Title 52" xfId="3398"/>
    <cellStyle name="Title 52 2" xfId="16467"/>
    <cellStyle name="Title 53" xfId="3399"/>
    <cellStyle name="Title 53 2" xfId="16468"/>
    <cellStyle name="Title 54" xfId="3400"/>
    <cellStyle name="Title 54 2" xfId="16469"/>
    <cellStyle name="Title 55" xfId="3401"/>
    <cellStyle name="Title 55 2" xfId="16470"/>
    <cellStyle name="Title 56" xfId="3402"/>
    <cellStyle name="Title 56 2" xfId="16471"/>
    <cellStyle name="Title 57" xfId="3403"/>
    <cellStyle name="Title 57 2" xfId="16472"/>
    <cellStyle name="Title 58" xfId="3404"/>
    <cellStyle name="Title 58 2" xfId="16473"/>
    <cellStyle name="Title 59" xfId="3405"/>
    <cellStyle name="Title 59 2" xfId="16474"/>
    <cellStyle name="Title 6" xfId="3406"/>
    <cellStyle name="Title 6 2" xfId="16475"/>
    <cellStyle name="Title 60" xfId="16476"/>
    <cellStyle name="Title 7" xfId="3407"/>
    <cellStyle name="Title 7 2" xfId="16477"/>
    <cellStyle name="Title 8" xfId="3408"/>
    <cellStyle name="Title 8 2" xfId="16478"/>
    <cellStyle name="Title 9" xfId="3409"/>
    <cellStyle name="Title 9 2" xfId="16479"/>
    <cellStyle name="Total 10" xfId="3410"/>
    <cellStyle name="Total 10 2" xfId="16480"/>
    <cellStyle name="Total 100" xfId="3411"/>
    <cellStyle name="Total 100 2" xfId="16481"/>
    <cellStyle name="Total 101" xfId="3412"/>
    <cellStyle name="Total 101 2" xfId="16482"/>
    <cellStyle name="Total 102" xfId="16483"/>
    <cellStyle name="Total 103" xfId="16484"/>
    <cellStyle name="Total 104" xfId="16485"/>
    <cellStyle name="Total 105" xfId="16486"/>
    <cellStyle name="Total 106" xfId="16487"/>
    <cellStyle name="Total 107" xfId="16488"/>
    <cellStyle name="Total 108" xfId="16489"/>
    <cellStyle name="Total 109" xfId="16490"/>
    <cellStyle name="Total 11" xfId="3413"/>
    <cellStyle name="Total 11 2" xfId="16491"/>
    <cellStyle name="Total 110" xfId="16492"/>
    <cellStyle name="Total 111" xfId="16493"/>
    <cellStyle name="Total 112" xfId="16494"/>
    <cellStyle name="Total 113" xfId="16495"/>
    <cellStyle name="Total 114" xfId="16496"/>
    <cellStyle name="Total 115" xfId="16497"/>
    <cellStyle name="Total 116" xfId="16498"/>
    <cellStyle name="Total 117" xfId="16499"/>
    <cellStyle name="Total 118" xfId="16500"/>
    <cellStyle name="Total 119" xfId="16501"/>
    <cellStyle name="Total 12" xfId="3414"/>
    <cellStyle name="Total 12 2" xfId="16502"/>
    <cellStyle name="Total 120" xfId="16503"/>
    <cellStyle name="Total 121" xfId="16504"/>
    <cellStyle name="Total 13" xfId="3415"/>
    <cellStyle name="Total 13 2" xfId="16505"/>
    <cellStyle name="Total 14" xfId="3416"/>
    <cellStyle name="Total 14 2" xfId="16506"/>
    <cellStyle name="Total 15" xfId="3417"/>
    <cellStyle name="Total 15 2" xfId="16507"/>
    <cellStyle name="Total 16" xfId="3418"/>
    <cellStyle name="Total 16 2" xfId="16508"/>
    <cellStyle name="Total 17" xfId="3419"/>
    <cellStyle name="Total 17 2" xfId="16509"/>
    <cellStyle name="Total 18" xfId="3420"/>
    <cellStyle name="Total 18 2" xfId="16510"/>
    <cellStyle name="Total 19" xfId="3421"/>
    <cellStyle name="Total 19 2" xfId="16511"/>
    <cellStyle name="Total 2" xfId="3422"/>
    <cellStyle name="Total 2 2" xfId="3423"/>
    <cellStyle name="Total 2 2 2" xfId="16512"/>
    <cellStyle name="Total 2 3" xfId="16513"/>
    <cellStyle name="Total 20" xfId="3424"/>
    <cellStyle name="Total 20 2" xfId="16514"/>
    <cellStyle name="Total 21" xfId="3425"/>
    <cellStyle name="Total 21 2" xfId="16515"/>
    <cellStyle name="Total 22" xfId="3426"/>
    <cellStyle name="Total 22 2" xfId="16516"/>
    <cellStyle name="Total 23" xfId="3427"/>
    <cellStyle name="Total 23 2" xfId="16517"/>
    <cellStyle name="Total 24" xfId="3428"/>
    <cellStyle name="Total 24 2" xfId="16518"/>
    <cellStyle name="Total 25" xfId="3429"/>
    <cellStyle name="Total 25 2" xfId="16519"/>
    <cellStyle name="Total 26" xfId="3430"/>
    <cellStyle name="Total 26 2" xfId="16520"/>
    <cellStyle name="Total 27" xfId="3431"/>
    <cellStyle name="Total 27 2" xfId="16521"/>
    <cellStyle name="Total 28" xfId="3432"/>
    <cellStyle name="Total 28 2" xfId="16522"/>
    <cellStyle name="Total 29" xfId="3433"/>
    <cellStyle name="Total 29 2" xfId="16523"/>
    <cellStyle name="Total 3" xfId="3434"/>
    <cellStyle name="Total 3 2" xfId="16524"/>
    <cellStyle name="Total 30" xfId="3435"/>
    <cellStyle name="Total 30 2" xfId="16525"/>
    <cellStyle name="Total 31" xfId="3436"/>
    <cellStyle name="Total 31 2" xfId="16526"/>
    <cellStyle name="Total 32" xfId="3437"/>
    <cellStyle name="Total 32 2" xfId="16527"/>
    <cellStyle name="Total 33" xfId="3438"/>
    <cellStyle name="Total 33 2" xfId="16528"/>
    <cellStyle name="Total 34" xfId="3439"/>
    <cellStyle name="Total 34 2" xfId="16529"/>
    <cellStyle name="Total 35" xfId="3440"/>
    <cellStyle name="Total 35 2" xfId="16530"/>
    <cellStyle name="Total 36" xfId="3441"/>
    <cellStyle name="Total 36 2" xfId="16531"/>
    <cellStyle name="Total 37" xfId="3442"/>
    <cellStyle name="Total 37 2" xfId="16532"/>
    <cellStyle name="Total 38" xfId="3443"/>
    <cellStyle name="Total 38 2" xfId="16533"/>
    <cellStyle name="Total 39" xfId="3444"/>
    <cellStyle name="Total 39 2" xfId="16534"/>
    <cellStyle name="Total 4" xfId="3445"/>
    <cellStyle name="Total 4 2" xfId="16535"/>
    <cellStyle name="Total 40" xfId="3446"/>
    <cellStyle name="Total 40 2" xfId="16536"/>
    <cellStyle name="Total 41" xfId="3447"/>
    <cellStyle name="Total 41 2" xfId="16537"/>
    <cellStyle name="Total 42" xfId="3448"/>
    <cellStyle name="Total 42 2" xfId="16538"/>
    <cellStyle name="Total 43" xfId="3449"/>
    <cellStyle name="Total 43 2" xfId="16539"/>
    <cellStyle name="Total 44" xfId="3450"/>
    <cellStyle name="Total 44 2" xfId="16540"/>
    <cellStyle name="Total 45" xfId="3451"/>
    <cellStyle name="Total 45 2" xfId="16541"/>
    <cellStyle name="Total 46" xfId="3452"/>
    <cellStyle name="Total 46 2" xfId="16542"/>
    <cellStyle name="Total 47" xfId="3453"/>
    <cellStyle name="Total 47 2" xfId="16543"/>
    <cellStyle name="Total 48" xfId="3454"/>
    <cellStyle name="Total 48 2" xfId="16544"/>
    <cellStyle name="Total 49" xfId="3455"/>
    <cellStyle name="Total 49 2" xfId="16545"/>
    <cellStyle name="Total 5" xfId="3456"/>
    <cellStyle name="Total 5 2" xfId="16546"/>
    <cellStyle name="Total 50" xfId="3457"/>
    <cellStyle name="Total 50 2" xfId="16547"/>
    <cellStyle name="Total 51" xfId="3458"/>
    <cellStyle name="Total 51 2" xfId="16548"/>
    <cellStyle name="Total 52" xfId="3459"/>
    <cellStyle name="Total 52 2" xfId="16549"/>
    <cellStyle name="Total 53" xfId="3460"/>
    <cellStyle name="Total 53 2" xfId="16550"/>
    <cellStyle name="Total 54" xfId="3461"/>
    <cellStyle name="Total 54 2" xfId="16551"/>
    <cellStyle name="Total 55" xfId="3462"/>
    <cellStyle name="Total 55 2" xfId="16552"/>
    <cellStyle name="Total 56" xfId="3463"/>
    <cellStyle name="Total 56 2" xfId="16553"/>
    <cellStyle name="Total 57" xfId="3464"/>
    <cellStyle name="Total 57 2" xfId="16554"/>
    <cellStyle name="Total 58" xfId="3465"/>
    <cellStyle name="Total 58 2" xfId="16555"/>
    <cellStyle name="Total 59" xfId="3466"/>
    <cellStyle name="Total 59 2" xfId="16556"/>
    <cellStyle name="Total 6" xfId="3467"/>
    <cellStyle name="Total 6 2" xfId="16557"/>
    <cellStyle name="Total 60" xfId="3468"/>
    <cellStyle name="Total 60 2" xfId="16558"/>
    <cellStyle name="Total 61" xfId="3469"/>
    <cellStyle name="Total 61 2" xfId="16559"/>
    <cellStyle name="Total 62" xfId="3470"/>
    <cellStyle name="Total 62 2" xfId="16560"/>
    <cellStyle name="Total 63" xfId="3471"/>
    <cellStyle name="Total 63 2" xfId="16561"/>
    <cellStyle name="Total 64" xfId="3472"/>
    <cellStyle name="Total 64 2" xfId="16562"/>
    <cellStyle name="Total 65" xfId="3473"/>
    <cellStyle name="Total 65 2" xfId="16563"/>
    <cellStyle name="Total 66" xfId="3474"/>
    <cellStyle name="Total 66 2" xfId="16564"/>
    <cellStyle name="Total 67" xfId="3475"/>
    <cellStyle name="Total 67 2" xfId="16565"/>
    <cellStyle name="Total 68" xfId="3476"/>
    <cellStyle name="Total 68 2" xfId="16566"/>
    <cellStyle name="Total 69" xfId="3477"/>
    <cellStyle name="Total 69 2" xfId="16567"/>
    <cellStyle name="Total 7" xfId="3478"/>
    <cellStyle name="Total 7 2" xfId="16568"/>
    <cellStyle name="Total 70" xfId="3479"/>
    <cellStyle name="Total 70 2" xfId="16569"/>
    <cellStyle name="Total 71" xfId="3480"/>
    <cellStyle name="Total 71 2" xfId="16570"/>
    <cellStyle name="Total 72" xfId="3481"/>
    <cellStyle name="Total 72 2" xfId="16571"/>
    <cellStyle name="Total 73" xfId="3482"/>
    <cellStyle name="Total 73 2" xfId="16572"/>
    <cellStyle name="Total 74" xfId="3483"/>
    <cellStyle name="Total 74 2" xfId="16573"/>
    <cellStyle name="Total 75" xfId="3484"/>
    <cellStyle name="Total 75 2" xfId="16574"/>
    <cellStyle name="Total 76" xfId="3485"/>
    <cellStyle name="Total 76 2" xfId="16575"/>
    <cellStyle name="Total 77" xfId="3486"/>
    <cellStyle name="Total 77 2" xfId="16576"/>
    <cellStyle name="Total 78" xfId="3487"/>
    <cellStyle name="Total 78 2" xfId="16577"/>
    <cellStyle name="Total 79" xfId="3488"/>
    <cellStyle name="Total 79 2" xfId="16578"/>
    <cellStyle name="Total 8" xfId="3489"/>
    <cellStyle name="Total 8 2" xfId="16579"/>
    <cellStyle name="Total 80" xfId="3490"/>
    <cellStyle name="Total 80 2" xfId="16580"/>
    <cellStyle name="Total 81" xfId="3491"/>
    <cellStyle name="Total 81 2" xfId="16581"/>
    <cellStyle name="Total 82" xfId="3492"/>
    <cellStyle name="Total 82 2" xfId="16582"/>
    <cellStyle name="Total 83" xfId="3493"/>
    <cellStyle name="Total 83 2" xfId="16583"/>
    <cellStyle name="Total 84" xfId="3494"/>
    <cellStyle name="Total 84 2" xfId="16584"/>
    <cellStyle name="Total 85" xfId="3495"/>
    <cellStyle name="Total 85 2" xfId="16585"/>
    <cellStyle name="Total 86" xfId="3496"/>
    <cellStyle name="Total 86 2" xfId="16586"/>
    <cellStyle name="Total 87" xfId="3497"/>
    <cellStyle name="Total 87 2" xfId="16587"/>
    <cellStyle name="Total 88" xfId="3498"/>
    <cellStyle name="Total 88 2" xfId="16588"/>
    <cellStyle name="Total 89" xfId="3499"/>
    <cellStyle name="Total 89 2" xfId="16589"/>
    <cellStyle name="Total 9" xfId="3500"/>
    <cellStyle name="Total 9 2" xfId="16590"/>
    <cellStyle name="Total 90" xfId="3501"/>
    <cellStyle name="Total 90 2" xfId="16591"/>
    <cellStyle name="Total 91" xfId="3502"/>
    <cellStyle name="Total 91 2" xfId="16592"/>
    <cellStyle name="Total 92" xfId="3503"/>
    <cellStyle name="Total 92 2" xfId="16593"/>
    <cellStyle name="Total 93" xfId="3504"/>
    <cellStyle name="Total 93 2" xfId="16594"/>
    <cellStyle name="Total 94" xfId="3505"/>
    <cellStyle name="Total 94 2" xfId="16595"/>
    <cellStyle name="Total 95" xfId="3506"/>
    <cellStyle name="Total 95 2" xfId="16596"/>
    <cellStyle name="Total 96" xfId="3507"/>
    <cellStyle name="Total 96 2" xfId="16597"/>
    <cellStyle name="Total 97" xfId="3508"/>
    <cellStyle name="Total 97 2" xfId="16598"/>
    <cellStyle name="Total 98" xfId="3509"/>
    <cellStyle name="Total 98 2" xfId="16599"/>
    <cellStyle name="Total 99" xfId="3510"/>
    <cellStyle name="Total 99 2" xfId="16600"/>
    <cellStyle name="Tusental (0)_pldt" xfId="16856"/>
    <cellStyle name="Tusental_pldt" xfId="16857"/>
    <cellStyle name="Valuta (0)_pldt" xfId="16862"/>
    <cellStyle name="Valuta_pldt" xfId="16863"/>
    <cellStyle name="viet" xfId="16864"/>
    <cellStyle name="viet2" xfId="16865"/>
    <cellStyle name="viet2 2" xfId="16866"/>
    <cellStyle name="VN new romanNormal" xfId="16867"/>
    <cellStyle name="VN time new roman" xfId="16868"/>
    <cellStyle name="vnbo" xfId="16869"/>
    <cellStyle name="vnbo 2" xfId="16870"/>
    <cellStyle name="vnhead1" xfId="16873"/>
    <cellStyle name="vnhead1 2" xfId="16874"/>
    <cellStyle name="vnhead2" xfId="16875"/>
    <cellStyle name="vnhead2 2" xfId="16876"/>
    <cellStyle name="vnhead3" xfId="16877"/>
    <cellStyle name="vnhead3 2" xfId="16878"/>
    <cellStyle name="vnhead4" xfId="16879"/>
    <cellStyle name="vntxt1" xfId="16871"/>
    <cellStyle name="vntxt2" xfId="16872"/>
    <cellStyle name="Währung [0]_68574_Materialbedarfsliste" xfId="16880"/>
    <cellStyle name="Währung_68574_Materialbedarfsliste" xfId="16881"/>
    <cellStyle name="Warning Text 10" xfId="3511"/>
    <cellStyle name="Warning Text 10 2" xfId="16601"/>
    <cellStyle name="Warning Text 11" xfId="3512"/>
    <cellStyle name="Warning Text 11 2" xfId="16602"/>
    <cellStyle name="Warning Text 12" xfId="3513"/>
    <cellStyle name="Warning Text 12 2" xfId="16603"/>
    <cellStyle name="Warning Text 13" xfId="3514"/>
    <cellStyle name="Warning Text 13 2" xfId="16604"/>
    <cellStyle name="Warning Text 14" xfId="3515"/>
    <cellStyle name="Warning Text 14 2" xfId="16605"/>
    <cellStyle name="Warning Text 15" xfId="3516"/>
    <cellStyle name="Warning Text 15 2" xfId="16606"/>
    <cellStyle name="Warning Text 16" xfId="3517"/>
    <cellStyle name="Warning Text 16 2" xfId="16607"/>
    <cellStyle name="Warning Text 17" xfId="3518"/>
    <cellStyle name="Warning Text 17 2" xfId="16608"/>
    <cellStyle name="Warning Text 18" xfId="3519"/>
    <cellStyle name="Warning Text 18 2" xfId="16609"/>
    <cellStyle name="Warning Text 19" xfId="3520"/>
    <cellStyle name="Warning Text 19 2" xfId="16610"/>
    <cellStyle name="Warning Text 2" xfId="3521"/>
    <cellStyle name="Warning Text 2 2" xfId="3522"/>
    <cellStyle name="Warning Text 2 2 2" xfId="16611"/>
    <cellStyle name="Warning Text 2 3" xfId="16612"/>
    <cellStyle name="Warning Text 20" xfId="3523"/>
    <cellStyle name="Warning Text 20 2" xfId="16613"/>
    <cellStyle name="Warning Text 21" xfId="3524"/>
    <cellStyle name="Warning Text 21 2" xfId="16614"/>
    <cellStyle name="Warning Text 22" xfId="3525"/>
    <cellStyle name="Warning Text 22 2" xfId="16615"/>
    <cellStyle name="Warning Text 23" xfId="3526"/>
    <cellStyle name="Warning Text 23 2" xfId="16616"/>
    <cellStyle name="Warning Text 24" xfId="3527"/>
    <cellStyle name="Warning Text 24 2" xfId="16617"/>
    <cellStyle name="Warning Text 25" xfId="3528"/>
    <cellStyle name="Warning Text 25 2" xfId="16618"/>
    <cellStyle name="Warning Text 26" xfId="3529"/>
    <cellStyle name="Warning Text 26 2" xfId="16619"/>
    <cellStyle name="Warning Text 27" xfId="3530"/>
    <cellStyle name="Warning Text 27 2" xfId="16620"/>
    <cellStyle name="Warning Text 28" xfId="3531"/>
    <cellStyle name="Warning Text 28 2" xfId="16621"/>
    <cellStyle name="Warning Text 29" xfId="3532"/>
    <cellStyle name="Warning Text 29 2" xfId="16622"/>
    <cellStyle name="Warning Text 3" xfId="3533"/>
    <cellStyle name="Warning Text 3 2" xfId="16623"/>
    <cellStyle name="Warning Text 30" xfId="3534"/>
    <cellStyle name="Warning Text 30 2" xfId="16624"/>
    <cellStyle name="Warning Text 31" xfId="3535"/>
    <cellStyle name="Warning Text 31 2" xfId="16625"/>
    <cellStyle name="Warning Text 32" xfId="3536"/>
    <cellStyle name="Warning Text 32 2" xfId="16626"/>
    <cellStyle name="Warning Text 33" xfId="3537"/>
    <cellStyle name="Warning Text 33 2" xfId="16627"/>
    <cellStyle name="Warning Text 34" xfId="3538"/>
    <cellStyle name="Warning Text 34 2" xfId="16628"/>
    <cellStyle name="Warning Text 35" xfId="3539"/>
    <cellStyle name="Warning Text 35 2" xfId="16629"/>
    <cellStyle name="Warning Text 36" xfId="3540"/>
    <cellStyle name="Warning Text 36 2" xfId="16630"/>
    <cellStyle name="Warning Text 37" xfId="3541"/>
    <cellStyle name="Warning Text 37 2" xfId="16631"/>
    <cellStyle name="Warning Text 38" xfId="3542"/>
    <cellStyle name="Warning Text 38 2" xfId="16632"/>
    <cellStyle name="Warning Text 39" xfId="3543"/>
    <cellStyle name="Warning Text 39 2" xfId="16633"/>
    <cellStyle name="Warning Text 4" xfId="3544"/>
    <cellStyle name="Warning Text 4 2" xfId="16634"/>
    <cellStyle name="Warning Text 40" xfId="3545"/>
    <cellStyle name="Warning Text 40 2" xfId="16635"/>
    <cellStyle name="Warning Text 41" xfId="3546"/>
    <cellStyle name="Warning Text 41 2" xfId="16636"/>
    <cellStyle name="Warning Text 42" xfId="3547"/>
    <cellStyle name="Warning Text 42 2" xfId="16637"/>
    <cellStyle name="Warning Text 43" xfId="3548"/>
    <cellStyle name="Warning Text 43 2" xfId="16638"/>
    <cellStyle name="Warning Text 44" xfId="3549"/>
    <cellStyle name="Warning Text 44 2" xfId="16639"/>
    <cellStyle name="Warning Text 45" xfId="3550"/>
    <cellStyle name="Warning Text 45 2" xfId="16640"/>
    <cellStyle name="Warning Text 46" xfId="3551"/>
    <cellStyle name="Warning Text 46 2" xfId="16641"/>
    <cellStyle name="Warning Text 47" xfId="3552"/>
    <cellStyle name="Warning Text 47 2" xfId="16642"/>
    <cellStyle name="Warning Text 48" xfId="3553"/>
    <cellStyle name="Warning Text 48 2" xfId="16643"/>
    <cellStyle name="Warning Text 49" xfId="3554"/>
    <cellStyle name="Warning Text 49 2" xfId="16644"/>
    <cellStyle name="Warning Text 5" xfId="3555"/>
    <cellStyle name="Warning Text 5 2" xfId="16645"/>
    <cellStyle name="Warning Text 50" xfId="3556"/>
    <cellStyle name="Warning Text 50 2" xfId="16646"/>
    <cellStyle name="Warning Text 51" xfId="3557"/>
    <cellStyle name="Warning Text 51 2" xfId="16647"/>
    <cellStyle name="Warning Text 52" xfId="3558"/>
    <cellStyle name="Warning Text 52 2" xfId="16648"/>
    <cellStyle name="Warning Text 53" xfId="3559"/>
    <cellStyle name="Warning Text 53 2" xfId="16649"/>
    <cellStyle name="Warning Text 54" xfId="3560"/>
    <cellStyle name="Warning Text 54 2" xfId="16650"/>
    <cellStyle name="Warning Text 55" xfId="3561"/>
    <cellStyle name="Warning Text 55 2" xfId="16651"/>
    <cellStyle name="Warning Text 56" xfId="3562"/>
    <cellStyle name="Warning Text 56 2" xfId="16652"/>
    <cellStyle name="Warning Text 57" xfId="3563"/>
    <cellStyle name="Warning Text 57 2" xfId="16653"/>
    <cellStyle name="Warning Text 58" xfId="3564"/>
    <cellStyle name="Warning Text 58 2" xfId="16654"/>
    <cellStyle name="Warning Text 59" xfId="3565"/>
    <cellStyle name="Warning Text 59 2" xfId="16655"/>
    <cellStyle name="Warning Text 6" xfId="3566"/>
    <cellStyle name="Warning Text 6 2" xfId="16656"/>
    <cellStyle name="Warning Text 60" xfId="16657"/>
    <cellStyle name="Warning Text 7" xfId="3567"/>
    <cellStyle name="Warning Text 7 2" xfId="16658"/>
    <cellStyle name="Warning Text 8" xfId="3568"/>
    <cellStyle name="Warning Text 8 2" xfId="16659"/>
    <cellStyle name="Warning Text 9" xfId="3569"/>
    <cellStyle name="Warning Text 9 2" xfId="16660"/>
    <cellStyle name="xuan" xfId="16882"/>
    <cellStyle name="センター" xfId="16883"/>
    <cellStyle name="เครื่องหมายสกุลเงิน [0]_FTC_OFFER" xfId="16884"/>
    <cellStyle name="เครื่องหมายสกุลเงิน_FTC_OFFER" xfId="16885"/>
    <cellStyle name="ปกติ_FTC_OFFER" xfId="16886"/>
    <cellStyle name=" [0.00]_ Att. 1- Cover" xfId="16887"/>
    <cellStyle name="_ Att. 1- Cover" xfId="16888"/>
    <cellStyle name="?_ Att. 1- Cover" xfId="16889"/>
    <cellStyle name="똿뗦먛귟 [0.00]_PRODUCT DETAIL Q1" xfId="3570"/>
    <cellStyle name="똿뗦먛귟_PRODUCT DETAIL Q1" xfId="3571"/>
    <cellStyle name="믅됞 [0.00]_PRODUCT DETAIL Q1" xfId="3572"/>
    <cellStyle name="믅됞_PRODUCT DETAIL Q1" xfId="3573"/>
    <cellStyle name="백분율_95" xfId="16890"/>
    <cellStyle name="뷭?_BOOKSHIP" xfId="3574"/>
    <cellStyle name="콤마 [ - 유형1" xfId="16891"/>
    <cellStyle name="콤마 [ - 유형2" xfId="16892"/>
    <cellStyle name="콤마 [ - 유형3" xfId="16893"/>
    <cellStyle name="콤마 [ - 유형4" xfId="16894"/>
    <cellStyle name="콤마 [ - 유형5" xfId="16895"/>
    <cellStyle name="콤마 [ - 유형6" xfId="16896"/>
    <cellStyle name="콤마 [ - 유형7" xfId="16897"/>
    <cellStyle name="콤마 [ - 유형8" xfId="16898"/>
    <cellStyle name="콤마 [0]_ 비목별 월별기술 " xfId="16899"/>
    <cellStyle name="콤마_ 비목별 월별기술 " xfId="16900"/>
    <cellStyle name="통화 [0]_00ss ordersheet" xfId="16901"/>
    <cellStyle name="통화_00ss ordersheet" xfId="16902"/>
    <cellStyle name="표준_(정보부문)월별인원계획" xfId="3575"/>
    <cellStyle name="一般_00Q3902REV.1" xfId="16903"/>
    <cellStyle name="千分位[0]_00Q3902REV.1" xfId="16904"/>
    <cellStyle name="千分位_00Q3902REV.1" xfId="16905"/>
    <cellStyle name="常规_FY 0102 A&amp;P" xfId="16906"/>
    <cellStyle name="桁区切り [0.00]_††††† " xfId="16907"/>
    <cellStyle name="桁区切り_††††† " xfId="16908"/>
    <cellStyle name="標準_List-dwgis" xfId="16909"/>
    <cellStyle name="貨幣 [0]_00Q3902REV.1" xfId="16910"/>
    <cellStyle name="貨幣[0]_BRE" xfId="16911"/>
    <cellStyle name="貨幣_00Q3902REV.1" xfId="16912"/>
    <cellStyle name="通貨 [0.00]_††††† " xfId="16913"/>
    <cellStyle name="通貨_††††† " xfId="1691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THUY%20AN/06.%20HCM%20&amp;%20MT/Ma%20NV%20HC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1.Sell%20in/T4/NBT_Sell%20In_30.04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>Võ Thị Thanh Thủy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>Nguyễn Hồng Phi Yến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>Huỳnh Ngọc Nhu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>Nguyễn Hưng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>Lê Đình Đức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>Nguyễn Thị Thu Huyền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>Thái Bình Dũng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ily 1st Report tách kênh"/>
      <sheetName val="Target"/>
      <sheetName val="Data In"/>
      <sheetName val="Actual shipment"/>
      <sheetName val="Chuyển đổi mã"/>
      <sheetName val="Thông tin NPP"/>
      <sheetName val="Chiết khấu"/>
      <sheetName val="Data chiết khấu"/>
      <sheetName val="Data Vol"/>
      <sheetName val="Data MT"/>
      <sheetName val="Sheet2"/>
      <sheetName val="Sheet3"/>
    </sheetNames>
    <sheetDataSet>
      <sheetData sheetId="0" refreshError="1"/>
      <sheetData sheetId="1">
        <row r="367">
          <cell r="H367">
            <v>39591468.352593102</v>
          </cell>
        </row>
      </sheetData>
      <sheetData sheetId="2" refreshError="1"/>
      <sheetData sheetId="3"/>
      <sheetData sheetId="4" refreshError="1"/>
      <sheetData sheetId="5">
        <row r="1">
          <cell r="A1" t="str">
            <v>CODE chuyển đổi chạy report Sell in MT</v>
          </cell>
          <cell r="F1" t="str">
            <v>CODE chuyển đổi mã ngày</v>
          </cell>
        </row>
        <row r="2">
          <cell r="A2" t="str">
            <v>Cardcode SAP</v>
          </cell>
          <cell r="B2" t="str">
            <v>Card Name</v>
          </cell>
          <cell r="C2" t="str">
            <v>Code run report</v>
          </cell>
          <cell r="F2">
            <v>1</v>
          </cell>
          <cell r="G2" t="str">
            <v>W1</v>
          </cell>
        </row>
        <row r="3">
          <cell r="A3" t="str">
            <v>NPP00000077</v>
          </cell>
          <cell r="B3" t="str">
            <v>SAIGON COOP</v>
          </cell>
          <cell r="C3" t="str">
            <v>SG Coop</v>
          </cell>
          <cell r="F3">
            <v>2</v>
          </cell>
          <cell r="G3" t="str">
            <v>W1</v>
          </cell>
        </row>
        <row r="4">
          <cell r="A4" t="str">
            <v>NPP00000093</v>
          </cell>
          <cell r="B4" t="str">
            <v>SAIGON COOP (Mien Tay)</v>
          </cell>
          <cell r="C4" t="str">
            <v>SG Coop Miền Tây</v>
          </cell>
          <cell r="F4">
            <v>3</v>
          </cell>
          <cell r="G4" t="str">
            <v>W1</v>
          </cell>
        </row>
        <row r="5">
          <cell r="A5" t="str">
            <v>NPP00000140</v>
          </cell>
          <cell r="B5" t="str">
            <v>BIG C - EBS</v>
          </cell>
          <cell r="C5" t="str">
            <v>Big C South</v>
          </cell>
          <cell r="F5">
            <v>4</v>
          </cell>
          <cell r="G5" t="str">
            <v>W1</v>
          </cell>
        </row>
        <row r="6">
          <cell r="A6" t="str">
            <v>NPP00000142</v>
          </cell>
          <cell r="B6" t="str">
            <v>BIG C - DONG NAI</v>
          </cell>
          <cell r="C6" t="str">
            <v>Big C South</v>
          </cell>
          <cell r="F6">
            <v>5</v>
          </cell>
          <cell r="G6" t="str">
            <v>W1</v>
          </cell>
        </row>
        <row r="7">
          <cell r="A7" t="str">
            <v>NPP00000149</v>
          </cell>
          <cell r="B7" t="str">
            <v>BIG C - PHU THANH</v>
          </cell>
          <cell r="C7" t="str">
            <v>Big C South</v>
          </cell>
          <cell r="F7">
            <v>6</v>
          </cell>
          <cell r="G7" t="str">
            <v>W1</v>
          </cell>
        </row>
        <row r="8">
          <cell r="A8" t="str">
            <v>NPP00000158</v>
          </cell>
          <cell r="B8" t="str">
            <v>BIG C - TRUONG CHINH</v>
          </cell>
          <cell r="C8" t="str">
            <v>Big C South</v>
          </cell>
          <cell r="F8">
            <v>7</v>
          </cell>
          <cell r="G8" t="str">
            <v>W2</v>
          </cell>
        </row>
        <row r="9">
          <cell r="A9" t="str">
            <v>NPP00000175</v>
          </cell>
          <cell r="B9" t="str">
            <v>BIG C - AN LAC</v>
          </cell>
          <cell r="C9" t="str">
            <v>Big C South</v>
          </cell>
          <cell r="F9">
            <v>8</v>
          </cell>
          <cell r="G9" t="str">
            <v>W2</v>
          </cell>
        </row>
        <row r="10">
          <cell r="A10" t="str">
            <v>NPP00000176</v>
          </cell>
          <cell r="B10" t="str">
            <v>BIG C - HAI PHONG</v>
          </cell>
          <cell r="C10" t="str">
            <v>Big C North</v>
          </cell>
          <cell r="F10">
            <v>9</v>
          </cell>
          <cell r="G10" t="str">
            <v>W2</v>
          </cell>
        </row>
        <row r="11">
          <cell r="A11" t="str">
            <v>NPP00000177</v>
          </cell>
          <cell r="B11" t="str">
            <v>BIG C - DA NANG</v>
          </cell>
          <cell r="C11" t="str">
            <v>Big C Central</v>
          </cell>
          <cell r="F11">
            <v>10</v>
          </cell>
          <cell r="G11" t="str">
            <v>W2</v>
          </cell>
        </row>
        <row r="12">
          <cell r="A12" t="str">
            <v>NPP00000178</v>
          </cell>
          <cell r="B12" t="str">
            <v>BIG C - GO VAP</v>
          </cell>
          <cell r="C12" t="str">
            <v>Big C South</v>
          </cell>
          <cell r="F12">
            <v>11</v>
          </cell>
          <cell r="G12" t="str">
            <v>W2</v>
          </cell>
        </row>
        <row r="13">
          <cell r="A13" t="str">
            <v>NPP00000179</v>
          </cell>
          <cell r="B13" t="str">
            <v>BIG C - HUE</v>
          </cell>
          <cell r="C13" t="str">
            <v>Big C Central</v>
          </cell>
          <cell r="F13">
            <v>12</v>
          </cell>
          <cell r="G13" t="str">
            <v>W2</v>
          </cell>
        </row>
        <row r="14">
          <cell r="A14" t="str">
            <v>NPP00000180</v>
          </cell>
          <cell r="B14" t="str">
            <v>BIG C - VINH</v>
          </cell>
          <cell r="C14" t="str">
            <v>Big C North</v>
          </cell>
          <cell r="F14">
            <v>13</v>
          </cell>
          <cell r="G14" t="str">
            <v>W2</v>
          </cell>
        </row>
        <row r="15">
          <cell r="A15" t="str">
            <v>NPP00000181</v>
          </cell>
          <cell r="B15" t="str">
            <v>BIG C - NAM DINH</v>
          </cell>
          <cell r="C15" t="str">
            <v>Big C North</v>
          </cell>
          <cell r="F15">
            <v>14</v>
          </cell>
          <cell r="G15" t="str">
            <v>W2</v>
          </cell>
        </row>
        <row r="16">
          <cell r="A16" t="str">
            <v>NPP00000182</v>
          </cell>
          <cell r="B16" t="str">
            <v>BIG C - VINH PHUC</v>
          </cell>
          <cell r="C16" t="str">
            <v>Big C North</v>
          </cell>
          <cell r="F16">
            <v>15</v>
          </cell>
          <cell r="G16" t="str">
            <v>W3</v>
          </cell>
        </row>
        <row r="17">
          <cell r="A17" t="str">
            <v>NPP00000183</v>
          </cell>
          <cell r="B17" t="str">
            <v>BIG C - THANH HOA</v>
          </cell>
          <cell r="C17" t="str">
            <v>Big C North</v>
          </cell>
          <cell r="F17">
            <v>16</v>
          </cell>
          <cell r="G17" t="str">
            <v>W3</v>
          </cell>
        </row>
        <row r="18">
          <cell r="A18" t="str">
            <v>NPP00000184</v>
          </cell>
          <cell r="B18" t="str">
            <v>BIG C - HAI DUONG</v>
          </cell>
          <cell r="C18" t="str">
            <v>Big C North</v>
          </cell>
          <cell r="F18">
            <v>17</v>
          </cell>
          <cell r="G18" t="str">
            <v>W3</v>
          </cell>
        </row>
        <row r="19">
          <cell r="A19" t="str">
            <v>NPP00000185</v>
          </cell>
          <cell r="B19" t="str">
            <v>BIG C - CAN THO</v>
          </cell>
          <cell r="C19" t="str">
            <v>Big C South</v>
          </cell>
          <cell r="F19">
            <v>18</v>
          </cell>
          <cell r="G19" t="str">
            <v>W3</v>
          </cell>
        </row>
        <row r="20">
          <cell r="A20" t="str">
            <v>NPP00000186</v>
          </cell>
          <cell r="B20" t="str">
            <v>BIG C - BINH DUONG</v>
          </cell>
          <cell r="C20" t="str">
            <v>Big C South</v>
          </cell>
          <cell r="F20">
            <v>19</v>
          </cell>
          <cell r="G20" t="str">
            <v>W3</v>
          </cell>
        </row>
        <row r="21">
          <cell r="A21" t="str">
            <v>NPP00000188</v>
          </cell>
          <cell r="B21" t="str">
            <v>BIG C - NINH BINH</v>
          </cell>
          <cell r="C21" t="str">
            <v>Big C North</v>
          </cell>
          <cell r="F21">
            <v>20</v>
          </cell>
          <cell r="G21" t="str">
            <v>W3</v>
          </cell>
        </row>
        <row r="22">
          <cell r="A22" t="str">
            <v>NPP00000189</v>
          </cell>
          <cell r="B22" t="str">
            <v>BIG C - DA LAT</v>
          </cell>
          <cell r="C22" t="str">
            <v>Big C South</v>
          </cell>
          <cell r="F22">
            <v>21</v>
          </cell>
          <cell r="G22" t="str">
            <v>W3</v>
          </cell>
        </row>
        <row r="23">
          <cell r="A23" t="str">
            <v>NPP00000190</v>
          </cell>
          <cell r="B23" t="str">
            <v>BIG C - HA LONG</v>
          </cell>
          <cell r="C23" t="str">
            <v>Big C North</v>
          </cell>
          <cell r="F23">
            <v>22</v>
          </cell>
          <cell r="G23" t="str">
            <v>W4</v>
          </cell>
        </row>
        <row r="24">
          <cell r="A24" t="str">
            <v>NPP00000191</v>
          </cell>
          <cell r="B24" t="str">
            <v>BIG C - AN PHU</v>
          </cell>
          <cell r="C24" t="str">
            <v>Big C South</v>
          </cell>
          <cell r="F24">
            <v>23</v>
          </cell>
          <cell r="G24" t="str">
            <v>W4</v>
          </cell>
        </row>
        <row r="25">
          <cell r="A25" t="str">
            <v>NPP00000193</v>
          </cell>
          <cell r="B25" t="str">
            <v>BIG C - GARDEN MALL</v>
          </cell>
          <cell r="C25" t="str">
            <v>Big C North</v>
          </cell>
          <cell r="F25">
            <v>24</v>
          </cell>
          <cell r="G25" t="str">
            <v>W4</v>
          </cell>
        </row>
        <row r="26">
          <cell r="A26" t="str">
            <v>NPP00000195</v>
          </cell>
          <cell r="B26" t="str">
            <v>BIG C - LONG BIEN</v>
          </cell>
          <cell r="C26" t="str">
            <v>Big C North</v>
          </cell>
          <cell r="F26">
            <v>25</v>
          </cell>
          <cell r="G26" t="str">
            <v>W4</v>
          </cell>
        </row>
        <row r="27">
          <cell r="A27" t="str">
            <v>NPP00000196</v>
          </cell>
          <cell r="B27" t="str">
            <v>BIG C - ME LINH</v>
          </cell>
          <cell r="C27" t="str">
            <v>Big C North</v>
          </cell>
          <cell r="F27">
            <v>26</v>
          </cell>
          <cell r="G27" t="str">
            <v>W4</v>
          </cell>
        </row>
        <row r="28">
          <cell r="A28" t="str">
            <v>NPP00000197</v>
          </cell>
          <cell r="B28" t="str">
            <v>BIG C - MIEN DONG</v>
          </cell>
          <cell r="C28" t="str">
            <v>Big C South</v>
          </cell>
          <cell r="F28">
            <v>27</v>
          </cell>
          <cell r="G28" t="str">
            <v>W4</v>
          </cell>
        </row>
        <row r="29">
          <cell r="A29" t="str">
            <v>NPP00000198</v>
          </cell>
          <cell r="B29" t="str">
            <v>BIG C - NHA TRANG</v>
          </cell>
          <cell r="C29" t="str">
            <v>Big C South</v>
          </cell>
          <cell r="F29">
            <v>28</v>
          </cell>
          <cell r="G29" t="str">
            <v>W4</v>
          </cell>
        </row>
        <row r="30">
          <cell r="A30" t="str">
            <v>NPP00000200</v>
          </cell>
          <cell r="B30" t="str">
            <v>BIG C - THANG LONG</v>
          </cell>
          <cell r="C30" t="str">
            <v>Big C North</v>
          </cell>
          <cell r="F30">
            <v>29</v>
          </cell>
          <cell r="G30" t="str">
            <v>W5</v>
          </cell>
        </row>
        <row r="31">
          <cell r="A31" t="str">
            <v>NPP00000207</v>
          </cell>
          <cell r="B31" t="str">
            <v>BIG C - DI AN</v>
          </cell>
          <cell r="C31" t="str">
            <v>Big C South</v>
          </cell>
          <cell r="F31">
            <v>30</v>
          </cell>
          <cell r="G31" t="str">
            <v>W5</v>
          </cell>
        </row>
        <row r="32">
          <cell r="A32" t="str">
            <v>NPP00000213</v>
          </cell>
          <cell r="B32" t="str">
            <v>BIG C- BAC GIANG</v>
          </cell>
          <cell r="C32" t="str">
            <v>Big C North</v>
          </cell>
          <cell r="F32">
            <v>31</v>
          </cell>
          <cell r="G32" t="str">
            <v>W5</v>
          </cell>
        </row>
        <row r="33">
          <cell r="A33" t="str">
            <v>NPP00000217</v>
          </cell>
          <cell r="B33" t="str">
            <v>BIG C- HO GUOM</v>
          </cell>
          <cell r="C33" t="str">
            <v>Big C North</v>
          </cell>
        </row>
        <row r="34">
          <cell r="A34" t="str">
            <v>NPP00000218</v>
          </cell>
          <cell r="B34" t="str">
            <v>BIG C- QUY NHON</v>
          </cell>
          <cell r="C34" t="str">
            <v>Big C Central</v>
          </cell>
        </row>
        <row r="35">
          <cell r="A35" t="str">
            <v>NPP00000227</v>
          </cell>
          <cell r="B35" t="str">
            <v>LOTTE NAM SAIGON</v>
          </cell>
          <cell r="C35" t="str">
            <v>Lotte South</v>
          </cell>
        </row>
        <row r="36">
          <cell r="A36" t="str">
            <v>NPP00000228</v>
          </cell>
          <cell r="B36" t="str">
            <v>LOTTE PHU THO</v>
          </cell>
          <cell r="C36" t="str">
            <v>Lotte South</v>
          </cell>
        </row>
        <row r="37">
          <cell r="A37" t="str">
            <v>NPP00000229</v>
          </cell>
          <cell r="B37" t="str">
            <v>LOTTE BINH DUONG</v>
          </cell>
          <cell r="C37" t="str">
            <v>Lotte South</v>
          </cell>
        </row>
        <row r="38">
          <cell r="A38" t="str">
            <v>NPP00000230</v>
          </cell>
          <cell r="B38" t="str">
            <v>LOTTE DONG NAI</v>
          </cell>
          <cell r="C38" t="str">
            <v>Lotte South</v>
          </cell>
        </row>
        <row r="39">
          <cell r="A39" t="str">
            <v>NPP00000231</v>
          </cell>
          <cell r="B39" t="str">
            <v>LOTTE TAN BINH</v>
          </cell>
          <cell r="C39" t="str">
            <v>Lotte South</v>
          </cell>
        </row>
        <row r="40">
          <cell r="A40" t="str">
            <v>NPP00000232</v>
          </cell>
          <cell r="B40" t="str">
            <v>LOTTE DONG DA</v>
          </cell>
          <cell r="C40" t="str">
            <v>Lotte North</v>
          </cell>
        </row>
        <row r="41">
          <cell r="A41" t="str">
            <v>NPP00000233</v>
          </cell>
          <cell r="B41" t="str">
            <v>LOTTE BA DINH</v>
          </cell>
          <cell r="C41" t="str">
            <v>Lotte North</v>
          </cell>
        </row>
        <row r="42">
          <cell r="A42" t="str">
            <v>NPP00000234</v>
          </cell>
          <cell r="B42" t="str">
            <v>LOTTE DA NANG</v>
          </cell>
          <cell r="C42" t="str">
            <v>Lotte Central</v>
          </cell>
        </row>
        <row r="43">
          <cell r="A43" t="str">
            <v>NPP00000235</v>
          </cell>
          <cell r="B43" t="str">
            <v>LOTTE VUNG TAU</v>
          </cell>
          <cell r="C43" t="str">
            <v>Lotte South</v>
          </cell>
        </row>
        <row r="44">
          <cell r="A44" t="str">
            <v>NPP00000236</v>
          </cell>
          <cell r="B44" t="str">
            <v>LOTTE PHAN THIET</v>
          </cell>
          <cell r="C44" t="str">
            <v>Lotte South</v>
          </cell>
        </row>
        <row r="45">
          <cell r="A45" t="str">
            <v>NPP00000237</v>
          </cell>
          <cell r="B45" t="str">
            <v>LOTTE CAN THO</v>
          </cell>
          <cell r="C45" t="str">
            <v>Lotte South</v>
          </cell>
        </row>
        <row r="46">
          <cell r="A46" t="str">
            <v>NPP00000239</v>
          </cell>
          <cell r="B46" t="str">
            <v>LOTTE NHA TRANG</v>
          </cell>
          <cell r="C46" t="str">
            <v>Lotte South</v>
          </cell>
        </row>
        <row r="47">
          <cell r="A47" t="str">
            <v>NPP00000257</v>
          </cell>
          <cell r="B47" t="str">
            <v>BIG C - NGUYEN THI THAP</v>
          </cell>
          <cell r="C47" t="str">
            <v>Big C South</v>
          </cell>
        </row>
        <row r="48">
          <cell r="A48" t="str">
            <v>NPP00000277</v>
          </cell>
          <cell r="B48" t="str">
            <v>BIG C - TAN HIEP</v>
          </cell>
          <cell r="C48" t="str">
            <v>Big C South</v>
          </cell>
        </row>
        <row r="49">
          <cell r="A49" t="str">
            <v>NPP00000279</v>
          </cell>
          <cell r="B49" t="str">
            <v>MM Mega - Mien Nam - 71</v>
          </cell>
          <cell r="C49" t="str">
            <v>Metro South</v>
          </cell>
        </row>
        <row r="50">
          <cell r="A50" t="str">
            <v>NPP00000280</v>
          </cell>
          <cell r="B50" t="str">
            <v>MM Mega - Mien Bac - 72</v>
          </cell>
          <cell r="C50" t="str">
            <v>Metro North</v>
          </cell>
        </row>
        <row r="51">
          <cell r="A51" t="str">
            <v>NPP00000287</v>
          </cell>
          <cell r="B51" t="str">
            <v>LOTTE GO VAP</v>
          </cell>
          <cell r="C51" t="str">
            <v>Lotte South</v>
          </cell>
        </row>
        <row r="52">
          <cell r="A52" t="str">
            <v>NPP00000359</v>
          </cell>
          <cell r="B52" t="str">
            <v>BIG C - LE TRONG TAN</v>
          </cell>
          <cell r="C52" t="str">
            <v>Big C North</v>
          </cell>
        </row>
        <row r="53">
          <cell r="A53" t="str">
            <v>NPP00000192</v>
          </cell>
          <cell r="B53" t="str">
            <v>BIG C - CEXPRESS</v>
          </cell>
          <cell r="C53" t="str">
            <v>Big C South</v>
          </cell>
        </row>
        <row r="54">
          <cell r="A54" t="str">
            <v>NPP00000332</v>
          </cell>
          <cell r="B54" t="str">
            <v>BIG C - THAO DIEN</v>
          </cell>
          <cell r="C54" t="str">
            <v>Big C South</v>
          </cell>
        </row>
        <row r="55">
          <cell r="A55" t="str">
            <v>NPP00000361</v>
          </cell>
          <cell r="B55" t="str">
            <v>BIG C - AU CO</v>
          </cell>
          <cell r="C55" t="str">
            <v>Big C South</v>
          </cell>
        </row>
        <row r="56">
          <cell r="A56" t="str">
            <v>NPP00000187</v>
          </cell>
          <cell r="B56" t="str">
            <v>BIG C - VIET TRI</v>
          </cell>
          <cell r="C56" t="str">
            <v>Big C North</v>
          </cell>
        </row>
        <row r="57">
          <cell r="A57" t="str">
            <v>NPP00000432</v>
          </cell>
          <cell r="B57" t="str">
            <v>SAIGON COOP</v>
          </cell>
          <cell r="C57" t="str">
            <v>SG Coop</v>
          </cell>
        </row>
        <row r="58">
          <cell r="A58" t="str">
            <v>NPP00000466</v>
          </cell>
          <cell r="B58" t="str">
            <v>BIG C - MY THO</v>
          </cell>
          <cell r="C58" t="str">
            <v>Big C South</v>
          </cell>
        </row>
        <row r="59">
          <cell r="A59" t="str">
            <v>NPP00000479</v>
          </cell>
          <cell r="B59" t="str">
            <v>LOTTE CAU GIAY</v>
          </cell>
          <cell r="C59" t="str">
            <v>Lotte North</v>
          </cell>
        </row>
      </sheetData>
      <sheetData sheetId="6">
        <row r="3">
          <cell r="B3" t="str">
            <v>NPP</v>
          </cell>
          <cell r="C3" t="str">
            <v>NPP</v>
          </cell>
          <cell r="D3" t="str">
            <v>NPP</v>
          </cell>
        </row>
        <row r="4">
          <cell r="B4" t="str">
            <v>ANH KIM</v>
          </cell>
          <cell r="C4" t="str">
            <v>ANH KIM</v>
          </cell>
          <cell r="D4" t="str">
            <v>Anh Kim</v>
          </cell>
        </row>
        <row r="5">
          <cell r="B5" t="str">
            <v>ANH THU</v>
          </cell>
          <cell r="C5" t="str">
            <v>ÁNH THU</v>
          </cell>
          <cell r="D5" t="str">
            <v>Ánh Thu</v>
          </cell>
        </row>
        <row r="6">
          <cell r="B6" t="str">
            <v>BACH MAI</v>
          </cell>
          <cell r="C6" t="str">
            <v>BẠCH MAI</v>
          </cell>
          <cell r="D6" t="str">
            <v>Bạch Mai</v>
          </cell>
        </row>
        <row r="7">
          <cell r="B7" t="str">
            <v>BAO LONG</v>
          </cell>
          <cell r="C7" t="str">
            <v>BẢO LONG</v>
          </cell>
          <cell r="D7" t="str">
            <v>Bảo Long</v>
          </cell>
        </row>
        <row r="8">
          <cell r="B8" t="str">
            <v>BE TAN</v>
          </cell>
          <cell r="C8" t="str">
            <v>BÉ TÂN</v>
          </cell>
          <cell r="D8" t="str">
            <v>Bé Tân</v>
          </cell>
        </row>
        <row r="9">
          <cell r="B9" t="str">
            <v>BICH NGOC</v>
          </cell>
          <cell r="C9" t="str">
            <v>BÍCH NGỌC</v>
          </cell>
          <cell r="D9" t="str">
            <v>Bích Ngọc</v>
          </cell>
        </row>
        <row r="10">
          <cell r="B10" t="str">
            <v>BINH AN</v>
          </cell>
          <cell r="C10" t="str">
            <v>BÌNH ÂN</v>
          </cell>
          <cell r="D10" t="str">
            <v>Bình Ân</v>
          </cell>
        </row>
        <row r="11">
          <cell r="B11" t="str">
            <v>CHUC NGUYEN</v>
          </cell>
          <cell r="C11" t="str">
            <v>CHÚC NGUYỄN</v>
          </cell>
          <cell r="D11" t="str">
            <v>M_Agent Chúc Nguyễn</v>
          </cell>
        </row>
        <row r="12">
          <cell r="B12" t="str">
            <v>CONG PHU</v>
          </cell>
          <cell r="C12" t="str">
            <v>CÔNG PHU</v>
          </cell>
          <cell r="D12" t="str">
            <v>Công Phu</v>
          </cell>
        </row>
        <row r="13">
          <cell r="B13" t="str">
            <v>DUY TRINH</v>
          </cell>
          <cell r="C13" t="str">
            <v>DUY TRỊNH</v>
          </cell>
          <cell r="D13" t="str">
            <v>Duy Trịnh</v>
          </cell>
        </row>
        <row r="14">
          <cell r="B14" t="str">
            <v>GIA NGHI</v>
          </cell>
          <cell r="C14" t="str">
            <v>GIA NGHI</v>
          </cell>
          <cell r="D14" t="str">
            <v>C_Agent Gia Nghi</v>
          </cell>
        </row>
        <row r="15">
          <cell r="B15" t="str">
            <v>GIANG THI HOA</v>
          </cell>
          <cell r="C15" t="str">
            <v>GIANG THỊ HOA</v>
          </cell>
          <cell r="D15" t="str">
            <v>N_Agent Giang Thị Hoa</v>
          </cell>
        </row>
        <row r="16">
          <cell r="B16" t="str">
            <v>HIEU TAN</v>
          </cell>
          <cell r="C16" t="str">
            <v>HiẾU TẤN</v>
          </cell>
          <cell r="D16" t="str">
            <v>Hiếu Tấn</v>
          </cell>
        </row>
        <row r="17">
          <cell r="B17" t="str">
            <v>HO THI THANH VI</v>
          </cell>
          <cell r="C17" t="str">
            <v>THANH VI</v>
          </cell>
          <cell r="D17" t="str">
            <v>E_Agent Thanh Vi</v>
          </cell>
        </row>
        <row r="18">
          <cell r="B18" t="str">
            <v>HOA SON</v>
          </cell>
          <cell r="C18" t="str">
            <v>HOA SƠN</v>
          </cell>
          <cell r="D18" t="str">
            <v>Hoa Sơn</v>
          </cell>
        </row>
        <row r="19">
          <cell r="B19" t="str">
            <v>HOANG DAI DUONG</v>
          </cell>
          <cell r="C19" t="str">
            <v>HOÀNG ĐẠI DƯƠNG</v>
          </cell>
          <cell r="D19" t="str">
            <v>Hoàng Đại Dương</v>
          </cell>
        </row>
        <row r="20">
          <cell r="B20" t="str">
            <v>HOANG HUY PHAT</v>
          </cell>
          <cell r="C20" t="str">
            <v>HOÀNG HUY PHÁT</v>
          </cell>
          <cell r="D20" t="str">
            <v>Hoàng Huy Phát</v>
          </cell>
        </row>
        <row r="21">
          <cell r="B21" t="str">
            <v>HOANG LAN</v>
          </cell>
          <cell r="C21" t="str">
            <v>HOÀNG LAN</v>
          </cell>
          <cell r="D21" t="str">
            <v>Hoàng Lan</v>
          </cell>
        </row>
        <row r="22">
          <cell r="B22" t="str">
            <v>HOANG MANH DUONG</v>
          </cell>
          <cell r="C22" t="str">
            <v>HOÀNG MẠNH DƯƠNG</v>
          </cell>
          <cell r="D22" t="str">
            <v>Hoàng Dương</v>
          </cell>
        </row>
        <row r="23">
          <cell r="B23" t="str">
            <v>HTX PHUONG 1</v>
          </cell>
          <cell r="C23" t="str">
            <v>HTX PHƯỜNG 1</v>
          </cell>
          <cell r="D23" t="str">
            <v>HTX Phường 1</v>
          </cell>
        </row>
        <row r="24">
          <cell r="B24" t="str">
            <v>HTX QUAN 11</v>
          </cell>
          <cell r="C24" t="str">
            <v>HTX Q.11</v>
          </cell>
          <cell r="D24" t="str">
            <v>HTX Quận 11</v>
          </cell>
        </row>
        <row r="25">
          <cell r="B25" t="str">
            <v>HUNG LOC</v>
          </cell>
          <cell r="C25" t="str">
            <v>HƯNG LỘC</v>
          </cell>
          <cell r="D25" t="str">
            <v>Hưng Lộc</v>
          </cell>
        </row>
        <row r="26">
          <cell r="B26" t="str">
            <v>HUNG LONG</v>
          </cell>
          <cell r="C26" t="str">
            <v>HƯNG LONG</v>
          </cell>
          <cell r="D26" t="str">
            <v>Hưng Long</v>
          </cell>
        </row>
        <row r="27">
          <cell r="B27" t="str">
            <v>HUNG PHU</v>
          </cell>
          <cell r="C27" t="str">
            <v>HƯNG PHÚ</v>
          </cell>
          <cell r="D27" t="str">
            <v>Hưng Phú</v>
          </cell>
        </row>
        <row r="28">
          <cell r="B28" t="str">
            <v>KHAI NGUYEN</v>
          </cell>
          <cell r="C28" t="str">
            <v>KHAI NGUYÊN</v>
          </cell>
          <cell r="D28" t="str">
            <v>N_Agent Khai Nguyên</v>
          </cell>
        </row>
        <row r="29">
          <cell r="B29" t="str">
            <v>KHANH VAN</v>
          </cell>
          <cell r="C29" t="str">
            <v>KHÁNH VÂN</v>
          </cell>
          <cell r="D29" t="str">
            <v>Khánh Vân</v>
          </cell>
        </row>
        <row r="30">
          <cell r="B30" t="str">
            <v>KIM KHANH</v>
          </cell>
          <cell r="C30" t="str">
            <v>KIM KHÁNH</v>
          </cell>
          <cell r="D30" t="str">
            <v>Kim Khánh</v>
          </cell>
        </row>
        <row r="31">
          <cell r="B31" t="str">
            <v>KY TIEN</v>
          </cell>
          <cell r="C31" t="str">
            <v>KỲ TIÊN</v>
          </cell>
          <cell r="D31" t="str">
            <v>Kỳ Tiên</v>
          </cell>
        </row>
        <row r="32">
          <cell r="B32" t="str">
            <v>LAM AN</v>
          </cell>
          <cell r="C32" t="str">
            <v>LÂM AN</v>
          </cell>
          <cell r="D32" t="str">
            <v>Lâm An</v>
          </cell>
        </row>
        <row r="33">
          <cell r="B33" t="str">
            <v>LAM PHUONG</v>
          </cell>
          <cell r="C33" t="str">
            <v>LAM PHƯƠNG</v>
          </cell>
          <cell r="D33" t="str">
            <v>Lam Phương</v>
          </cell>
        </row>
        <row r="34">
          <cell r="B34" t="str">
            <v>LE HA</v>
          </cell>
          <cell r="C34" t="str">
            <v>LỆ HÀ</v>
          </cell>
          <cell r="D34" t="str">
            <v>Lệ Hà</v>
          </cell>
        </row>
        <row r="35">
          <cell r="B35" t="str">
            <v>LINH PHUONG</v>
          </cell>
          <cell r="C35" t="str">
            <v>LINH PHƯƠNG</v>
          </cell>
          <cell r="D35" t="str">
            <v>Linh Phương</v>
          </cell>
        </row>
        <row r="36">
          <cell r="B36" t="str">
            <v>LOC BINH AN</v>
          </cell>
          <cell r="C36" t="str">
            <v>LỘC BÌNH AN</v>
          </cell>
          <cell r="D36" t="str">
            <v>Lộc Bình An</v>
          </cell>
        </row>
        <row r="37">
          <cell r="B37" t="str">
            <v>LONG KHANH</v>
          </cell>
          <cell r="C37" t="str">
            <v>LONG KHÁNH</v>
          </cell>
          <cell r="D37" t="str">
            <v>Long Khánh</v>
          </cell>
        </row>
        <row r="38">
          <cell r="B38" t="str">
            <v>MINH LE</v>
          </cell>
          <cell r="C38" t="str">
            <v>MINH LỆ</v>
          </cell>
          <cell r="D38" t="str">
            <v>Minh Lệ</v>
          </cell>
        </row>
        <row r="39">
          <cell r="B39" t="str">
            <v>MINH LONG</v>
          </cell>
          <cell r="C39" t="str">
            <v>MINH LONG</v>
          </cell>
          <cell r="D39" t="str">
            <v>M_Agent Minh Long</v>
          </cell>
        </row>
        <row r="40">
          <cell r="B40" t="str">
            <v>MINH NGA</v>
          </cell>
          <cell r="C40" t="str">
            <v>MINH NGA</v>
          </cell>
          <cell r="D40" t="str">
            <v>Minh Nga</v>
          </cell>
        </row>
        <row r="41">
          <cell r="B41" t="str">
            <v>NGAN MINH</v>
          </cell>
          <cell r="C41" t="str">
            <v>NGÂN MINH</v>
          </cell>
          <cell r="D41" t="str">
            <v>Ngân Minh</v>
          </cell>
        </row>
        <row r="42">
          <cell r="B42" t="str">
            <v>NGOC LIEN TAM</v>
          </cell>
          <cell r="C42" t="str">
            <v>NGỌC LIÊN TÂM</v>
          </cell>
          <cell r="D42" t="str">
            <v>Ngọc Liên Tâm</v>
          </cell>
        </row>
        <row r="43">
          <cell r="B43" t="str">
            <v>NGOC NHI 1</v>
          </cell>
          <cell r="C43" t="str">
            <v>NGỌC NHI 1</v>
          </cell>
          <cell r="D43" t="str">
            <v>Ngọc Nhi 1</v>
          </cell>
        </row>
        <row r="44">
          <cell r="B44" t="str">
            <v>NGOC PHUONG</v>
          </cell>
          <cell r="C44" t="str">
            <v>NGỌC PHƯỢNG</v>
          </cell>
          <cell r="D44" t="str">
            <v>Ngọc Phượng</v>
          </cell>
        </row>
        <row r="45">
          <cell r="B45" t="str">
            <v>NGOC THUY</v>
          </cell>
          <cell r="C45" t="str">
            <v>NGỌC THỦY</v>
          </cell>
          <cell r="D45" t="str">
            <v>Ngọc Thủy</v>
          </cell>
        </row>
        <row r="46">
          <cell r="B46" t="str">
            <v>NGUYEN HONG QUANG</v>
          </cell>
          <cell r="C46" t="str">
            <v>HỒNG QUANG</v>
          </cell>
          <cell r="D46" t="str">
            <v>E_Agent Nguyễn Hồng Quang</v>
          </cell>
        </row>
        <row r="47">
          <cell r="B47" t="str">
            <v>NGUYEN NHU GIANG</v>
          </cell>
          <cell r="C47" t="str">
            <v>NGUYỄN NHƯ GIANG</v>
          </cell>
          <cell r="D47" t="str">
            <v>Nguyễn Như Giang</v>
          </cell>
        </row>
        <row r="48">
          <cell r="B48" t="str">
            <v>NGUYEN THI PHUONG</v>
          </cell>
          <cell r="C48" t="str">
            <v>NGUYỄN THỊ PHƯỢNG</v>
          </cell>
          <cell r="D48" t="str">
            <v>Nguyễn Thị Phượng</v>
          </cell>
        </row>
        <row r="49">
          <cell r="B49" t="str">
            <v>NGUYEN THUY HUONG</v>
          </cell>
          <cell r="C49" t="str">
            <v>THÚY HƯỜNG</v>
          </cell>
          <cell r="D49" t="str">
            <v>N_Agent Thúy Hường</v>
          </cell>
        </row>
        <row r="50">
          <cell r="B50" t="str">
            <v>NGUYEN VAN DUONG</v>
          </cell>
          <cell r="C50" t="str">
            <v>NGUYỄN VĂN DƯƠNG</v>
          </cell>
          <cell r="D50" t="str">
            <v>N_Agent Nguyễn Văn Dương</v>
          </cell>
        </row>
        <row r="51">
          <cell r="B51" t="str">
            <v>NGUYEN VAN THIEP</v>
          </cell>
          <cell r="C51" t="str">
            <v>VĂN THIỆP</v>
          </cell>
          <cell r="D51" t="str">
            <v>Văn Thiệp</v>
          </cell>
        </row>
        <row r="52">
          <cell r="B52" t="str">
            <v>NGUYEN VIET HUNG</v>
          </cell>
          <cell r="C52" t="str">
            <v>ViẾT HÙNG</v>
          </cell>
          <cell r="D52" t="str">
            <v>N_Agent Viết Hùng</v>
          </cell>
        </row>
        <row r="53">
          <cell r="B53" t="str">
            <v>NYNA</v>
          </cell>
          <cell r="C53" t="str">
            <v>NYNA</v>
          </cell>
          <cell r="D53" t="str">
            <v>C_Agent Nyna</v>
          </cell>
        </row>
        <row r="54">
          <cell r="B54" t="str">
            <v>PHAM GIA</v>
          </cell>
          <cell r="C54" t="str">
            <v>PHẠM GIA</v>
          </cell>
          <cell r="D54" t="str">
            <v>Phạm Gia</v>
          </cell>
        </row>
        <row r="55">
          <cell r="B55" t="str">
            <v>PHAM THANH</v>
          </cell>
          <cell r="C55" t="str">
            <v>PHẠM THANH</v>
          </cell>
          <cell r="D55" t="str">
            <v>Phạm Thanh</v>
          </cell>
        </row>
        <row r="56">
          <cell r="B56" t="str">
            <v>PHAM THE LIEM</v>
          </cell>
          <cell r="C56" t="str">
            <v>PHẠM THẾ LIÊM</v>
          </cell>
          <cell r="D56" t="str">
            <v>Phạm Thế Liêm</v>
          </cell>
        </row>
        <row r="57">
          <cell r="B57" t="str">
            <v>PHUC ANH</v>
          </cell>
          <cell r="C57" t="str">
            <v>PHÚC ANH</v>
          </cell>
          <cell r="D57" t="str">
            <v>Phúc Anh</v>
          </cell>
        </row>
        <row r="58">
          <cell r="B58" t="str">
            <v>PHUC ANH SG</v>
          </cell>
          <cell r="C58" t="str">
            <v>PHÚC ANH</v>
          </cell>
          <cell r="D58" t="str">
            <v>Phúc Anh</v>
          </cell>
        </row>
        <row r="59">
          <cell r="B59" t="str">
            <v>PHUONG TRAM</v>
          </cell>
          <cell r="C59" t="str">
            <v>PHƯƠNG TRÂM</v>
          </cell>
          <cell r="D59" t="str">
            <v>Phương Trâm</v>
          </cell>
        </row>
        <row r="60">
          <cell r="B60" t="str">
            <v>QUACH GIANG NAM</v>
          </cell>
          <cell r="C60" t="str">
            <v>QUÁCH GIANG NAM</v>
          </cell>
          <cell r="D60" t="str">
            <v>N_Agent Quách Giang Nam</v>
          </cell>
        </row>
        <row r="61">
          <cell r="B61" t="str">
            <v>QUOC HUNG</v>
          </cell>
          <cell r="C61" t="str">
            <v>QuỐC HÙNG</v>
          </cell>
          <cell r="D61" t="str">
            <v>Quốc Hùng</v>
          </cell>
        </row>
        <row r="62">
          <cell r="B62" t="str">
            <v>QUYNH TRANG</v>
          </cell>
          <cell r="C62" t="str">
            <v>QuỲNH TRANG</v>
          </cell>
          <cell r="D62" t="str">
            <v>Quỳnh Trang</v>
          </cell>
        </row>
        <row r="63">
          <cell r="B63" t="str">
            <v>SAIGON COOP</v>
          </cell>
          <cell r="C63" t="str">
            <v>SÀI GÒN CO.OP</v>
          </cell>
          <cell r="D63" t="str">
            <v>SÀI GÒN CO.OP</v>
          </cell>
        </row>
        <row r="64">
          <cell r="B64" t="str">
            <v>SON HA</v>
          </cell>
          <cell r="C64" t="str">
            <v>SƠN HÀ</v>
          </cell>
          <cell r="D64" t="str">
            <v>Sơn Hà</v>
          </cell>
        </row>
        <row r="65">
          <cell r="B65" t="str">
            <v>TAM TRANG</v>
          </cell>
          <cell r="C65" t="str">
            <v>TÂM TRANG</v>
          </cell>
          <cell r="D65" t="str">
            <v>Tâm Trang</v>
          </cell>
        </row>
        <row r="66">
          <cell r="B66" t="str">
            <v>THANH DAT</v>
          </cell>
          <cell r="C66" t="str">
            <v>THÀNH ĐẠT</v>
          </cell>
          <cell r="D66" t="str">
            <v>Thành Đạt</v>
          </cell>
        </row>
        <row r="67">
          <cell r="B67" t="str">
            <v>THANH LIEM</v>
          </cell>
          <cell r="C67" t="str">
            <v>THANH LIÊM</v>
          </cell>
          <cell r="D67" t="str">
            <v>THANH LIÊM</v>
          </cell>
        </row>
        <row r="68">
          <cell r="B68" t="str">
            <v>THAO LOC</v>
          </cell>
          <cell r="C68" t="str">
            <v>THẢO LỘC</v>
          </cell>
          <cell r="D68" t="str">
            <v>Thảo Lộc</v>
          </cell>
        </row>
        <row r="69">
          <cell r="B69" t="str">
            <v>THIEN NGA</v>
          </cell>
          <cell r="C69" t="str">
            <v>THIÊN NGA</v>
          </cell>
          <cell r="D69" t="str">
            <v>Thiên Nga</v>
          </cell>
        </row>
        <row r="70">
          <cell r="B70" t="str">
            <v>THIEN TUAN</v>
          </cell>
          <cell r="C70" t="str">
            <v>THIÊN TuẤN</v>
          </cell>
          <cell r="D70" t="str">
            <v>Thiên tuấn</v>
          </cell>
        </row>
        <row r="71">
          <cell r="B71" t="str">
            <v>THIEU THI THU THUY</v>
          </cell>
          <cell r="C71" t="str">
            <v>THU THỦY</v>
          </cell>
          <cell r="D71" t="str">
            <v>C_Agent Thu Thủy</v>
          </cell>
        </row>
        <row r="72">
          <cell r="B72" t="str">
            <v>THINH PHAT</v>
          </cell>
          <cell r="C72" t="str">
            <v>THỊNH PHÁT - HCM</v>
          </cell>
          <cell r="D72" t="str">
            <v>Thịnh Phát</v>
          </cell>
        </row>
        <row r="73">
          <cell r="B73" t="str">
            <v>THU HONG</v>
          </cell>
          <cell r="C73" t="str">
            <v>THU HỒNG</v>
          </cell>
          <cell r="D73" t="str">
            <v>Thu Hồng</v>
          </cell>
        </row>
        <row r="74">
          <cell r="B74" t="str">
            <v>THUAN THOA</v>
          </cell>
          <cell r="C74" t="str">
            <v>THUẬN THOA</v>
          </cell>
          <cell r="D74" t="str">
            <v>Thuận Thoa</v>
          </cell>
        </row>
        <row r="75">
          <cell r="B75" t="str">
            <v>TRA HOANG GIA</v>
          </cell>
          <cell r="C75" t="str">
            <v>TRÀ HOÀNG GIA</v>
          </cell>
          <cell r="D75" t="str">
            <v>Trà Hoàng Gia</v>
          </cell>
        </row>
        <row r="76">
          <cell r="B76" t="str">
            <v>TRI NGUYEN</v>
          </cell>
          <cell r="C76" t="str">
            <v>TRÍ NGUYÊN</v>
          </cell>
          <cell r="D76" t="str">
            <v>Trí Nguyên</v>
          </cell>
        </row>
        <row r="77">
          <cell r="B77" t="str">
            <v>TUAN KIET</v>
          </cell>
          <cell r="C77" t="str">
            <v>TuẤN KiỆT</v>
          </cell>
          <cell r="D77" t="str">
            <v>Tuấn Kiệt</v>
          </cell>
        </row>
        <row r="78">
          <cell r="B78" t="str">
            <v>TUAN THANH</v>
          </cell>
          <cell r="C78" t="str">
            <v>TuẤN THÀNH</v>
          </cell>
          <cell r="D78" t="str">
            <v>Tuấn Thành</v>
          </cell>
        </row>
        <row r="79">
          <cell r="B79" t="str">
            <v>TUYET XUAN</v>
          </cell>
          <cell r="C79" t="str">
            <v>TUYẾT XUÂN</v>
          </cell>
          <cell r="D79" t="str">
            <v>Tuyết Xuân</v>
          </cell>
        </row>
        <row r="80">
          <cell r="B80" t="str">
            <v>VAN VUONG</v>
          </cell>
          <cell r="C80" t="str">
            <v>VĂN VƯỢNG</v>
          </cell>
          <cell r="D80" t="str">
            <v>Văn Vượng</v>
          </cell>
        </row>
        <row r="81">
          <cell r="B81" t="str">
            <v>VO THI NHU NHUNG</v>
          </cell>
          <cell r="C81" t="str">
            <v>TƯỜNG LÂM</v>
          </cell>
          <cell r="D81" t="str">
            <v>Huy Tường Lâm</v>
          </cell>
        </row>
        <row r="82">
          <cell r="B82" t="str">
            <v>NGAN LONG</v>
          </cell>
          <cell r="C82" t="str">
            <v>NGÂN LONG</v>
          </cell>
          <cell r="D82" t="str">
            <v>Ngân Long</v>
          </cell>
        </row>
        <row r="83">
          <cell r="B83" t="str">
            <v>BINH MINH</v>
          </cell>
          <cell r="C83" t="str">
            <v>ĐẶNG THỊ HÀ</v>
          </cell>
          <cell r="D83" t="str">
            <v>Đặng Thị Hà</v>
          </cell>
        </row>
        <row r="84">
          <cell r="B84" t="str">
            <v>AN TIEN PHAT</v>
          </cell>
          <cell r="C84" t="str">
            <v>AN TiẾN PHÁT</v>
          </cell>
          <cell r="D84" t="str">
            <v>C_Agent An Tiến Phát</v>
          </cell>
        </row>
        <row r="85">
          <cell r="B85" t="str">
            <v>DANG THI BICH HOA</v>
          </cell>
          <cell r="C85" t="str">
            <v>ĐẶNG THỊ BÍCH HOA</v>
          </cell>
          <cell r="D85" t="str">
            <v>C_Agent Mỹ Long</v>
          </cell>
        </row>
        <row r="86">
          <cell r="B86" t="str">
            <v>THANH HUNG</v>
          </cell>
          <cell r="C86" t="str">
            <v>THANH HÙNG</v>
          </cell>
          <cell r="D86" t="str">
            <v>Thanh Hùng</v>
          </cell>
        </row>
        <row r="87">
          <cell r="B87" t="str">
            <v>MANH LOC</v>
          </cell>
          <cell r="C87" t="str">
            <v>MẠNH LỘC</v>
          </cell>
          <cell r="D87" t="str">
            <v>Mạnh Lộc</v>
          </cell>
        </row>
        <row r="88">
          <cell r="B88" t="str">
            <v>HOAI NAM</v>
          </cell>
          <cell r="C88" t="str">
            <v>HOÀI NAM</v>
          </cell>
          <cell r="D88" t="str">
            <v>Hoài Nam</v>
          </cell>
        </row>
        <row r="89">
          <cell r="B89" t="str">
            <v>NGUYEN THI LIEM</v>
          </cell>
          <cell r="C89" t="str">
            <v>NGUYỄN THỊ LIÊM</v>
          </cell>
          <cell r="D89" t="str">
            <v>Nguyễn Thị Liêm</v>
          </cell>
        </row>
        <row r="90">
          <cell r="B90" t="str">
            <v>NGUYEN BAO ANH</v>
          </cell>
          <cell r="C90" t="str">
            <v>NGUYỄN BẢO ANH</v>
          </cell>
          <cell r="D90" t="str">
            <v>Nguyễn Bảo Anh</v>
          </cell>
        </row>
        <row r="91">
          <cell r="B91" t="str">
            <v>THAI DONG ANH</v>
          </cell>
          <cell r="C91" t="str">
            <v>THÁI ĐÔNG ANH</v>
          </cell>
          <cell r="D91" t="str">
            <v>C_Agent Thái Đông Anh</v>
          </cell>
        </row>
        <row r="92">
          <cell r="B92" t="str">
            <v>QUANG TUYEN</v>
          </cell>
          <cell r="C92" t="str">
            <v>QUANG TUYẾN</v>
          </cell>
          <cell r="D92" t="str">
            <v>Quang Tuyến</v>
          </cell>
        </row>
        <row r="93">
          <cell r="B93" t="str">
            <v>NGUYEN THI HA</v>
          </cell>
          <cell r="C93" t="str">
            <v>NGUYỄN THỊ HÀ</v>
          </cell>
          <cell r="D93" t="str">
            <v>Nguyễn Thị Hà</v>
          </cell>
        </row>
        <row r="94">
          <cell r="B94" t="str">
            <v>LINH NHAN</v>
          </cell>
          <cell r="C94" t="str">
            <v>LINH NHÂN</v>
          </cell>
          <cell r="D94" t="str">
            <v>Linh Nhân</v>
          </cell>
        </row>
        <row r="95">
          <cell r="B95" t="str">
            <v>ANH BINH</v>
          </cell>
          <cell r="C95" t="str">
            <v>ÁNH BÌNH</v>
          </cell>
          <cell r="D95" t="str">
            <v>Ánh Bình</v>
          </cell>
        </row>
        <row r="96">
          <cell r="B96" t="str">
            <v>HOANG NGA</v>
          </cell>
          <cell r="C96" t="str">
            <v>HOÀNG NGA</v>
          </cell>
          <cell r="D96" t="str">
            <v>Hoàng Nga</v>
          </cell>
        </row>
        <row r="97">
          <cell r="B97" t="str">
            <v>SAIGON COOP (Mien Tay)</v>
          </cell>
          <cell r="C97" t="str">
            <v>SÀI GÒN CO.OP MIỀN TÂY</v>
          </cell>
          <cell r="D97" t="str">
            <v>SÀI GÒN CO.OP</v>
          </cell>
        </row>
        <row r="98">
          <cell r="B98" t="str">
            <v>MAI HUONG</v>
          </cell>
          <cell r="C98" t="str">
            <v>MAI HƯƠNG</v>
          </cell>
          <cell r="D98" t="str">
            <v>Mai Hương</v>
          </cell>
        </row>
        <row r="99">
          <cell r="B99" t="str">
            <v>PHUOC DUC</v>
          </cell>
          <cell r="C99" t="str">
            <v>PHƯỚC ĐỨC</v>
          </cell>
          <cell r="D99" t="str">
            <v>Phước Đức</v>
          </cell>
        </row>
        <row r="100">
          <cell r="B100" t="str">
            <v>BUI THI NGA</v>
          </cell>
          <cell r="C100" t="str">
            <v>BÙI THỊ NGA</v>
          </cell>
          <cell r="D100" t="str">
            <v>E_Agent Bùi Thị Nga</v>
          </cell>
        </row>
        <row r="101">
          <cell r="B101" t="str">
            <v>DANG THI HA</v>
          </cell>
          <cell r="C101" t="str">
            <v>ĐẶNG THỊ HÀ</v>
          </cell>
          <cell r="D101" t="str">
            <v>Đặng Thị Hà</v>
          </cell>
        </row>
        <row r="102">
          <cell r="B102" t="str">
            <v>DUC VAN PHAT</v>
          </cell>
          <cell r="C102" t="str">
            <v>ĐỨC VẠN PHÁT</v>
          </cell>
          <cell r="D102" t="str">
            <v>Đức Vạn Phát</v>
          </cell>
        </row>
        <row r="103">
          <cell r="B103" t="str">
            <v>TAN HUNG</v>
          </cell>
          <cell r="C103" t="str">
            <v>TÂN HƯNG</v>
          </cell>
          <cell r="D103" t="str">
            <v>Tân Hưng</v>
          </cell>
        </row>
        <row r="104">
          <cell r="B104" t="str">
            <v>VO THI HONG NGA</v>
          </cell>
          <cell r="C104" t="str">
            <v>VÕ THỊ HỒNG NGA</v>
          </cell>
          <cell r="D104" t="str">
            <v>C_Agent Võ Thị Hồng Nga</v>
          </cell>
        </row>
        <row r="105">
          <cell r="B105" t="str">
            <v>DUC HOANG</v>
          </cell>
          <cell r="C105" t="str">
            <v>ĐỨC HOÀNG</v>
          </cell>
          <cell r="D105" t="str">
            <v>Đức Hoàng</v>
          </cell>
        </row>
        <row r="106">
          <cell r="B106" t="str">
            <v>TANG KIEN QUYET</v>
          </cell>
          <cell r="C106" t="str">
            <v>TĂNG KIÊN QUYẾT</v>
          </cell>
          <cell r="D106" t="str">
            <v>Tăng Kiên Quyết</v>
          </cell>
        </row>
        <row r="107">
          <cell r="B107" t="str">
            <v>TRAN PHONG</v>
          </cell>
          <cell r="C107" t="str">
            <v>TRẦN PHONG</v>
          </cell>
          <cell r="D107" t="str">
            <v>Trần Phong</v>
          </cell>
        </row>
        <row r="108">
          <cell r="B108" t="str">
            <v>NGUYEN MINH DUC</v>
          </cell>
          <cell r="C108" t="str">
            <v>NGUYỄN MINH ĐỨC</v>
          </cell>
          <cell r="D108" t="str">
            <v>Nguyễn Minh Đức</v>
          </cell>
        </row>
        <row r="109">
          <cell r="B109" t="str">
            <v>TRAN THI LAI</v>
          </cell>
          <cell r="C109" t="str">
            <v>NGUYÊN MINH</v>
          </cell>
          <cell r="D109" t="str">
            <v>Nguyên Minh</v>
          </cell>
        </row>
        <row r="110">
          <cell r="B110" t="str">
            <v>QUOC DAT</v>
          </cell>
          <cell r="C110" t="str">
            <v>QuỐC ĐẠT</v>
          </cell>
          <cell r="D110" t="str">
            <v>N_Agent Quốc Đạt</v>
          </cell>
        </row>
        <row r="111">
          <cell r="B111" t="str">
            <v>NABATI</v>
          </cell>
          <cell r="C111" t="str">
            <v>NABATI</v>
          </cell>
          <cell r="D111" t="str">
            <v>Nabati</v>
          </cell>
        </row>
        <row r="112">
          <cell r="B112" t="str">
            <v>THANH HUONG</v>
          </cell>
          <cell r="C112" t="str">
            <v>THANH HƯƠNG</v>
          </cell>
          <cell r="D112" t="str">
            <v>Thanh Hương</v>
          </cell>
        </row>
        <row r="113">
          <cell r="B113" t="str">
            <v>PHAT DAT</v>
          </cell>
          <cell r="C113" t="str">
            <v>PHÁT ĐẠT</v>
          </cell>
          <cell r="D113" t="str">
            <v>Phát Đạt</v>
          </cell>
        </row>
        <row r="114">
          <cell r="B114" t="str">
            <v>VINA LINH</v>
          </cell>
          <cell r="C114" t="str">
            <v>VINA LINH</v>
          </cell>
          <cell r="D114" t="str">
            <v>Vina Linh</v>
          </cell>
        </row>
        <row r="115">
          <cell r="B115" t="str">
            <v>TAN THUY</v>
          </cell>
          <cell r="C115" t="str">
            <v>TÂN THÚY</v>
          </cell>
          <cell r="D115" t="str">
            <v>Tân Thúy</v>
          </cell>
        </row>
        <row r="116">
          <cell r="B116" t="str">
            <v>PHAM HONG OANH</v>
          </cell>
          <cell r="C116" t="str">
            <v>PHẠM HỒNG OÁNH</v>
          </cell>
          <cell r="D116" t="str">
            <v>N_Agent Phạm Hồng Oánh</v>
          </cell>
        </row>
        <row r="117">
          <cell r="B117" t="str">
            <v>METRO - Mien Bac</v>
          </cell>
          <cell r="C117" t="str">
            <v>Metro North</v>
          </cell>
          <cell r="D117" t="str">
            <v>Metro North</v>
          </cell>
        </row>
        <row r="118">
          <cell r="B118" t="str">
            <v>METRO - Mien Nam</v>
          </cell>
          <cell r="C118" t="str">
            <v>Metro South</v>
          </cell>
          <cell r="D118" t="str">
            <v>Metro South</v>
          </cell>
        </row>
        <row r="119">
          <cell r="B119" t="str">
            <v>MM Mega - Mien Nam - 71</v>
          </cell>
          <cell r="C119" t="str">
            <v>Metro South</v>
          </cell>
          <cell r="D119" t="str">
            <v>Metro South</v>
          </cell>
        </row>
        <row r="120">
          <cell r="B120" t="str">
            <v>MM Mega - Mien Bac - 72</v>
          </cell>
          <cell r="C120" t="str">
            <v>Metro North</v>
          </cell>
          <cell r="D120" t="str">
            <v>Metro North</v>
          </cell>
        </row>
        <row r="121">
          <cell r="B121" t="str">
            <v>NGUYEN HUU DONG</v>
          </cell>
          <cell r="C121" t="str">
            <v>NGUYỄN HỮU ĐÔNG</v>
          </cell>
          <cell r="D121" t="str">
            <v>Nguyễn Hữu Đông</v>
          </cell>
        </row>
        <row r="122">
          <cell r="B122" t="str">
            <v>DO DANH HA</v>
          </cell>
          <cell r="C122" t="str">
            <v>ĐỖ DANH HÀ</v>
          </cell>
          <cell r="D122" t="str">
            <v>Đỗ Danh Hà</v>
          </cell>
        </row>
        <row r="123">
          <cell r="B123" t="str">
            <v>HA GIANG</v>
          </cell>
          <cell r="C123" t="str">
            <v>HÀ GIANG</v>
          </cell>
          <cell r="D123" t="str">
            <v>N_Agent Hà Giang</v>
          </cell>
        </row>
        <row r="124">
          <cell r="B124" t="str">
            <v>THINH TRAN (QUYNH TRANG 2)</v>
          </cell>
          <cell r="C124" t="str">
            <v>QuỲNH TRANG</v>
          </cell>
          <cell r="D124" t="str">
            <v>Quỳnh Trang</v>
          </cell>
        </row>
        <row r="125">
          <cell r="B125" t="str">
            <v>TRUONG XUAN HUNG</v>
          </cell>
          <cell r="C125" t="str">
            <v>TRƯƠNG XUÂN HÙNG</v>
          </cell>
          <cell r="D125" t="str">
            <v>Trương Xuân Hùng</v>
          </cell>
        </row>
        <row r="126">
          <cell r="B126" t="str">
            <v>NGUYEN VAN HAU</v>
          </cell>
          <cell r="C126" t="str">
            <v>NGUYỄN VĂN HẬU</v>
          </cell>
          <cell r="D126" t="str">
            <v>Nguyễn Văn Hậu</v>
          </cell>
        </row>
        <row r="127">
          <cell r="B127" t="str">
            <v>MINH PHUONG</v>
          </cell>
          <cell r="C127" t="str">
            <v>MINH PHƯƠNG</v>
          </cell>
          <cell r="D127" t="str">
            <v>Minh Phương</v>
          </cell>
        </row>
        <row r="128">
          <cell r="B128" t="str">
            <v>PHU AN</v>
          </cell>
          <cell r="C128" t="str">
            <v>PHÚ ÂN</v>
          </cell>
          <cell r="D128" t="str">
            <v>Phú Ân</v>
          </cell>
        </row>
        <row r="129">
          <cell r="B129" t="str">
            <v>PHUOC DUC - Agent</v>
          </cell>
          <cell r="C129" t="str">
            <v>PHƯỚC ĐỨC</v>
          </cell>
          <cell r="D129" t="str">
            <v>Phước Đức</v>
          </cell>
        </row>
        <row r="130">
          <cell r="B130" t="str">
            <v>TUAN NHUNG</v>
          </cell>
          <cell r="C130" t="str">
            <v>TuẤN NHUNG</v>
          </cell>
          <cell r="D130" t="str">
            <v>Tuấn Nhung</v>
          </cell>
        </row>
        <row r="131">
          <cell r="B131" t="str">
            <v>HUYNH HOANG PHAT</v>
          </cell>
          <cell r="C131" t="str">
            <v>HuỲNH HOÀNG PHÁT</v>
          </cell>
          <cell r="D131" t="str">
            <v>HUỲNH HOÀNG PHÁT</v>
          </cell>
        </row>
        <row r="132">
          <cell r="B132" t="str">
            <v>HOANG CUONG</v>
          </cell>
          <cell r="C132" t="str">
            <v>HOÀNG CƯỜNG</v>
          </cell>
          <cell r="D132" t="str">
            <v>Hoàng Cường</v>
          </cell>
        </row>
        <row r="133">
          <cell r="B133" t="str">
            <v>TUONG VAN</v>
          </cell>
          <cell r="C133" t="str">
            <v>TƯỜNG VÂN</v>
          </cell>
          <cell r="D133" t="str">
            <v>Tường Vân</v>
          </cell>
        </row>
        <row r="134">
          <cell r="B134" t="str">
            <v>NGUYEN DUNG</v>
          </cell>
          <cell r="C134" t="str">
            <v>NGUYỄN DUNG</v>
          </cell>
          <cell r="D134" t="str">
            <v>NGUYỄN DUNG</v>
          </cell>
        </row>
        <row r="135">
          <cell r="B135" t="str">
            <v>PHUOC DUC - Dist</v>
          </cell>
          <cell r="C135" t="str">
            <v>PHƯỚC ĐỨC</v>
          </cell>
          <cell r="D135" t="str">
            <v>Phước Đức</v>
          </cell>
        </row>
        <row r="136">
          <cell r="B136" t="str">
            <v>NGUYEN MANH HUNG</v>
          </cell>
          <cell r="C136" t="str">
            <v>NGUYỄN MẠNH HÙNG</v>
          </cell>
          <cell r="D136" t="str">
            <v>Nguyễn Mạnh Hùng</v>
          </cell>
        </row>
        <row r="137">
          <cell r="B137" t="str">
            <v>KIM PHAT THINH</v>
          </cell>
          <cell r="C137" t="str">
            <v>KIM PHÁT THỊNH</v>
          </cell>
          <cell r="D137" t="str">
            <v>Kim Phát Thịnh</v>
          </cell>
        </row>
        <row r="138">
          <cell r="B138" t="str">
            <v>ANH KIET</v>
          </cell>
          <cell r="C138" t="str">
            <v>ANH KiỆT</v>
          </cell>
          <cell r="D138" t="str">
            <v>C_Agent Anh Kiệt</v>
          </cell>
        </row>
        <row r="139">
          <cell r="B139" t="str">
            <v>MAT TROI LUA</v>
          </cell>
          <cell r="C139" t="str">
            <v>MẶT TRỜI LỬA</v>
          </cell>
          <cell r="D139" t="str">
            <v>Mặt Trời Lửa</v>
          </cell>
        </row>
        <row r="140">
          <cell r="B140" t="str">
            <v>NGUYEN DANH TUOI</v>
          </cell>
          <cell r="C140" t="str">
            <v>NGUYỄN DANH TƯƠI</v>
          </cell>
          <cell r="D140" t="str">
            <v>Nguyễn Danh Tươi</v>
          </cell>
        </row>
        <row r="141">
          <cell r="B141" t="str">
            <v>BTN</v>
          </cell>
          <cell r="C141" t="str">
            <v>BTN</v>
          </cell>
          <cell r="D141" t="str">
            <v>BTN</v>
          </cell>
        </row>
        <row r="142">
          <cell r="B142" t="str">
            <v>TRINH MANH HUNG</v>
          </cell>
          <cell r="C142" t="str">
            <v>TRỊNH MẠNH HÙNG</v>
          </cell>
          <cell r="D142" t="str">
            <v>Trịnh Mạnh Hùng</v>
          </cell>
        </row>
        <row r="143">
          <cell r="B143" t="str">
            <v>HUNG ANH</v>
          </cell>
          <cell r="C143" t="str">
            <v>HƯNG ANH</v>
          </cell>
          <cell r="D143" t="str">
            <v>Hưng Anh</v>
          </cell>
        </row>
        <row r="144">
          <cell r="B144" t="str">
            <v>NGOC PHUONG VINH LONG</v>
          </cell>
          <cell r="C144" t="str">
            <v>NGỌC PHƯỢNG</v>
          </cell>
          <cell r="D144" t="str">
            <v>Ngọc Phượng</v>
          </cell>
        </row>
        <row r="145">
          <cell r="B145" t="str">
            <v>CONG DINH</v>
          </cell>
          <cell r="C145" t="str">
            <v>CÔNG ĐÍNH</v>
          </cell>
          <cell r="D145" t="str">
            <v>C_Agent Công Đính</v>
          </cell>
        </row>
        <row r="146">
          <cell r="B146" t="str">
            <v>THINH PHAT CA MAU</v>
          </cell>
          <cell r="C146" t="str">
            <v>THỊNH PHÁT CÀ MAU</v>
          </cell>
          <cell r="D146" t="str">
            <v>Thịnh Phát Cà Mau</v>
          </cell>
        </row>
        <row r="147">
          <cell r="B147" t="str">
            <v>NGUYEN VAN CHUNG</v>
          </cell>
          <cell r="C147" t="str">
            <v>NGUYỄN VĂN CHUNG</v>
          </cell>
          <cell r="D147" t="str">
            <v>Nguyễn Văn Chung</v>
          </cell>
        </row>
        <row r="148">
          <cell r="B148" t="str">
            <v>QUYET THANG</v>
          </cell>
          <cell r="C148" t="str">
            <v>QUYẾT THẮNG</v>
          </cell>
          <cell r="D148" t="str">
            <v>Quyết Thắng</v>
          </cell>
        </row>
        <row r="149">
          <cell r="B149" t="str">
            <v>BIG C - DONG NAI</v>
          </cell>
          <cell r="C149" t="str">
            <v>BIG C South</v>
          </cell>
          <cell r="D149" t="str">
            <v>Big C South</v>
          </cell>
        </row>
        <row r="150">
          <cell r="B150" t="str">
            <v>BIG C - EBA South</v>
          </cell>
          <cell r="C150" t="str">
            <v>BIG C South</v>
          </cell>
          <cell r="D150" t="str">
            <v>Big C South</v>
          </cell>
        </row>
        <row r="151">
          <cell r="B151" t="str">
            <v>BIG C - PHU THANH</v>
          </cell>
          <cell r="C151" t="str">
            <v>BIG C South</v>
          </cell>
          <cell r="D151" t="str">
            <v>Big C South</v>
          </cell>
        </row>
        <row r="152">
          <cell r="B152" t="str">
            <v>BIG C - TRUONG CHINH</v>
          </cell>
          <cell r="C152" t="str">
            <v>BIG C South</v>
          </cell>
          <cell r="D152" t="str">
            <v>Big C South</v>
          </cell>
        </row>
        <row r="153">
          <cell r="B153" t="str">
            <v>BIG C - EBS North</v>
          </cell>
          <cell r="C153" t="str">
            <v>BIG C North</v>
          </cell>
          <cell r="D153" t="str">
            <v>Big C North</v>
          </cell>
        </row>
        <row r="154">
          <cell r="B154" t="str">
            <v>TRANG HONG ANH</v>
          </cell>
          <cell r="C154" t="str">
            <v>HỒNG PHÁT</v>
          </cell>
          <cell r="D154" t="str">
            <v>HỒNG PHÁT</v>
          </cell>
        </row>
        <row r="155">
          <cell r="B155" t="str">
            <v>BIG C - EBS South</v>
          </cell>
          <cell r="C155" t="str">
            <v>BIG C South</v>
          </cell>
          <cell r="D155" t="str">
            <v>Big C South</v>
          </cell>
        </row>
        <row r="156">
          <cell r="B156" t="str">
            <v>PHAM HONG QUYEN</v>
          </cell>
          <cell r="C156" t="str">
            <v>PHẠM HỒNG QUYỀN</v>
          </cell>
          <cell r="D156" t="str">
            <v>Phạm Hồng Quyền</v>
          </cell>
        </row>
        <row r="157">
          <cell r="B157" t="str">
            <v>HONG PHAT</v>
          </cell>
          <cell r="C157" t="str">
            <v>HỒNG PHÁT</v>
          </cell>
          <cell r="D157" t="str">
            <v>HỒNG PHÁT</v>
          </cell>
        </row>
        <row r="158">
          <cell r="B158" t="str">
            <v>DAM MANH THANG</v>
          </cell>
          <cell r="C158" t="str">
            <v>ĐÀM MẠNH THẮNG</v>
          </cell>
          <cell r="D158" t="str">
            <v>Đàm Mạnh Thắng</v>
          </cell>
        </row>
        <row r="159">
          <cell r="B159" t="str">
            <v>KHOA HIEU</v>
          </cell>
          <cell r="C159" t="str">
            <v>KHOA HiẾU</v>
          </cell>
          <cell r="D159" t="str">
            <v>N_Agent Khoa Hiếu</v>
          </cell>
        </row>
        <row r="160">
          <cell r="B160" t="str">
            <v>BIG C - AN LAC</v>
          </cell>
          <cell r="C160" t="str">
            <v>BIG C South</v>
          </cell>
        </row>
        <row r="161">
          <cell r="B161" t="str">
            <v>NGUYEN VAN CONG</v>
          </cell>
          <cell r="C161" t="str">
            <v>NGUYỄN VĂN CÔNG</v>
          </cell>
          <cell r="D161" t="str">
            <v>Nguyễn Văn Công</v>
          </cell>
        </row>
        <row r="162">
          <cell r="B162" t="str">
            <v>TU MUOI</v>
          </cell>
          <cell r="C162" t="str">
            <v>TƯ MUỖI</v>
          </cell>
          <cell r="D162" t="str">
            <v>Tư Muỗi</v>
          </cell>
        </row>
        <row r="163">
          <cell r="B163" t="str">
            <v>LE THI UT</v>
          </cell>
          <cell r="C163" t="str">
            <v>LÊ THỊ ÚT</v>
          </cell>
          <cell r="D163" t="str">
            <v>Lê Thị Út</v>
          </cell>
        </row>
        <row r="164">
          <cell r="B164" t="str">
            <v>HA TIEN</v>
          </cell>
          <cell r="C164" t="str">
            <v>HA TIÊN</v>
          </cell>
          <cell r="D164" t="str">
            <v>Ha Tiên</v>
          </cell>
        </row>
        <row r="165">
          <cell r="B165" t="str">
            <v>LUU THI THANH</v>
          </cell>
          <cell r="C165" t="str">
            <v>LƯU THỊ THANH</v>
          </cell>
          <cell r="D165" t="str">
            <v>Lưu Thị Thanh</v>
          </cell>
        </row>
        <row r="166">
          <cell r="B166" t="str">
            <v>BIG C - SOUTH</v>
          </cell>
          <cell r="C166" t="str">
            <v>BIG C South</v>
          </cell>
        </row>
        <row r="167">
          <cell r="B167" t="str">
            <v>BIG C - NORTH</v>
          </cell>
          <cell r="C167" t="str">
            <v>BIG C North</v>
          </cell>
        </row>
        <row r="168">
          <cell r="B168" t="str">
            <v>CAO THI KIM XUYEN</v>
          </cell>
          <cell r="C168" t="str">
            <v>CAO THỊ KIM XUYẾN</v>
          </cell>
        </row>
        <row r="169">
          <cell r="B169" t="str">
            <v>CAT AN</v>
          </cell>
          <cell r="C169" t="str">
            <v>Cát An</v>
          </cell>
          <cell r="D169" t="str">
            <v>Cát An</v>
          </cell>
        </row>
        <row r="170">
          <cell r="B170" t="str">
            <v>DO VAN KIEN</v>
          </cell>
          <cell r="C170" t="str">
            <v>ĐỖ VĂN KIÊN</v>
          </cell>
          <cell r="D170" t="str">
            <v>Đỗ Văn Kiên</v>
          </cell>
        </row>
        <row r="171">
          <cell r="B171" t="str">
            <v>GIA KIM</v>
          </cell>
          <cell r="C171" t="str">
            <v>GIA KIM</v>
          </cell>
          <cell r="D171" t="str">
            <v>Gia Kim</v>
          </cell>
        </row>
        <row r="172">
          <cell r="B172" t="str">
            <v>MAI TRAM</v>
          </cell>
          <cell r="C172" t="str">
            <v>MAI TRÂM</v>
          </cell>
        </row>
        <row r="173">
          <cell r="B173" t="str">
            <v>CHUONG NHI</v>
          </cell>
          <cell r="C173" t="str">
            <v>CHƯƠNG NHI</v>
          </cell>
        </row>
        <row r="174">
          <cell r="B174" t="str">
            <v>BIG C - EBS</v>
          </cell>
          <cell r="C174" t="str">
            <v>BIG C - EBS</v>
          </cell>
        </row>
        <row r="175">
          <cell r="B175" t="str">
            <v>NGO DINH LONG</v>
          </cell>
          <cell r="C175" t="str">
            <v>NGÔ ĐÌNH LONG</v>
          </cell>
          <cell r="D175" t="str">
            <v>N_Agent Ngô Đình Long</v>
          </cell>
        </row>
        <row r="176">
          <cell r="B176" t="str">
            <v>TRUONG VAN</v>
          </cell>
          <cell r="C176" t="str">
            <v>TRƯỜNG VÂN</v>
          </cell>
          <cell r="D176" t="str">
            <v>Trường Vân</v>
          </cell>
        </row>
        <row r="177">
          <cell r="B177" t="str">
            <v>DUONG THI XUONG</v>
          </cell>
          <cell r="C177" t="str">
            <v>DƯƠNG THỊ XƯƠNG</v>
          </cell>
          <cell r="D177" t="str">
            <v>M_Agent Dương Thị Xương</v>
          </cell>
        </row>
        <row r="178">
          <cell r="B178" t="str">
            <v>NGUYEN THI NHI NU</v>
          </cell>
          <cell r="C178" t="str">
            <v>NGUYỄN THỊ NHI NỮ</v>
          </cell>
          <cell r="D178" t="str">
            <v>E_Agent Nguyễn Thị Nhi Nữ</v>
          </cell>
        </row>
        <row r="179">
          <cell r="B179" t="str">
            <v>LE TRUNG KHANH</v>
          </cell>
          <cell r="C179" t="str">
            <v>LÊ TRUNG KHÁNH</v>
          </cell>
          <cell r="D179" t="str">
            <v>N_Agent Lê Trung Khánh</v>
          </cell>
        </row>
        <row r="180">
          <cell r="B180" t="str">
            <v>CU NHAN</v>
          </cell>
          <cell r="C180" t="str">
            <v>CỬ NHÂN</v>
          </cell>
        </row>
        <row r="181">
          <cell r="B181" t="str">
            <v>HUYNH HOAI PHUONG</v>
          </cell>
          <cell r="C181" t="str">
            <v>HuỲNH HOÀI PHƯƠNG</v>
          </cell>
          <cell r="D181" t="str">
            <v>M_Agent Huỳnh Hoài Phương</v>
          </cell>
        </row>
        <row r="182">
          <cell r="B182" t="str">
            <v>NGO DANG CUONG</v>
          </cell>
          <cell r="C182" t="str">
            <v>NGÔ ĐĂNG CƯỜNG</v>
          </cell>
          <cell r="D182" t="str">
            <v>C_Agent Ngô Đăng Cường</v>
          </cell>
        </row>
        <row r="183">
          <cell r="B183" t="str">
            <v>VU TUAN ANH</v>
          </cell>
          <cell r="C183" t="str">
            <v>VŨ TuẤN ANH</v>
          </cell>
          <cell r="D183" t="str">
            <v>N_Agent Vũ Tuấn Anh</v>
          </cell>
        </row>
        <row r="184">
          <cell r="B184" t="str">
            <v>NGUYEN THI SONG THANH</v>
          </cell>
          <cell r="C184" t="str">
            <v>NGUYỄN THỊ SONG THANH</v>
          </cell>
          <cell r="D184" t="str">
            <v>N_Agent Nguyễn Thị Song Thanh</v>
          </cell>
        </row>
        <row r="185">
          <cell r="B185" t="str">
            <v>NGUYEN XUAN PHONG</v>
          </cell>
          <cell r="C185" t="str">
            <v>NGUYỄN XUÂN PHONG</v>
          </cell>
          <cell r="D185" t="str">
            <v>N_Agent Nguyễn Xuân Phong</v>
          </cell>
        </row>
        <row r="186">
          <cell r="B186" t="str">
            <v>BUI VAN CONG</v>
          </cell>
          <cell r="C186" t="str">
            <v>BÙI VĂN CÔNG</v>
          </cell>
          <cell r="D186" t="str">
            <v>E_Agent Bùi Văn Công</v>
          </cell>
        </row>
        <row r="187">
          <cell r="B187" t="str">
            <v>HUYNH QUOC VIET</v>
          </cell>
          <cell r="C187" t="str">
            <v>HuỲNH QuỐC ViỆT</v>
          </cell>
          <cell r="D187" t="str">
            <v>M_Agent Huỳnh Quốc Việt</v>
          </cell>
        </row>
        <row r="188">
          <cell r="B188" t="str">
            <v>NGUYEN THI LINH</v>
          </cell>
          <cell r="C188" t="str">
            <v>NGUYỄN THỊ LINH</v>
          </cell>
          <cell r="D188" t="str">
            <v>Nguyễn Thị Linh</v>
          </cell>
        </row>
        <row r="189">
          <cell r="B189" t="str">
            <v>CHAU TAN LOC</v>
          </cell>
          <cell r="C189" t="str">
            <v>CHÂU TẤN LỘC</v>
          </cell>
          <cell r="D189" t="str">
            <v>M_Agent Châu Tấn Lộc</v>
          </cell>
        </row>
        <row r="190">
          <cell r="B190" t="str">
            <v>CHAU XUAN MAI</v>
          </cell>
          <cell r="C190" t="str">
            <v>CHÂU XUÂN MAI</v>
          </cell>
          <cell r="D190" t="str">
            <v>M_Agent Châu Xuân Mai</v>
          </cell>
        </row>
        <row r="191">
          <cell r="B191" t="str">
            <v>HONG DOANH</v>
          </cell>
          <cell r="C191" t="str">
            <v>HỒNG DOANH</v>
          </cell>
          <cell r="D191" t="str">
            <v>Hồng Doanh</v>
          </cell>
        </row>
        <row r="192">
          <cell r="B192" t="str">
            <v>PHAM HUU DUNG</v>
          </cell>
          <cell r="C192" t="str">
            <v>PHẠM HỮU DŨNG</v>
          </cell>
        </row>
        <row r="193">
          <cell r="B193" t="str">
            <v>TRANG NGUYEN</v>
          </cell>
          <cell r="C193" t="str">
            <v>TRANG NGUYỄN</v>
          </cell>
          <cell r="D193" t="str">
            <v>Trang Nguyễn</v>
          </cell>
        </row>
        <row r="194">
          <cell r="B194" t="str">
            <v>NGUYEN THI HIEN</v>
          </cell>
          <cell r="C194" t="str">
            <v>NGUYỄN THỊ HIỂN</v>
          </cell>
          <cell r="D194" t="str">
            <v>N_Agent Nguyễn Thị Hiển</v>
          </cell>
        </row>
        <row r="195">
          <cell r="B195" t="str">
            <v>OANH BAC</v>
          </cell>
          <cell r="C195" t="str">
            <v>OANH BẮC</v>
          </cell>
          <cell r="D195" t="str">
            <v>N_Agent Oanh Bắc</v>
          </cell>
        </row>
        <row r="196">
          <cell r="B196" t="str">
            <v>PHUC UYEN</v>
          </cell>
          <cell r="C196" t="str">
            <v>PHÚC UYÊN</v>
          </cell>
          <cell r="D196" t="str">
            <v>E_Agent Phúc Uyên</v>
          </cell>
        </row>
        <row r="197">
          <cell r="B197" t="str">
            <v>THANH CHUNG</v>
          </cell>
          <cell r="C197" t="str">
            <v>THÀNH CHUNG</v>
          </cell>
          <cell r="D197" t="str">
            <v>N_Agent Thành Chung</v>
          </cell>
        </row>
        <row r="198">
          <cell r="B198" t="str">
            <v>LE CAO SON</v>
          </cell>
          <cell r="C198" t="str">
            <v>LÊ CAO SƠN</v>
          </cell>
          <cell r="D198" t="str">
            <v>N_Agent Lê Cao Sơn</v>
          </cell>
        </row>
        <row r="199">
          <cell r="B199" t="str">
            <v>DUONG THI LOI</v>
          </cell>
          <cell r="C199" t="str">
            <v>DƯƠNG THỊ LỢI</v>
          </cell>
          <cell r="D199" t="str">
            <v>Dương Thị Lợi</v>
          </cell>
        </row>
        <row r="200">
          <cell r="B200" t="str">
            <v>HOA KIEU</v>
          </cell>
          <cell r="C200" t="str">
            <v>HOA KIỀU</v>
          </cell>
          <cell r="D200" t="str">
            <v>N_Agent Hoa Kiều</v>
          </cell>
        </row>
        <row r="201">
          <cell r="B201" t="str">
            <v>NGUYEN BINH</v>
          </cell>
          <cell r="C201" t="str">
            <v>NGUYÊN BÌNH</v>
          </cell>
          <cell r="D201" t="str">
            <v>E_Agent Nguyên Bình</v>
          </cell>
        </row>
        <row r="202">
          <cell r="B202" t="str">
            <v>PHAN THI LY</v>
          </cell>
          <cell r="C202" t="str">
            <v>PHAN THỊ LÝ</v>
          </cell>
          <cell r="D202" t="str">
            <v>Phan Thị Lý</v>
          </cell>
        </row>
        <row r="203">
          <cell r="B203" t="str">
            <v>PHAM TRUNG LIET</v>
          </cell>
          <cell r="C203" t="str">
            <v>PHẠM TRUNG LIỆT</v>
          </cell>
          <cell r="D203" t="str">
            <v>M_Agent Phạm Trung Liệt</v>
          </cell>
        </row>
        <row r="204">
          <cell r="B204" t="str">
            <v>NGO VAN VIET</v>
          </cell>
          <cell r="C204" t="str">
            <v>NGÔ VĂN VIỆT</v>
          </cell>
          <cell r="D204" t="str">
            <v>N_Agent Ngô Văn Việt</v>
          </cell>
        </row>
        <row r="205">
          <cell r="B205" t="str">
            <v>SON HUNG DUNG</v>
          </cell>
          <cell r="C205" t="str">
            <v>SƠN HÙNG DŨNG</v>
          </cell>
          <cell r="D205" t="str">
            <v>Sơn Hùng Dũng</v>
          </cell>
        </row>
        <row r="206">
          <cell r="B206" t="str">
            <v>DINH THI THUY</v>
          </cell>
          <cell r="C206" t="str">
            <v>ĐINH THỊ THÚY</v>
          </cell>
          <cell r="D206" t="str">
            <v>Đinh Thị Thúy</v>
          </cell>
        </row>
        <row r="207">
          <cell r="B207" t="str">
            <v>NGUYEN THI TUYET</v>
          </cell>
          <cell r="C207" t="str">
            <v>NGUYỄN THỊ TUYẾT</v>
          </cell>
          <cell r="D207" t="str">
            <v>Nguyễn Thị Tuyết</v>
          </cell>
        </row>
        <row r="208">
          <cell r="B208" t="str">
            <v>QUOC BAO</v>
          </cell>
          <cell r="C208" t="str">
            <v>QUỐC BẢO</v>
          </cell>
          <cell r="D208" t="str">
            <v>Quốc Bảo</v>
          </cell>
        </row>
        <row r="209">
          <cell r="B209" t="str">
            <v>CHAU KIM LOAN</v>
          </cell>
          <cell r="C209" t="str">
            <v>CHÂU KIM LOAN</v>
          </cell>
          <cell r="D209" t="str">
            <v>M_Agent Châu Kim Loan</v>
          </cell>
        </row>
        <row r="210">
          <cell r="B210" t="str">
            <v>SAU VINH</v>
          </cell>
          <cell r="C210" t="str">
            <v>SÁU VINH</v>
          </cell>
          <cell r="D210" t="str">
            <v>M_Agent Sáu Vinh</v>
          </cell>
        </row>
        <row r="211">
          <cell r="B211" t="str">
            <v>HUNG BICH</v>
          </cell>
          <cell r="C211" t="str">
            <v>HƯNG BÍCH</v>
          </cell>
          <cell r="D211" t="str">
            <v>N_Agent Hưng Bích</v>
          </cell>
        </row>
        <row r="212">
          <cell r="B212" t="str">
            <v>NGA NGOC</v>
          </cell>
          <cell r="C212" t="str">
            <v>NGA NGỌC</v>
          </cell>
          <cell r="D212" t="str">
            <v>Nga Ngọc</v>
          </cell>
        </row>
        <row r="213">
          <cell r="B213" t="str">
            <v>THO NGUYEN NGUYEN</v>
          </cell>
          <cell r="C213" t="str">
            <v>THỌ NGUYÊN NGUYÊN</v>
          </cell>
          <cell r="D213" t="str">
            <v>Thọ Nguyên Nguyên</v>
          </cell>
        </row>
        <row r="214">
          <cell r="B214" t="str">
            <v>CHAU GIA VIET</v>
          </cell>
          <cell r="C214" t="str">
            <v>CHÂU GIA VIỆT</v>
          </cell>
          <cell r="D214" t="str">
            <v>Châu Gia Việt</v>
          </cell>
        </row>
        <row r="215">
          <cell r="B215" t="str">
            <v>NGOC THINH</v>
          </cell>
          <cell r="C215" t="str">
            <v>NGỌC THỊNH</v>
          </cell>
          <cell r="D215" t="str">
            <v>Ngọc Thịnh</v>
          </cell>
        </row>
        <row r="216">
          <cell r="B216" t="str">
            <v>VINH THOI</v>
          </cell>
          <cell r="C216" t="str">
            <v>VĨNH THỚI</v>
          </cell>
          <cell r="D216" t="str">
            <v>Vĩnh Thới</v>
          </cell>
        </row>
        <row r="217">
          <cell r="B217" t="str">
            <v>NGOC THU</v>
          </cell>
          <cell r="C217" t="str">
            <v>NGỌC THU</v>
          </cell>
          <cell r="D217" t="str">
            <v>M_Agent Ngọc Thu</v>
          </cell>
        </row>
        <row r="218">
          <cell r="B218" t="str">
            <v>ViLao</v>
          </cell>
          <cell r="C218" t="str">
            <v>ViLao</v>
          </cell>
          <cell r="D218" t="str">
            <v>ViLao</v>
          </cell>
        </row>
        <row r="219">
          <cell r="B219" t="str">
            <v>NGUYEN THI HOANG TRANG</v>
          </cell>
          <cell r="C219" t="str">
            <v>NGUYỄN THỊ HOÀNG TRANG</v>
          </cell>
          <cell r="D219" t="str">
            <v>Nguyễn Thị Hoàng Trang</v>
          </cell>
        </row>
        <row r="220">
          <cell r="B220" t="str">
            <v>LE THI YEN</v>
          </cell>
          <cell r="C220" t="str">
            <v>LÊ THỊ YẾN</v>
          </cell>
          <cell r="D220" t="str">
            <v>Lê Thị Yến</v>
          </cell>
        </row>
        <row r="221">
          <cell r="B221" t="str">
            <v>GIA PHU</v>
          </cell>
          <cell r="C221" t="str">
            <v>GIA PHÚ</v>
          </cell>
          <cell r="D221" t="str">
            <v>Gia Phú</v>
          </cell>
        </row>
        <row r="222">
          <cell r="B222" t="str">
            <v>DOAN THI MY CHI</v>
          </cell>
          <cell r="C222" t="str">
            <v>ĐOÀN THỊ MỸ CHI</v>
          </cell>
          <cell r="D222" t="str">
            <v>Đoàn Thị Mỹ Chi</v>
          </cell>
        </row>
        <row r="223">
          <cell r="B223" t="str">
            <v>BIG C - HOANG VAN THU</v>
          </cell>
          <cell r="C223" t="str">
            <v>BIG C South</v>
          </cell>
          <cell r="D223" t="str">
            <v>BIG C South</v>
          </cell>
        </row>
        <row r="224">
          <cell r="B224" t="str">
            <v>BIG C - MIEN DONG</v>
          </cell>
          <cell r="C224" t="str">
            <v>BIG C South</v>
          </cell>
          <cell r="D224" t="str">
            <v>BIG C South</v>
          </cell>
        </row>
        <row r="225">
          <cell r="B225" t="str">
            <v>NGOC LONG CA MAU</v>
          </cell>
          <cell r="C225" t="str">
            <v>NGỌC LONG CÀ MAU</v>
          </cell>
          <cell r="D225" t="str">
            <v>Ngọc Long Cà Mau</v>
          </cell>
        </row>
        <row r="226">
          <cell r="B226" t="str">
            <v>NHU THANH</v>
          </cell>
          <cell r="C226" t="str">
            <v>NHƯ THÀNH</v>
          </cell>
          <cell r="D226" t="str">
            <v>M_Agent Như Thành</v>
          </cell>
        </row>
        <row r="227">
          <cell r="B227" t="str">
            <v>TRUNG HAU</v>
          </cell>
          <cell r="C227" t="str">
            <v>TRUNG HẬU</v>
          </cell>
          <cell r="D227" t="str">
            <v>Trung Hậu</v>
          </cell>
        </row>
        <row r="228">
          <cell r="B228" t="str">
            <v>BIG C - DA NANG</v>
          </cell>
          <cell r="C228" t="str">
            <v>BIG C Central</v>
          </cell>
          <cell r="D228" t="str">
            <v>BIG C Central</v>
          </cell>
        </row>
        <row r="229">
          <cell r="B229" t="str">
            <v>BIG C - NHA TRANG</v>
          </cell>
          <cell r="C229" t="str">
            <v>BIG C South</v>
          </cell>
          <cell r="D229" t="str">
            <v>BIG C South</v>
          </cell>
        </row>
        <row r="230">
          <cell r="B230" t="str">
            <v>BIG C - CEXPRESS</v>
          </cell>
          <cell r="C230" t="str">
            <v>Big C South</v>
          </cell>
          <cell r="D230" t="str">
            <v>BIG C South</v>
          </cell>
        </row>
        <row r="231">
          <cell r="B231" t="str">
            <v>BIG C - AN PHU</v>
          </cell>
          <cell r="C231" t="str">
            <v>Big C South</v>
          </cell>
          <cell r="D231" t="str">
            <v>BIG C South</v>
          </cell>
        </row>
        <row r="232">
          <cell r="B232" t="str">
            <v>BIG C - GO VAP</v>
          </cell>
          <cell r="C232" t="str">
            <v>Big C South</v>
          </cell>
          <cell r="D232" t="str">
            <v>BIG C South</v>
          </cell>
        </row>
        <row r="233">
          <cell r="B233" t="str">
            <v>HUYEN THUC</v>
          </cell>
          <cell r="C233" t="str">
            <v>HUYỀN THỨC</v>
          </cell>
          <cell r="D233" t="str">
            <v>Huyền Thức</v>
          </cell>
        </row>
        <row r="234">
          <cell r="B234" t="str">
            <v>DAC THINH</v>
          </cell>
          <cell r="C234" t="str">
            <v>ĐẮC THỊNH</v>
          </cell>
          <cell r="D234" t="str">
            <v>Đắc Thịnh</v>
          </cell>
        </row>
        <row r="235">
          <cell r="B235" t="str">
            <v>BIG C - CAN THO</v>
          </cell>
          <cell r="C235" t="str">
            <v>Big C South</v>
          </cell>
          <cell r="D235" t="str">
            <v>Big C South</v>
          </cell>
        </row>
        <row r="236">
          <cell r="B236" t="str">
            <v>BIG C - HUE</v>
          </cell>
          <cell r="C236" t="str">
            <v>BIG C Central</v>
          </cell>
          <cell r="D236" t="str">
            <v>BIG C Central</v>
          </cell>
        </row>
        <row r="237">
          <cell r="B237" t="str">
            <v>BIG C - BINH DUONG</v>
          </cell>
          <cell r="C237" t="str">
            <v>Big C South</v>
          </cell>
          <cell r="D237" t="str">
            <v>Big C South</v>
          </cell>
        </row>
        <row r="238">
          <cell r="B238" t="str">
            <v>BIG C -GREEN SQUARE</v>
          </cell>
          <cell r="C238" t="str">
            <v>Big C South</v>
          </cell>
          <cell r="D238" t="str">
            <v>Big C South</v>
          </cell>
        </row>
        <row r="239">
          <cell r="B239" t="str">
            <v>BIG C - DA LAT</v>
          </cell>
          <cell r="C239" t="str">
            <v>Big C South</v>
          </cell>
          <cell r="D239" t="str">
            <v>Big C South</v>
          </cell>
        </row>
        <row r="240">
          <cell r="B240" t="str">
            <v>BIG C - HAI PHONG</v>
          </cell>
          <cell r="C240" t="str">
            <v>BIG C North</v>
          </cell>
          <cell r="D240" t="str">
            <v>BIG C North</v>
          </cell>
        </row>
        <row r="241">
          <cell r="B241" t="str">
            <v>BIG C - THANG LONG</v>
          </cell>
          <cell r="C241" t="str">
            <v>BIG C North</v>
          </cell>
          <cell r="D241" t="str">
            <v>BIG C North</v>
          </cell>
        </row>
        <row r="242">
          <cell r="B242" t="str">
            <v>BIG C- BAC GIANG</v>
          </cell>
          <cell r="C242" t="str">
            <v>BIG C North</v>
          </cell>
          <cell r="D242" t="str">
            <v>BIG C North</v>
          </cell>
        </row>
        <row r="243">
          <cell r="B243" t="str">
            <v>HAI MOI</v>
          </cell>
          <cell r="C243" t="str">
            <v>HAI MƠI</v>
          </cell>
          <cell r="D243" t="str">
            <v>Hai Mơi</v>
          </cell>
        </row>
        <row r="244">
          <cell r="B244" t="str">
            <v>PHUOC THU</v>
          </cell>
          <cell r="C244" t="str">
            <v>PHƯỚC THƯ</v>
          </cell>
          <cell r="D244" t="str">
            <v>Phước Thư</v>
          </cell>
        </row>
        <row r="245">
          <cell r="B245" t="str">
            <v>DINH THI LUYEN</v>
          </cell>
          <cell r="C245" t="str">
            <v>ĐINH THỊ LUYẾN</v>
          </cell>
          <cell r="D245" t="str">
            <v>N_Agent_Đinh Thị Luyến</v>
          </cell>
        </row>
        <row r="246">
          <cell r="B246" t="str">
            <v>DANG DINH THANH</v>
          </cell>
          <cell r="C246" t="str">
            <v>ĐẶNG ĐÌNH THANH</v>
          </cell>
          <cell r="D246" t="str">
            <v>Đặng Đình Thanh</v>
          </cell>
        </row>
        <row r="247">
          <cell r="B247" t="str">
            <v>HUONG GIANG</v>
          </cell>
          <cell r="C247" t="str">
            <v>HƯƠNG GIANG</v>
          </cell>
          <cell r="D247" t="str">
            <v>Hương Giang</v>
          </cell>
        </row>
        <row r="248">
          <cell r="B248" t="str">
            <v>BIG C - HA LONG</v>
          </cell>
          <cell r="C248" t="str">
            <v>BIG C North</v>
          </cell>
          <cell r="D248" t="str">
            <v>BIG C North</v>
          </cell>
        </row>
        <row r="249">
          <cell r="B249" t="str">
            <v>BIG C - HAI DUONG</v>
          </cell>
          <cell r="C249" t="str">
            <v>BIG C North</v>
          </cell>
          <cell r="D249" t="str">
            <v>BIG C North</v>
          </cell>
        </row>
        <row r="250">
          <cell r="B250" t="str">
            <v>BIG C - NAM DINH</v>
          </cell>
          <cell r="C250" t="str">
            <v>BIG C North</v>
          </cell>
          <cell r="D250" t="str">
            <v>BIG C North</v>
          </cell>
        </row>
        <row r="251">
          <cell r="B251" t="str">
            <v>BIG C - THANH HOA</v>
          </cell>
          <cell r="C251" t="str">
            <v>BIG C North</v>
          </cell>
          <cell r="D251" t="str">
            <v>BIG C North</v>
          </cell>
        </row>
        <row r="252">
          <cell r="B252" t="str">
            <v>BIG C - VINH</v>
          </cell>
          <cell r="C252" t="str">
            <v>BIG C North</v>
          </cell>
          <cell r="D252" t="str">
            <v>BIG C North</v>
          </cell>
        </row>
        <row r="253">
          <cell r="B253" t="str">
            <v>TUAN DUONG</v>
          </cell>
          <cell r="C253" t="str">
            <v>TUẤN DƯƠNG</v>
          </cell>
          <cell r="D253" t="str">
            <v>Tuấn Dương</v>
          </cell>
        </row>
        <row r="254">
          <cell r="B254" t="str">
            <v>BINH AN PHAT</v>
          </cell>
          <cell r="C254" t="str">
            <v>BÌNH AN PHÁT</v>
          </cell>
          <cell r="D254" t="str">
            <v>Bình An Phát</v>
          </cell>
        </row>
        <row r="255">
          <cell r="B255" t="str">
            <v>THANG NGA</v>
          </cell>
          <cell r="C255" t="str">
            <v>THẮNG NGA</v>
          </cell>
          <cell r="D255" t="str">
            <v>Thắng Nga</v>
          </cell>
        </row>
        <row r="256">
          <cell r="B256" t="str">
            <v>BIG C - GARDEN MALL</v>
          </cell>
          <cell r="C256" t="str">
            <v>BIG C North</v>
          </cell>
          <cell r="D256" t="str">
            <v>BIG C North</v>
          </cell>
        </row>
        <row r="257">
          <cell r="B257" t="str">
            <v>BIG C - LONG BIEN</v>
          </cell>
          <cell r="C257" t="str">
            <v>BIG C North</v>
          </cell>
          <cell r="D257" t="str">
            <v>BIG C North</v>
          </cell>
        </row>
        <row r="258">
          <cell r="B258" t="str">
            <v>BIG C - VINH PHUC</v>
          </cell>
          <cell r="C258" t="str">
            <v>BIG C North</v>
          </cell>
          <cell r="D258" t="str">
            <v>BIG C North</v>
          </cell>
        </row>
        <row r="259">
          <cell r="B259" t="str">
            <v>BIG C- QUY NHON</v>
          </cell>
          <cell r="C259" t="str">
            <v>BIG C Central</v>
          </cell>
          <cell r="D259" t="str">
            <v>BIG C Central</v>
          </cell>
        </row>
        <row r="260">
          <cell r="B260" t="str">
            <v>BIG C - NINH BINH</v>
          </cell>
          <cell r="C260" t="str">
            <v>BIG C North</v>
          </cell>
          <cell r="D260" t="str">
            <v>BIG C North</v>
          </cell>
        </row>
        <row r="261">
          <cell r="B261" t="str">
            <v>KET NOI MANH</v>
          </cell>
          <cell r="C261" t="str">
            <v>KẾT NỐI MẠNH</v>
          </cell>
          <cell r="D261" t="str">
            <v>Kết Nối Mạnh</v>
          </cell>
        </row>
        <row r="262">
          <cell r="B262" t="str">
            <v>BOSS &amp; BOSS</v>
          </cell>
          <cell r="C262" t="str">
            <v>BOSS &amp; BOSS</v>
          </cell>
          <cell r="D262" t="str">
            <v>Boss &amp; Boss</v>
          </cell>
        </row>
        <row r="263">
          <cell r="B263" t="str">
            <v>BIG C- HO GUOM</v>
          </cell>
          <cell r="C263" t="str">
            <v>BIG C North</v>
          </cell>
          <cell r="D263" t="str">
            <v>BIG C North</v>
          </cell>
        </row>
        <row r="264">
          <cell r="B264" t="str">
            <v>BIG C - ME LINH</v>
          </cell>
          <cell r="C264" t="str">
            <v>BIG C North</v>
          </cell>
          <cell r="D264" t="str">
            <v>BIG C North</v>
          </cell>
        </row>
        <row r="265">
          <cell r="B265" t="str">
            <v>TUE TAM</v>
          </cell>
          <cell r="C265" t="str">
            <v>TUỆ TÂM</v>
          </cell>
          <cell r="D265" t="str">
            <v>N_Agent Tuệ Tâm</v>
          </cell>
        </row>
        <row r="266">
          <cell r="B266" t="str">
            <v>HOANG THE VINH</v>
          </cell>
          <cell r="C266" t="str">
            <v xml:space="preserve">HOÀNG THẾ VINH </v>
          </cell>
          <cell r="D266" t="str">
            <v>N_Agent Hoàng Thế Vinh</v>
          </cell>
        </row>
        <row r="267">
          <cell r="B267" t="str">
            <v>NAM VIET SIN</v>
          </cell>
          <cell r="C267" t="str">
            <v>NAM VIỆT SIN</v>
          </cell>
          <cell r="D267" t="str">
            <v>Nam Việt Sin</v>
          </cell>
        </row>
        <row r="268">
          <cell r="B268" t="str">
            <v>PHUC TAM NGUYEN</v>
          </cell>
          <cell r="C268" t="str">
            <v>PHÚC TÂM NGUYÊN</v>
          </cell>
          <cell r="D268" t="str">
            <v>Phúc Tâm Nguyên</v>
          </cell>
        </row>
        <row r="269">
          <cell r="B269" t="str">
            <v>KHOI NGUYEN</v>
          </cell>
          <cell r="C269" t="str">
            <v>KHÔI NGUYỄN</v>
          </cell>
          <cell r="D269" t="str">
            <v>Khôi Nguyễn</v>
          </cell>
        </row>
        <row r="270">
          <cell r="B270" t="str">
            <v>HOANG NAM</v>
          </cell>
          <cell r="C270" t="str">
            <v>HOÀNG NAM</v>
          </cell>
          <cell r="D270" t="str">
            <v>Hoàng Nam</v>
          </cell>
        </row>
        <row r="271">
          <cell r="B271" t="str">
            <v>TAM THA</v>
          </cell>
          <cell r="C271" t="str">
            <v>TÂM THÀ</v>
          </cell>
          <cell r="D271" t="str">
            <v>C_Agent Tâm Thà</v>
          </cell>
        </row>
        <row r="272">
          <cell r="B272" t="str">
            <v>LUC XUAN THANH</v>
          </cell>
          <cell r="C272" t="str">
            <v>LỤC XUÂN THÀNH</v>
          </cell>
          <cell r="D272" t="str">
            <v>Lục Xuân Thành</v>
          </cell>
        </row>
        <row r="273">
          <cell r="B273" t="str">
            <v>LOTTE BINH DUONG</v>
          </cell>
          <cell r="C273" t="str">
            <v>Lotte South</v>
          </cell>
          <cell r="D273" t="str">
            <v>Lotte South</v>
          </cell>
        </row>
        <row r="274">
          <cell r="B274" t="str">
            <v>HOANG LONG GIANG</v>
          </cell>
          <cell r="C274" t="str">
            <v>HOÀNG LONG GIANG</v>
          </cell>
          <cell r="D274" t="str">
            <v>Hoàng Long Giang</v>
          </cell>
        </row>
        <row r="275">
          <cell r="B275" t="str">
            <v>PHAM VAN HUNG</v>
          </cell>
          <cell r="C275" t="str">
            <v>PHẠM VĂN HƯNG</v>
          </cell>
          <cell r="D275" t="str">
            <v>Phạm Văn Hưng</v>
          </cell>
        </row>
        <row r="276">
          <cell r="B276" t="str">
            <v>LOTTE BA DINH</v>
          </cell>
          <cell r="C276" t="str">
            <v>Lotte North</v>
          </cell>
          <cell r="D276" t="str">
            <v>Lotte North</v>
          </cell>
        </row>
        <row r="277">
          <cell r="B277" t="str">
            <v>LOTTE DA NANG</v>
          </cell>
          <cell r="C277" t="str">
            <v>Lotte Central</v>
          </cell>
          <cell r="D277" t="str">
            <v>Lotte Central</v>
          </cell>
        </row>
        <row r="278">
          <cell r="B278" t="str">
            <v>LOTTE DONG DA</v>
          </cell>
          <cell r="C278" t="str">
            <v>Lotte North</v>
          </cell>
          <cell r="D278" t="str">
            <v>Lotte North</v>
          </cell>
        </row>
        <row r="279">
          <cell r="B279" t="str">
            <v>LOTTE PHAN THIET</v>
          </cell>
          <cell r="C279" t="str">
            <v>Lotte South</v>
          </cell>
          <cell r="D279" t="str">
            <v>Lotte South</v>
          </cell>
        </row>
        <row r="280">
          <cell r="B280" t="str">
            <v>LOTTE VUNG TAU</v>
          </cell>
          <cell r="C280" t="str">
            <v>Lotte South</v>
          </cell>
          <cell r="D280" t="str">
            <v>Lotte South</v>
          </cell>
        </row>
        <row r="281">
          <cell r="B281" t="str">
            <v>LOTTE DONG NAI</v>
          </cell>
          <cell r="C281" t="str">
            <v>Lotte South</v>
          </cell>
          <cell r="D281" t="str">
            <v>Lotte South</v>
          </cell>
        </row>
        <row r="282">
          <cell r="B282" t="str">
            <v>LOTTE NAM SAIGON</v>
          </cell>
          <cell r="C282" t="str">
            <v>Lotte South</v>
          </cell>
          <cell r="D282" t="str">
            <v>Lotte South</v>
          </cell>
        </row>
        <row r="283">
          <cell r="B283" t="str">
            <v>LOTTE PHU THO</v>
          </cell>
          <cell r="C283" t="str">
            <v>Lotte South</v>
          </cell>
          <cell r="D283" t="str">
            <v>Lotte South</v>
          </cell>
        </row>
        <row r="284">
          <cell r="B284" t="str">
            <v>NGO VAN QUY</v>
          </cell>
          <cell r="C284" t="str">
            <v>NGÔ VĂN QUÝ</v>
          </cell>
          <cell r="D284" t="str">
            <v>Ngô Văn Quý</v>
          </cell>
        </row>
        <row r="285">
          <cell r="B285" t="str">
            <v>CHAU GIA KHUONG</v>
          </cell>
          <cell r="C285" t="str">
            <v>CHÂU GIA KHƯƠNG</v>
          </cell>
          <cell r="D285" t="str">
            <v>Châu Gia Khương</v>
          </cell>
        </row>
        <row r="286">
          <cell r="B286" t="str">
            <v>LOTTE TAN BINH</v>
          </cell>
          <cell r="C286" t="str">
            <v>Lotte South</v>
          </cell>
          <cell r="D286" t="str">
            <v>Lotte South</v>
          </cell>
        </row>
        <row r="287">
          <cell r="B287" t="str">
            <v>TOAN HUNG</v>
          </cell>
          <cell r="C287" t="str">
            <v>TOÀN HƯNG</v>
          </cell>
          <cell r="D287" t="str">
            <v>Toàn Hưng</v>
          </cell>
        </row>
        <row r="288">
          <cell r="B288" t="str">
            <v>UYEN CUONG</v>
          </cell>
          <cell r="C288" t="str">
            <v>UYÊN CƯỜNG</v>
          </cell>
          <cell r="D288" t="str">
            <v>Uyên Cường</v>
          </cell>
        </row>
        <row r="289">
          <cell r="B289" t="str">
            <v>BINH LUYNH</v>
          </cell>
          <cell r="C289" t="str">
            <v>BÌNH LUYNH</v>
          </cell>
          <cell r="D289" t="str">
            <v>E_Agent Bình Luynh</v>
          </cell>
        </row>
        <row r="290">
          <cell r="B290" t="str">
            <v>DUONG THI THANH</v>
          </cell>
          <cell r="C290" t="str">
            <v>DƯƠNG THỊ THANH</v>
          </cell>
          <cell r="D290" t="str">
            <v>C_Agent Dương Thị Thanh</v>
          </cell>
        </row>
        <row r="291">
          <cell r="B291" t="str">
            <v>AN PHU THANG</v>
          </cell>
          <cell r="C291" t="str">
            <v>AN PHÚ THẮNG</v>
          </cell>
          <cell r="D291" t="str">
            <v>C_Agent An Phú Thắng</v>
          </cell>
        </row>
        <row r="292">
          <cell r="B292" t="str">
            <v>THANH UY</v>
          </cell>
          <cell r="C292" t="str">
            <v>THANH ÚY</v>
          </cell>
          <cell r="D292" t="str">
            <v>C_Agent Thanh Úy</v>
          </cell>
        </row>
        <row r="293">
          <cell r="B293" t="str">
            <v>PHUOC BINH</v>
          </cell>
          <cell r="C293" t="str">
            <v>PHƯỚC BÌNH</v>
          </cell>
          <cell r="D293" t="str">
            <v>C_Agent Phước Bình</v>
          </cell>
        </row>
        <row r="294">
          <cell r="B294" t="str">
            <v>VUONG TAI</v>
          </cell>
          <cell r="C294" t="str">
            <v>VƯỢNG TÀI</v>
          </cell>
          <cell r="D294" t="str">
            <v>Vượng Tài</v>
          </cell>
        </row>
        <row r="295">
          <cell r="B295" t="str">
            <v>HONG QUE</v>
          </cell>
          <cell r="C295" t="str">
            <v>HỒNG QUẾ</v>
          </cell>
          <cell r="D295" t="str">
            <v>Hồng Quế</v>
          </cell>
        </row>
        <row r="296">
          <cell r="B296" t="str">
            <v>NGUYEN NGOC HUAN</v>
          </cell>
          <cell r="C296" t="str">
            <v>NGUYỄN NGỌC HUÂN</v>
          </cell>
          <cell r="D296" t="str">
            <v>N_Agent Nguyễn Ngọc Huân</v>
          </cell>
        </row>
        <row r="297">
          <cell r="B297" t="str">
            <v>LOTTE CAN THO</v>
          </cell>
          <cell r="C297" t="str">
            <v>Lotte South</v>
          </cell>
          <cell r="D297" t="str">
            <v>Lotte South</v>
          </cell>
        </row>
        <row r="298">
          <cell r="B298" t="str">
            <v>THANG DUNG</v>
          </cell>
          <cell r="C298" t="str">
            <v>THẮNG DUNG</v>
          </cell>
          <cell r="D298" t="str">
            <v>Thắng Dung</v>
          </cell>
        </row>
        <row r="299">
          <cell r="B299" t="str">
            <v>PHAM THI NHUNG</v>
          </cell>
          <cell r="C299" t="str">
            <v>PHẠM THỊ NHUNG</v>
          </cell>
          <cell r="D299" t="str">
            <v>Phạm Thị Nhung</v>
          </cell>
        </row>
        <row r="300">
          <cell r="B300" t="str">
            <v>PHUONG DUY</v>
          </cell>
          <cell r="C300" t="str">
            <v>PHƯƠNG DUY</v>
          </cell>
          <cell r="D300" t="str">
            <v>Phương Duy</v>
          </cell>
        </row>
        <row r="301">
          <cell r="B301" t="str">
            <v>YEN YANN</v>
          </cell>
          <cell r="C301" t="str">
            <v>YEN YANN</v>
          </cell>
          <cell r="D301" t="str">
            <v>Yen Yann</v>
          </cell>
        </row>
        <row r="302">
          <cell r="B302" t="str">
            <v>UNG KIM TY</v>
          </cell>
          <cell r="C302" t="str">
            <v>UNG KIM TY</v>
          </cell>
          <cell r="D302" t="str">
            <v>Ung Kim Ty</v>
          </cell>
        </row>
        <row r="303">
          <cell r="B303" t="str">
            <v>SOK HORN</v>
          </cell>
          <cell r="C303" t="str">
            <v>SOK HORN</v>
          </cell>
          <cell r="D303" t="str">
            <v>Sok Horn</v>
          </cell>
        </row>
        <row r="304">
          <cell r="B304" t="str">
            <v>MINH PHAT</v>
          </cell>
          <cell r="C304" t="str">
            <v>MINH PHÁT</v>
          </cell>
          <cell r="D304" t="str">
            <v>N_Agent Minh Phát</v>
          </cell>
        </row>
        <row r="305">
          <cell r="B305" t="str">
            <v>DANG KHOA LANG SON</v>
          </cell>
          <cell r="C305" t="str">
            <v>ĐĂNG KHOA LẠNG SƠN</v>
          </cell>
          <cell r="D305" t="str">
            <v>N_Agent Đăng Khoa Lạng Sơn</v>
          </cell>
        </row>
        <row r="306">
          <cell r="B306" t="str">
            <v>KHOUNTHAVY</v>
          </cell>
          <cell r="C306" t="str">
            <v>KHOUNTHAVY</v>
          </cell>
          <cell r="D306" t="str">
            <v>Khounthavy</v>
          </cell>
        </row>
        <row r="307">
          <cell r="B307" t="str">
            <v>NGUYEN THI LY TUYET</v>
          </cell>
          <cell r="C307" t="str">
            <v>NGUYỄN THỊ LÝ TUYẾT</v>
          </cell>
          <cell r="D307" t="str">
            <v>C_Agent Nguyễn Thị Lý Tuyết</v>
          </cell>
        </row>
        <row r="308">
          <cell r="B308" t="str">
            <v>KISU VIETNAM</v>
          </cell>
          <cell r="C308" t="str">
            <v>KISU VIỆT NAM</v>
          </cell>
          <cell r="D308" t="str">
            <v>Kisu Việt Nam</v>
          </cell>
        </row>
        <row r="309">
          <cell r="B309" t="str">
            <v>HAI DUONG</v>
          </cell>
          <cell r="C309" t="str">
            <v>HẢI DƯƠNG</v>
          </cell>
          <cell r="D309" t="str">
            <v>Hải Dương</v>
          </cell>
        </row>
        <row r="310">
          <cell r="B310" t="str">
            <v>TY MAI</v>
          </cell>
          <cell r="C310" t="str">
            <v>TỶ MAI</v>
          </cell>
          <cell r="D310" t="str">
            <v>Tỷ Mai</v>
          </cell>
        </row>
        <row r="311">
          <cell r="B311" t="str">
            <v>MAI GIA PHAT</v>
          </cell>
          <cell r="C311" t="str">
            <v>MAI GIA PHÁT</v>
          </cell>
          <cell r="D311" t="str">
            <v>Mai Gia Phát</v>
          </cell>
        </row>
        <row r="312">
          <cell r="B312" t="str">
            <v>BIG C - NEW CITY</v>
          </cell>
          <cell r="C312" t="str">
            <v>BIG C South</v>
          </cell>
          <cell r="D312" t="str">
            <v>BIG C South</v>
          </cell>
        </row>
        <row r="313">
          <cell r="B313" t="str">
            <v>HOANG TIEN THAO</v>
          </cell>
          <cell r="C313" t="str">
            <v>HOÀNG TIẾN THÁO</v>
          </cell>
          <cell r="D313" t="str">
            <v>N_Agent Hoàng Tiến Tháo</v>
          </cell>
        </row>
        <row r="314">
          <cell r="B314" t="str">
            <v>HUYNH THI HANH</v>
          </cell>
          <cell r="C314" t="str">
            <v>HUỲNH THỊ HẠNH</v>
          </cell>
          <cell r="D314" t="str">
            <v>C_Agent Huỳnh Thị Hạnh</v>
          </cell>
        </row>
        <row r="315">
          <cell r="B315" t="str">
            <v>HUNG PHAT</v>
          </cell>
          <cell r="C315" t="str">
            <v>HƯNG PHÁT</v>
          </cell>
          <cell r="D315" t="str">
            <v>C_Agent Hưng Phát</v>
          </cell>
        </row>
        <row r="316">
          <cell r="B316" t="str">
            <v>HA QUANG LONG</v>
          </cell>
          <cell r="C316" t="str">
            <v>HÀ QUANG LONG</v>
          </cell>
          <cell r="D316" t="str">
            <v>N_Agent Hà Quang Long</v>
          </cell>
        </row>
        <row r="317">
          <cell r="B317" t="str">
            <v>PHAN ANH TIEN</v>
          </cell>
          <cell r="C317" t="str">
            <v>PHAN ANH TIẾN</v>
          </cell>
          <cell r="D317" t="str">
            <v>Phan Anh Tiến</v>
          </cell>
        </row>
        <row r="318">
          <cell r="B318" t="str">
            <v>KHOI NGHIEP</v>
          </cell>
          <cell r="C318" t="str">
            <v>KHỞI NGHIỆP</v>
          </cell>
          <cell r="D318" t="str">
            <v>M_Agent Khởi Nghiệp</v>
          </cell>
        </row>
        <row r="319">
          <cell r="B319" t="str">
            <v>ONG THI THAI HA</v>
          </cell>
          <cell r="C319" t="str">
            <v>ÔNG THỊ THÁI HÀ</v>
          </cell>
          <cell r="D319" t="str">
            <v>C_Agent Ông Thị Thái Hà</v>
          </cell>
        </row>
        <row r="320">
          <cell r="B320" t="str">
            <v>LE MINH NHU</v>
          </cell>
          <cell r="C320" t="str">
            <v>LÊ MINH NHƯ</v>
          </cell>
          <cell r="D320" t="str">
            <v>E_Agent Lê Minh Như</v>
          </cell>
        </row>
        <row r="321">
          <cell r="B321" t="str">
            <v>NGOC NGA</v>
          </cell>
          <cell r="C321" t="str">
            <v>NGỌC NGA</v>
          </cell>
          <cell r="D321" t="str">
            <v>Ngọc Nga</v>
          </cell>
        </row>
        <row r="322">
          <cell r="B322" t="str">
            <v>NGUYEN THI HONG MINH</v>
          </cell>
          <cell r="C322" t="str">
            <v>NGUYỄN THỊ HỒNG MINH</v>
          </cell>
          <cell r="D322" t="str">
            <v>Nguyễn Thị Hồng Minh</v>
          </cell>
        </row>
        <row r="323">
          <cell r="B323" t="str">
            <v>VU HUNG</v>
          </cell>
          <cell r="C323" t="str">
            <v>VŨ HƯNG</v>
          </cell>
          <cell r="D323" t="str">
            <v>Vũ Hưng</v>
          </cell>
        </row>
        <row r="324">
          <cell r="B324" t="str">
            <v>LONG QUOC KIM</v>
          </cell>
          <cell r="C324" t="str">
            <v>LONG QUỐC KIM</v>
          </cell>
          <cell r="D324" t="str">
            <v>Long Quốc Kim</v>
          </cell>
        </row>
        <row r="325">
          <cell r="B325" t="str">
            <v>NGUYEN THI BE</v>
          </cell>
          <cell r="C325" t="str">
            <v>NGUYỄN THỊ BÉ</v>
          </cell>
          <cell r="D325" t="str">
            <v>N_Agent Nguyễn Thị Bé</v>
          </cell>
        </row>
        <row r="326">
          <cell r="B326" t="str">
            <v>NEW</v>
          </cell>
          <cell r="C326" t="str">
            <v>NEW</v>
          </cell>
          <cell r="D326" t="str">
            <v>New</v>
          </cell>
        </row>
        <row r="327">
          <cell r="B327" t="str">
            <v>KHANG PHU</v>
          </cell>
          <cell r="C327" t="str">
            <v>KHANG PHÚ</v>
          </cell>
          <cell r="D327" t="str">
            <v>Khang Phú</v>
          </cell>
        </row>
        <row r="328">
          <cell r="B328" t="str">
            <v>NGUYEN THANH NHAN</v>
          </cell>
          <cell r="C328" t="str">
            <v>NGUYỄN THANH NHÀN</v>
          </cell>
          <cell r="D328" t="str">
            <v>Nguyễn Thanh Nhàn</v>
          </cell>
        </row>
        <row r="329">
          <cell r="B329" t="str">
            <v>BIG C - VIET TRI</v>
          </cell>
          <cell r="C329" t="str">
            <v>BIG C North</v>
          </cell>
          <cell r="D329" t="str">
            <v>BIG C North</v>
          </cell>
        </row>
        <row r="330">
          <cell r="B330" t="str">
            <v>SON MY</v>
          </cell>
          <cell r="C330" t="str">
            <v>SƠN MỸ</v>
          </cell>
          <cell r="D330" t="str">
            <v>Sơn Mỹ</v>
          </cell>
        </row>
        <row r="331">
          <cell r="B331" t="str">
            <v>PHAM VAN MUNG</v>
          </cell>
          <cell r="C331" t="str">
            <v>PHẠM VĂN MỪNG</v>
          </cell>
          <cell r="D331" t="str">
            <v>Phạm Văn Mừng</v>
          </cell>
        </row>
        <row r="332">
          <cell r="B332" t="str">
            <v>GIA KHANH</v>
          </cell>
          <cell r="C332" t="str">
            <v>GIA KHÁNH</v>
          </cell>
          <cell r="D332" t="str">
            <v>Gia Khánh</v>
          </cell>
        </row>
        <row r="333">
          <cell r="B333" t="str">
            <v>TUAN THANH HCM</v>
          </cell>
          <cell r="C333" t="str">
            <v>TUẤN THÀNH HCM</v>
          </cell>
          <cell r="D333" t="str">
            <v>Tuấn Thành HCM</v>
          </cell>
        </row>
        <row r="334">
          <cell r="B334" t="str">
            <v>NGUYEN VAN CHON</v>
          </cell>
          <cell r="C334" t="str">
            <v>NGUYỄN VĂN CHỒN</v>
          </cell>
          <cell r="D334" t="str">
            <v>M_Agent Nguyễn Văn Chồn</v>
          </cell>
        </row>
        <row r="335">
          <cell r="B335" t="str">
            <v>HAI UYEN</v>
          </cell>
          <cell r="C335" t="str">
            <v>HẢI UYÊN</v>
          </cell>
          <cell r="D335" t="str">
            <v>Hải Uyên</v>
          </cell>
        </row>
        <row r="336">
          <cell r="B336" t="str">
            <v>TUAN PHONG</v>
          </cell>
          <cell r="C336" t="str">
            <v>TUẤN PHONG</v>
          </cell>
          <cell r="D336" t="str">
            <v>Tuấn Phong</v>
          </cell>
        </row>
        <row r="337">
          <cell r="B337" t="str">
            <v>BIG C - TAN HIEP</v>
          </cell>
          <cell r="C337" t="str">
            <v>Big C South</v>
          </cell>
          <cell r="D337" t="str">
            <v>Big C South</v>
          </cell>
        </row>
        <row r="338">
          <cell r="B338" t="str">
            <v>THY UNG VAN</v>
          </cell>
          <cell r="C338" t="str">
            <v>THY UNG VAN</v>
          </cell>
          <cell r="D338" t="str">
            <v>Thy Ung Van</v>
          </cell>
        </row>
        <row r="339">
          <cell r="B339" t="str">
            <v>MA CHANTHA</v>
          </cell>
          <cell r="C339" t="str">
            <v>MA CHANTHA</v>
          </cell>
          <cell r="D339" t="str">
            <v>Ma Chantha</v>
          </cell>
        </row>
        <row r="340">
          <cell r="B340" t="str">
            <v>ANH DUNG</v>
          </cell>
          <cell r="C340" t="str">
            <v>ANH DŨNG</v>
          </cell>
          <cell r="D340" t="str">
            <v>Anh Dũng</v>
          </cell>
        </row>
        <row r="341">
          <cell r="B341" t="str">
            <v>NGUYEN HUY</v>
          </cell>
          <cell r="C341" t="str">
            <v>NGUYỄN HUY</v>
          </cell>
          <cell r="D341" t="str">
            <v>Nguyễn Huy</v>
          </cell>
        </row>
        <row r="342">
          <cell r="B342" t="str">
            <v>DINH HOANG</v>
          </cell>
          <cell r="C342" t="str">
            <v>ĐỊNH HOÀNG</v>
          </cell>
          <cell r="D342" t="str">
            <v>Định Hoàng</v>
          </cell>
        </row>
        <row r="343">
          <cell r="B343" t="str">
            <v>TAM TAM</v>
          </cell>
          <cell r="C343" t="str">
            <v>TÂM TÂM</v>
          </cell>
          <cell r="D343" t="str">
            <v>Tâm Tâm</v>
          </cell>
        </row>
        <row r="344">
          <cell r="B344" t="str">
            <v>NGUYEN HUU NHAT</v>
          </cell>
          <cell r="C344" t="str">
            <v>NGUYỄN HỮU NHẬT</v>
          </cell>
          <cell r="D344" t="str">
            <v>E_Agent Nguyễn Hữu Nhật</v>
          </cell>
        </row>
        <row r="345">
          <cell r="B345" t="str">
            <v>THUOC LA HOANG</v>
          </cell>
          <cell r="C345" t="str">
            <v>THUỐC LÁ HOÀNG</v>
          </cell>
          <cell r="D345" t="str">
            <v>Thuốc Lá Hoàng</v>
          </cell>
        </row>
        <row r="346">
          <cell r="B346" t="str">
            <v>DAI BAO AN</v>
          </cell>
          <cell r="C346" t="str">
            <v>ĐẠI BẢO AN</v>
          </cell>
          <cell r="D346" t="str">
            <v>Đại Bảo An</v>
          </cell>
        </row>
        <row r="347">
          <cell r="B347" t="str">
            <v>MINH NGUYET</v>
          </cell>
          <cell r="C347" t="str">
            <v>MINH NGUYỆT</v>
          </cell>
          <cell r="D347" t="str">
            <v>Minh Nguyệt</v>
          </cell>
        </row>
        <row r="348">
          <cell r="B348" t="str">
            <v>PHUONG LONG HOA BINH</v>
          </cell>
          <cell r="C348" t="str">
            <v>PHƯỢNG LONG HÒA BÌNH</v>
          </cell>
          <cell r="D348" t="str">
            <v>N_Agent Phượng Long Hòa Bình</v>
          </cell>
        </row>
        <row r="349">
          <cell r="B349" t="str">
            <v>PHAM THI MINH THU</v>
          </cell>
          <cell r="C349" t="str">
            <v>PHẠM THỊ MINH THƯ</v>
          </cell>
          <cell r="D349" t="str">
            <v>Phạm Thị Minh Thư</v>
          </cell>
        </row>
        <row r="350">
          <cell r="B350" t="str">
            <v>LAM AN DAI PHAT</v>
          </cell>
          <cell r="C350" t="str">
            <v>LÂM AN ĐẠI PHÁT</v>
          </cell>
          <cell r="D350" t="str">
            <v>Lâm An Đại Phát</v>
          </cell>
        </row>
        <row r="351">
          <cell r="B351" t="str">
            <v>LOTTE GO VAP</v>
          </cell>
          <cell r="C351" t="str">
            <v>Lotte South</v>
          </cell>
          <cell r="D351" t="str">
            <v>Lotte South</v>
          </cell>
        </row>
        <row r="352">
          <cell r="B352" t="str">
            <v>LOTTE CAN THO</v>
          </cell>
          <cell r="C352" t="str">
            <v>Lotte South</v>
          </cell>
          <cell r="D352" t="str">
            <v>Lotte South</v>
          </cell>
        </row>
        <row r="353">
          <cell r="B353" t="str">
            <v>MAI BE THO</v>
          </cell>
          <cell r="C353" t="str">
            <v>MAI BÉ THƠ</v>
          </cell>
          <cell r="D353" t="str">
            <v>M_Agent Mai Bé Thơ</v>
          </cell>
        </row>
        <row r="354">
          <cell r="B354" t="str">
            <v>VINH THINH PHAP</v>
          </cell>
          <cell r="C354" t="str">
            <v>VINH THỊNH PHÁP</v>
          </cell>
          <cell r="D354" t="str">
            <v>Vinh Thịnh Pháp</v>
          </cell>
        </row>
        <row r="355">
          <cell r="B355" t="str">
            <v>KIEM BINH</v>
          </cell>
          <cell r="C355" t="str">
            <v>KIẾM BÌNH</v>
          </cell>
          <cell r="D355" t="str">
            <v>Kiếm Bình</v>
          </cell>
        </row>
        <row r="356">
          <cell r="B356" t="str">
            <v>HOANG THANH TAM</v>
          </cell>
          <cell r="C356" t="str">
            <v>HOÀNG THANH TÂM</v>
          </cell>
          <cell r="D356" t="str">
            <v>Hoàng Thanh Tâm</v>
          </cell>
        </row>
        <row r="357">
          <cell r="B357" t="str">
            <v>BACH VIET</v>
          </cell>
          <cell r="C357" t="str">
            <v>BÁCH VIỆT</v>
          </cell>
          <cell r="D357" t="str">
            <v>Bách Việt</v>
          </cell>
        </row>
        <row r="358">
          <cell r="B358" t="str">
            <v>NGUYEN HUU AN</v>
          </cell>
          <cell r="C358" t="str">
            <v>NGUYỄN HỮU AN</v>
          </cell>
          <cell r="D358" t="str">
            <v>Nguyễn Hữu An</v>
          </cell>
        </row>
        <row r="359">
          <cell r="B359" t="str">
            <v>TAM TAM MK</v>
          </cell>
          <cell r="C359" t="str">
            <v>TÂM TÂM MK</v>
          </cell>
          <cell r="D359" t="str">
            <v>Tâm Tâm MK</v>
          </cell>
        </row>
        <row r="360">
          <cell r="B360" t="str">
            <v>YEN NGOC</v>
          </cell>
          <cell r="C360" t="str">
            <v>YẾN NGỌC</v>
          </cell>
          <cell r="D360" t="str">
            <v xml:space="preserve">Yến Ngọc </v>
          </cell>
        </row>
        <row r="361">
          <cell r="B361" t="str">
            <v>LE MINH PHAT</v>
          </cell>
          <cell r="C361" t="str">
            <v>LÊ MINH PHÁT</v>
          </cell>
          <cell r="D361" t="str">
            <v>C_Agent Lê Minh Phát</v>
          </cell>
        </row>
        <row r="362">
          <cell r="B362" t="str">
            <v>TAVANA</v>
          </cell>
          <cell r="C362" t="str">
            <v>TAVANA</v>
          </cell>
          <cell r="D362" t="str">
            <v>Tavana</v>
          </cell>
        </row>
        <row r="363">
          <cell r="B363" t="str">
            <v>NGUYEN THI LY</v>
          </cell>
          <cell r="C363" t="str">
            <v>NGUYỄN THỊ LÝ</v>
          </cell>
          <cell r="D363" t="str">
            <v>E_Agent Nguyễn Thị Lý</v>
          </cell>
        </row>
        <row r="364">
          <cell r="B364" t="str">
            <v>NGUYEN VAN HOA</v>
          </cell>
          <cell r="C364" t="str">
            <v>NGUYỄN VĂN HÒA</v>
          </cell>
          <cell r="D364" t="str">
            <v>E_Agent Nguyễn Văn Hòa</v>
          </cell>
        </row>
        <row r="365">
          <cell r="B365" t="str">
            <v>DOAN TUAN ANH</v>
          </cell>
          <cell r="C365" t="str">
            <v>ĐOÀN TUẤN ANH</v>
          </cell>
          <cell r="D365" t="str">
            <v>N_Agent Đoàn Tuấn Anh</v>
          </cell>
        </row>
        <row r="366">
          <cell r="B366" t="str">
            <v>THUY HIEP</v>
          </cell>
          <cell r="C366" t="str">
            <v>THÚY HIỆP</v>
          </cell>
          <cell r="D366" t="str">
            <v>M_Agent Thúy Hiệp</v>
          </cell>
        </row>
        <row r="367">
          <cell r="B367" t="str">
            <v>KIM SANG</v>
          </cell>
          <cell r="C367" t="str">
            <v>KIM SANG</v>
          </cell>
          <cell r="D367" t="str">
            <v>Kim Sang</v>
          </cell>
        </row>
        <row r="368">
          <cell r="B368" t="str">
            <v>SON DIEP</v>
          </cell>
          <cell r="C368" t="str">
            <v>SƠN DiỆP</v>
          </cell>
          <cell r="D368" t="str">
            <v>Sơn Diệp</v>
          </cell>
        </row>
        <row r="369">
          <cell r="B369" t="str">
            <v>DANG MINH</v>
          </cell>
          <cell r="C369" t="str">
            <v>ĐĂNG MINH</v>
          </cell>
          <cell r="D369" t="str">
            <v>C_Agent Đăng Minh</v>
          </cell>
        </row>
        <row r="370">
          <cell r="B370" t="str">
            <v>HOA DONG PHAT</v>
          </cell>
          <cell r="C370" t="str">
            <v>HÒA ĐỒNG PHÁT</v>
          </cell>
          <cell r="D370" t="str">
            <v>C_Agent Hòa Đồng Phát</v>
          </cell>
        </row>
        <row r="371">
          <cell r="B371" t="str">
            <v>HOANG NGOC BI</v>
          </cell>
          <cell r="C371" t="str">
            <v>HOÀNG NGỌC BI</v>
          </cell>
          <cell r="D371" t="str">
            <v>C_Agent Hoàng Ngọc Bi</v>
          </cell>
        </row>
        <row r="372">
          <cell r="B372" t="str">
            <v>NGUYEN THI NGOC MAI</v>
          </cell>
          <cell r="C372" t="str">
            <v>NGUYỄN THỊ NGỌC MAI</v>
          </cell>
          <cell r="D372" t="str">
            <v>M_Agent Nguyễn Thị Ngọc Mai</v>
          </cell>
        </row>
        <row r="373">
          <cell r="B373" t="str">
            <v>DINH VAN THIN</v>
          </cell>
          <cell r="C373" t="str">
            <v>ĐINH VĂN THÌN</v>
          </cell>
          <cell r="D373" t="str">
            <v>Đinh Văn Thìn</v>
          </cell>
        </row>
        <row r="374">
          <cell r="B374" t="str">
            <v>TRAN THI CHIN</v>
          </cell>
          <cell r="C374" t="str">
            <v>TRẦN THỊ CHÍN</v>
          </cell>
          <cell r="D374" t="str">
            <v>Trần Thị Chín</v>
          </cell>
        </row>
        <row r="375">
          <cell r="B375" t="str">
            <v>MINH PHUOC</v>
          </cell>
          <cell r="C375" t="str">
            <v>MINH PHƯỚC</v>
          </cell>
          <cell r="D375" t="str">
            <v>M_Agent Minh Phước</v>
          </cell>
        </row>
        <row r="376">
          <cell r="B376" t="str">
            <v>DUONG THI HIEN</v>
          </cell>
          <cell r="C376" t="str">
            <v>DƯƠNG THỊ HIỀN</v>
          </cell>
          <cell r="D376" t="str">
            <v>N_Agent Dương Thị Hiền</v>
          </cell>
        </row>
        <row r="377">
          <cell r="B377" t="str">
            <v>NGUYEN THI CUC</v>
          </cell>
          <cell r="C377" t="str">
            <v>NGUYỄN THỊ CÚC</v>
          </cell>
          <cell r="D377" t="str">
            <v>Nguyễn Thị Cúc</v>
          </cell>
        </row>
        <row r="378">
          <cell r="B378" t="str">
            <v>NGUYEN TRUONG GIANG</v>
          </cell>
          <cell r="C378" t="str">
            <v>NGUYỄN TRƯỜNG GIANG</v>
          </cell>
          <cell r="D378" t="str">
            <v>N_Agent Nguyễn Trường Giang</v>
          </cell>
        </row>
        <row r="379">
          <cell r="B379" t="str">
            <v>THANH HUONG</v>
          </cell>
          <cell r="C379" t="str">
            <v>THANH HƯƠNG</v>
          </cell>
          <cell r="D379" t="str">
            <v>E_Agent Thanh Hương</v>
          </cell>
        </row>
        <row r="380">
          <cell r="B380" t="str">
            <v>KHACH LE</v>
          </cell>
          <cell r="C380" t="str">
            <v>KHÁCH LẺ</v>
          </cell>
          <cell r="D380" t="str">
            <v>Khách lẻ</v>
          </cell>
        </row>
        <row r="381">
          <cell r="B381" t="str">
            <v>KIM HOANG</v>
          </cell>
          <cell r="C381" t="str">
            <v>KIM HOÀNG</v>
          </cell>
          <cell r="D381" t="str">
            <v>Kim Hoàng</v>
          </cell>
        </row>
        <row r="382">
          <cell r="B382" t="str">
            <v>LOTTE NHA TRANG</v>
          </cell>
          <cell r="C382" t="str">
            <v>Lotte South</v>
          </cell>
          <cell r="D382" t="str">
            <v>Lotte South</v>
          </cell>
        </row>
        <row r="383">
          <cell r="B383" t="str">
            <v>THIEN HUONG</v>
          </cell>
          <cell r="C383" t="str">
            <v>THIÊN HƯƠNG</v>
          </cell>
          <cell r="D383" t="str">
            <v>Thiên Hương</v>
          </cell>
        </row>
        <row r="384">
          <cell r="B384" t="str">
            <v>DUC THUAN</v>
          </cell>
          <cell r="C384" t="str">
            <v>ĐỨC THUẬN</v>
          </cell>
          <cell r="D384" t="str">
            <v>M_Agent Đức Thuận</v>
          </cell>
        </row>
        <row r="385">
          <cell r="B385" t="str">
            <v>MAI KHAC TRUNG</v>
          </cell>
          <cell r="C385" t="str">
            <v>MAI KHẮC TRUNG</v>
          </cell>
          <cell r="D385" t="str">
            <v>N_Agent Mai Khắc Trung</v>
          </cell>
        </row>
        <row r="386">
          <cell r="B386" t="str">
            <v>NAM HOA</v>
          </cell>
          <cell r="C386" t="str">
            <v>NAM HOA</v>
          </cell>
          <cell r="D386" t="str">
            <v>Nam Hoa</v>
          </cell>
        </row>
        <row r="387">
          <cell r="B387" t="str">
            <v>SON THANH DAN</v>
          </cell>
          <cell r="C387" t="str">
            <v>SƠN THANH DÂN</v>
          </cell>
          <cell r="D387" t="str">
            <v>M_Agent Sơn Thanh Dân</v>
          </cell>
        </row>
        <row r="388">
          <cell r="B388" t="str">
            <v>DUONG THI QUYEN</v>
          </cell>
          <cell r="C388" t="str">
            <v>DƯƠNG THỊ QUYÊN</v>
          </cell>
          <cell r="D388" t="str">
            <v>Dương Thị Quyên</v>
          </cell>
        </row>
        <row r="389">
          <cell r="B389" t="str">
            <v>HOANG NGUYEN</v>
          </cell>
          <cell r="C389" t="str">
            <v>HOÀNG NGUYỄN</v>
          </cell>
          <cell r="D389" t="str">
            <v>Hoàng Nguyễn</v>
          </cell>
        </row>
        <row r="390">
          <cell r="B390" t="str">
            <v>NGUYEN THI CHAU</v>
          </cell>
          <cell r="C390" t="str">
            <v>NGUYỄN THỊ CHÂU</v>
          </cell>
          <cell r="D390" t="str">
            <v>N_Agent Nguyễn Thị Châu</v>
          </cell>
        </row>
        <row r="391">
          <cell r="B391" t="str">
            <v>DUONG SANG</v>
          </cell>
          <cell r="C391" t="str">
            <v>DƯƠNG SANG</v>
          </cell>
          <cell r="D391" t="str">
            <v>E_Agent Dương Sang</v>
          </cell>
        </row>
        <row r="392">
          <cell r="B392" t="str">
            <v>XUAN VUONG</v>
          </cell>
          <cell r="C392" t="str">
            <v>XUÂN VƯỢNG</v>
          </cell>
          <cell r="D392" t="str">
            <v>Xuân Vượng</v>
          </cell>
        </row>
        <row r="393">
          <cell r="B393" t="str">
            <v>HUYNH GIA</v>
          </cell>
          <cell r="C393" t="str">
            <v>HUỲNH GIA</v>
          </cell>
          <cell r="D393" t="str">
            <v>Huỳnh Gia</v>
          </cell>
        </row>
        <row r="394">
          <cell r="B394" t="str">
            <v>NGUYEN KHOA DANG</v>
          </cell>
          <cell r="C394" t="str">
            <v>NGUYỄN KHOA ĐĂNG</v>
          </cell>
          <cell r="D394" t="str">
            <v>Nguyễn Khoa Đăng</v>
          </cell>
        </row>
        <row r="395">
          <cell r="B395" t="str">
            <v>MAI PHUONG</v>
          </cell>
          <cell r="C395" t="str">
            <v>MAI PHƯƠNG</v>
          </cell>
          <cell r="D395" t="str">
            <v>E_Agent Mai Phương</v>
          </cell>
        </row>
        <row r="396">
          <cell r="B396" t="str">
            <v>NGUYEN TRONG HIEU</v>
          </cell>
          <cell r="C396" t="str">
            <v>NGUYỄN TRỌNG HIẾU</v>
          </cell>
          <cell r="D396" t="str">
            <v>Nguyễn Trọng Hiếu</v>
          </cell>
        </row>
        <row r="397">
          <cell r="B397" t="str">
            <v>PHAM THI THU HANG</v>
          </cell>
          <cell r="C397" t="str">
            <v>PHẠM THỊ THU HẰNG</v>
          </cell>
          <cell r="D397" t="str">
            <v>Phạm Thị Thu Hằng</v>
          </cell>
        </row>
        <row r="398">
          <cell r="B398" t="str">
            <v>NGUYEN THANH LAM</v>
          </cell>
          <cell r="C398" t="str">
            <v>NGUYỄN THANH LÂM</v>
          </cell>
          <cell r="D398" t="str">
            <v>Nguyễn Thanh Lâm</v>
          </cell>
        </row>
        <row r="399">
          <cell r="B399" t="str">
            <v>LE THI ANH THU</v>
          </cell>
          <cell r="C399" t="str">
            <v>LÊ THỊ ANH THƯ</v>
          </cell>
          <cell r="D399" t="str">
            <v>Lê Thị Anh Thư</v>
          </cell>
        </row>
        <row r="400">
          <cell r="B400" t="str">
            <v>HUONG THAO (BUI VAN SY)</v>
          </cell>
          <cell r="C400" t="str">
            <v>HƯƠNG THẢO (BÙI VĂN SỸ)</v>
          </cell>
          <cell r="D400" t="str">
            <v>Hương Thảo</v>
          </cell>
        </row>
        <row r="401">
          <cell r="B401" t="str">
            <v>PHAM THI THEU (TUAN ANH)</v>
          </cell>
          <cell r="C401" t="str">
            <v>PHẠM THỊ THÊU</v>
          </cell>
          <cell r="D401" t="str">
            <v>E_Agent Phạm Thị Thêu</v>
          </cell>
        </row>
        <row r="402">
          <cell r="B402" t="str">
            <v>HA VAN TU</v>
          </cell>
          <cell r="C402" t="str">
            <v>HÀ VĂN TÚ</v>
          </cell>
          <cell r="D402" t="str">
            <v>N_Agent Hà Văn Tú</v>
          </cell>
        </row>
        <row r="403">
          <cell r="B403" t="str">
            <v>PHUC AN BINH</v>
          </cell>
          <cell r="C403" t="str">
            <v>PHÚC AN BÌNH</v>
          </cell>
          <cell r="D403" t="str">
            <v>Phúc An Bình</v>
          </cell>
        </row>
        <row r="404">
          <cell r="B404" t="str">
            <v>QUAN GIA PHUOC</v>
          </cell>
          <cell r="C404" t="str">
            <v>QUẢN GIA PHƯỚC</v>
          </cell>
          <cell r="D404" t="str">
            <v>Quản Gia Phước</v>
          </cell>
        </row>
        <row r="405">
          <cell r="B405" t="str">
            <v>TAI DAT LOC</v>
          </cell>
          <cell r="C405" t="str">
            <v>TÀI ĐẠT LỘC</v>
          </cell>
          <cell r="D405" t="str">
            <v>N_Agent Tài Đạt Lộc</v>
          </cell>
        </row>
        <row r="406">
          <cell r="B406" t="str">
            <v>THIEN AN</v>
          </cell>
          <cell r="C406" t="str">
            <v>THIÊN ÂN</v>
          </cell>
          <cell r="D406" t="str">
            <v>M_Agent Thiên Ân</v>
          </cell>
        </row>
        <row r="407">
          <cell r="B407" t="str">
            <v>HONG BAC</v>
          </cell>
          <cell r="C407" t="str">
            <v>HỒNG BẮC</v>
          </cell>
          <cell r="D407" t="str">
            <v>Hồng Bắc</v>
          </cell>
        </row>
        <row r="408">
          <cell r="B408" t="str">
            <v>VAN THO</v>
          </cell>
          <cell r="C408" t="str">
            <v>VẠN THỌ</v>
          </cell>
          <cell r="D408" t="str">
            <v>N_Agent Vạn Thọ</v>
          </cell>
        </row>
        <row r="409">
          <cell r="B409" t="str">
            <v>NGUYEN DINH ANH</v>
          </cell>
          <cell r="C409" t="str">
            <v>NGUYỄN ĐÌNH ANH</v>
          </cell>
          <cell r="D409" t="str">
            <v>Nguyễn Đình Anh</v>
          </cell>
        </row>
        <row r="410">
          <cell r="B410" t="str">
            <v>KHACH LE A</v>
          </cell>
          <cell r="C410" t="str">
            <v>KHÁCH LẺ A</v>
          </cell>
          <cell r="D410" t="str">
            <v>Khách lẻ A</v>
          </cell>
        </row>
        <row r="411">
          <cell r="B411" t="str">
            <v>LAI MANH HUNG</v>
          </cell>
          <cell r="C411" t="str">
            <v>LẠI MẠNH HÙNG</v>
          </cell>
          <cell r="D411" t="str">
            <v>N_Agent Lại Mạnh Hùng</v>
          </cell>
        </row>
        <row r="412">
          <cell r="B412" t="str">
            <v>DOAN VU KHIEM</v>
          </cell>
          <cell r="C412" t="str">
            <v>ĐOÀN VŨ KHIÊM</v>
          </cell>
          <cell r="D412" t="str">
            <v>N_Agent Đoàn Vũ Khiêm</v>
          </cell>
        </row>
        <row r="413">
          <cell r="B413" t="str">
            <v>THUAN PHAT</v>
          </cell>
          <cell r="C413" t="str">
            <v>THUẬN PHÁT</v>
          </cell>
          <cell r="D413" t="str">
            <v>Thuận Phát</v>
          </cell>
        </row>
        <row r="414">
          <cell r="B414" t="str">
            <v>NGO HONG PHUONG</v>
          </cell>
          <cell r="C414" t="str">
            <v>NGÔ HỒNG PHƯƠNG</v>
          </cell>
          <cell r="D414" t="str">
            <v>M_Agent Ngô Hồng Phương</v>
          </cell>
        </row>
        <row r="415">
          <cell r="B415" t="str">
            <v>TRAN QUANG TRUNG</v>
          </cell>
          <cell r="C415" t="str">
            <v>TRẦN QUANG TRUNG</v>
          </cell>
          <cell r="D415" t="str">
            <v>E_Agent Trần Quang Trung</v>
          </cell>
        </row>
        <row r="416">
          <cell r="B416" t="str">
            <v>DUONG THI HONG NHI</v>
          </cell>
          <cell r="C416" t="str">
            <v>DƯƠNG THỊ HỒNG NHI</v>
          </cell>
          <cell r="D416" t="str">
            <v>E_Agent Dương Thị Hồng Nhi</v>
          </cell>
        </row>
        <row r="417">
          <cell r="B417" t="str">
            <v>NGUYEN THI NHUNG (NHUNG KHOA)</v>
          </cell>
          <cell r="C417" t="str">
            <v>NGUYỄN THỊ NHUNG</v>
          </cell>
          <cell r="D417" t="str">
            <v>Nguyễn Thị Nhung</v>
          </cell>
        </row>
        <row r="418">
          <cell r="B418" t="str">
            <v>NONG THI THAO</v>
          </cell>
          <cell r="C418" t="str">
            <v>NÔNG THỊ THẢO</v>
          </cell>
          <cell r="D418" t="str">
            <v>Nông Thị Thảo</v>
          </cell>
        </row>
        <row r="419">
          <cell r="B419" t="str">
            <v>NAM THAI</v>
          </cell>
          <cell r="C419" t="str">
            <v>NAM THÁI</v>
          </cell>
          <cell r="D419" t="str">
            <v>Nam Thái</v>
          </cell>
        </row>
        <row r="420">
          <cell r="B420" t="str">
            <v>COOP NORTH</v>
          </cell>
          <cell r="C420" t="str">
            <v>COOP North</v>
          </cell>
          <cell r="D420" t="str">
            <v>COOP North</v>
          </cell>
        </row>
        <row r="421">
          <cell r="B421" t="str">
            <v>COOP CENTRAL</v>
          </cell>
          <cell r="C421" t="str">
            <v>COOP Central</v>
          </cell>
          <cell r="D421" t="str">
            <v>COOP Central</v>
          </cell>
        </row>
        <row r="422">
          <cell r="B422" t="str">
            <v>HUNG HA</v>
          </cell>
          <cell r="C422" t="str">
            <v>HƯNG HÀ</v>
          </cell>
          <cell r="D422" t="str">
            <v>Hưng Hà</v>
          </cell>
        </row>
        <row r="423">
          <cell r="B423" t="str">
            <v>NGO VAN THANH</v>
          </cell>
          <cell r="C423" t="str">
            <v>NGÔ VĂN THÀNH</v>
          </cell>
          <cell r="D423" t="str">
            <v>Ngô Văn Thành</v>
          </cell>
        </row>
        <row r="424">
          <cell r="B424" t="str">
            <v>DAI DAI PHAT</v>
          </cell>
          <cell r="C424" t="str">
            <v>ĐẠI ĐẠI PHÁT</v>
          </cell>
          <cell r="D424" t="str">
            <v>Đại Đại Phát</v>
          </cell>
        </row>
        <row r="425">
          <cell r="B425" t="str">
            <v>TOAN QUOC</v>
          </cell>
          <cell r="C425" t="str">
            <v>TOÀN QUỐC</v>
          </cell>
          <cell r="D425" t="str">
            <v>Toàn Quốc</v>
          </cell>
        </row>
        <row r="426">
          <cell r="B426" t="str">
            <v>KIM ANH</v>
          </cell>
          <cell r="C426" t="str">
            <v>KIM ANH</v>
          </cell>
          <cell r="D426" t="str">
            <v>Kim Anh</v>
          </cell>
        </row>
        <row r="427">
          <cell r="B427" t="str">
            <v>THAM BINH</v>
          </cell>
          <cell r="C427" t="str">
            <v>THẮM BÌNH</v>
          </cell>
          <cell r="D427" t="str">
            <v>Thắm Bình</v>
          </cell>
        </row>
        <row r="428">
          <cell r="B428" t="str">
            <v>THU HONG HCM</v>
          </cell>
          <cell r="C428" t="str">
            <v>THU HỒNG HCM</v>
          </cell>
          <cell r="D428" t="str">
            <v>Thu Hồng HCM</v>
          </cell>
        </row>
        <row r="429">
          <cell r="B429" t="str">
            <v>AI MY</v>
          </cell>
          <cell r="C429" t="str">
            <v>ÁI MY</v>
          </cell>
          <cell r="D429" t="str">
            <v>Ái My</v>
          </cell>
        </row>
        <row r="430">
          <cell r="B430" t="str">
            <v>CHU THI MINH</v>
          </cell>
          <cell r="C430" t="str">
            <v>CHU THỊ MINH</v>
          </cell>
          <cell r="D430" t="str">
            <v>Chu Thị Minh</v>
          </cell>
        </row>
        <row r="431">
          <cell r="B431" t="str">
            <v>MAI THI KIM LOAN</v>
          </cell>
          <cell r="C431" t="str">
            <v>MAI THỊ KIM LOAN</v>
          </cell>
          <cell r="D431" t="str">
            <v>Mai Thị Kim Loan</v>
          </cell>
        </row>
        <row r="432">
          <cell r="B432" t="str">
            <v>QUANG LOC</v>
          </cell>
          <cell r="C432" t="str">
            <v>QUANG LỘC</v>
          </cell>
          <cell r="D432" t="str">
            <v>Quang Lộc</v>
          </cell>
        </row>
        <row r="433">
          <cell r="B433" t="str">
            <v>DO THI VIET</v>
          </cell>
          <cell r="C433" t="str">
            <v>ĐỖ THỊ VIỆT</v>
          </cell>
          <cell r="D433" t="str">
            <v>Đỗ Thị Việt</v>
          </cell>
        </row>
        <row r="434">
          <cell r="B434" t="str">
            <v>NHAT MINH ANH</v>
          </cell>
          <cell r="C434" t="str">
            <v>NHẬT MINH ANH</v>
          </cell>
          <cell r="D434" t="str">
            <v>Nhật Minh Anh</v>
          </cell>
        </row>
        <row r="435">
          <cell r="B435" t="str">
            <v>KIM PHI</v>
          </cell>
          <cell r="C435" t="str">
            <v>KIM PHI</v>
          </cell>
          <cell r="D435" t="str">
            <v>Kim Phi</v>
          </cell>
        </row>
        <row r="436">
          <cell r="B436" t="str">
            <v>HUYNH ANH</v>
          </cell>
          <cell r="C436" t="str">
            <v>HUỲNH ANH</v>
          </cell>
          <cell r="D436" t="str">
            <v>Huỳnh Anh</v>
          </cell>
        </row>
        <row r="437">
          <cell r="B437" t="str">
            <v>VAN LONG PHAT</v>
          </cell>
          <cell r="C437" t="str">
            <v>VÂN LONG PHÁT</v>
          </cell>
          <cell r="D437" t="str">
            <v>Vân Long Phát</v>
          </cell>
        </row>
        <row r="438">
          <cell r="B438" t="str">
            <v>QUYNH ANH</v>
          </cell>
          <cell r="C438" t="str">
            <v>QUỲNH ANH</v>
          </cell>
          <cell r="D438" t="str">
            <v>Quỳnh Anh</v>
          </cell>
        </row>
        <row r="439">
          <cell r="B439" t="str">
            <v>MAI LE</v>
          </cell>
          <cell r="C439" t="str">
            <v>MAI LÊ</v>
          </cell>
          <cell r="D439" t="str">
            <v>Mai Lê</v>
          </cell>
        </row>
        <row r="440">
          <cell r="B440" t="str">
            <v>VINH VINH PHU</v>
          </cell>
          <cell r="C440" t="str">
            <v>VINH VINH PHÚ</v>
          </cell>
          <cell r="D440" t="str">
            <v>Vinh Vinh Phú</v>
          </cell>
        </row>
        <row r="441">
          <cell r="B441" t="str">
            <v>NGO THI DU</v>
          </cell>
          <cell r="C441" t="str">
            <v>NGÔ THỊ DU</v>
          </cell>
          <cell r="D441" t="str">
            <v>Ngô Thị Du</v>
          </cell>
        </row>
        <row r="442">
          <cell r="B442" t="str">
            <v>THAO DUY</v>
          </cell>
          <cell r="C442" t="str">
            <v>THẢO DUY</v>
          </cell>
          <cell r="D442" t="str">
            <v>Thảo Duy</v>
          </cell>
        </row>
        <row r="443">
          <cell r="B443" t="str">
            <v>HOA HUNG ANH</v>
          </cell>
          <cell r="C443" t="str">
            <v>HOA HƯNG ANH</v>
          </cell>
          <cell r="D443" t="str">
            <v>Hoa Hưng Anh</v>
          </cell>
        </row>
        <row r="444">
          <cell r="B444" t="str">
            <v>BUI THI NGUYET</v>
          </cell>
          <cell r="C444" t="str">
            <v>BÙI THỊ NGUYỆT</v>
          </cell>
          <cell r="D444" t="str">
            <v>Bùi Thị Nguyệt</v>
          </cell>
        </row>
        <row r="445">
          <cell r="B445" t="str">
            <v>HUY KHOA</v>
          </cell>
          <cell r="C445" t="str">
            <v>HUY KHOA</v>
          </cell>
          <cell r="D445" t="str">
            <v>Huy Khoa</v>
          </cell>
        </row>
        <row r="446">
          <cell r="B446" t="str">
            <v>HO NGOC HAI</v>
          </cell>
          <cell r="C446" t="str">
            <v>HỒ NGỌC HẢI</v>
          </cell>
          <cell r="D446" t="str">
            <v>Hồ Ngọc Hải</v>
          </cell>
        </row>
        <row r="447">
          <cell r="B447" t="str">
            <v>CUA HANG KIM YEN</v>
          </cell>
          <cell r="C447" t="str">
            <v>KIM YẾN</v>
          </cell>
          <cell r="D447" t="str">
            <v>Kim Yến</v>
          </cell>
        </row>
        <row r="448">
          <cell r="B448" t="str">
            <v>HO KINH DOANH HOANG</v>
          </cell>
          <cell r="C448" t="str">
            <v>HỘ KINH DOANH HOÀNG</v>
          </cell>
          <cell r="D448" t="str">
            <v>Hộ Kinh Doanh Hoàng</v>
          </cell>
        </row>
        <row r="449">
          <cell r="B449" t="str">
            <v>PHUONG LOC HANH</v>
          </cell>
          <cell r="C449" t="str">
            <v>PHƯƠNG LỘC HẠNH</v>
          </cell>
          <cell r="D449" t="str">
            <v>Phương Lộc Hạnh</v>
          </cell>
        </row>
        <row r="450">
          <cell r="B450" t="str">
            <v>KIEN THUC</v>
          </cell>
          <cell r="C450" t="str">
            <v>KIẾN THỨC</v>
          </cell>
          <cell r="D450" t="str">
            <v>Kiến Thức</v>
          </cell>
        </row>
        <row r="451">
          <cell r="B451" t="str">
            <v>DOAN THI CHANH</v>
          </cell>
          <cell r="C451" t="str">
            <v>DOÃN THỊ CHÁNH</v>
          </cell>
          <cell r="D451" t="str">
            <v>Doãn Thị Chánh</v>
          </cell>
        </row>
        <row r="452">
          <cell r="B452" t="str">
            <v>HUA THANH HAO</v>
          </cell>
          <cell r="C452" t="str">
            <v>HỨA THANH HẢO</v>
          </cell>
          <cell r="D452" t="str">
            <v>Hứa Thanh Hảo</v>
          </cell>
        </row>
        <row r="453">
          <cell r="B453" t="str">
            <v>VINH PHUC THINH</v>
          </cell>
          <cell r="C453" t="str">
            <v>VĨNH PHÚC THỊNH</v>
          </cell>
          <cell r="D453" t="str">
            <v>Vĩnh Phúc Thịnh</v>
          </cell>
        </row>
        <row r="454">
          <cell r="B454" t="str">
            <v>LIEN THANH</v>
          </cell>
          <cell r="C454" t="str">
            <v>LIÊN THÀNH</v>
          </cell>
          <cell r="D454" t="str">
            <v>Liên Thành</v>
          </cell>
        </row>
        <row r="455">
          <cell r="B455" t="str">
            <v>TRUONG AN LY</v>
          </cell>
          <cell r="C455" t="str">
            <v>TRƯỜNG AN LÝ</v>
          </cell>
          <cell r="D455" t="str">
            <v>Trường An Lý</v>
          </cell>
        </row>
        <row r="456">
          <cell r="B456" t="str">
            <v>VIET HUONG</v>
          </cell>
          <cell r="C456" t="str">
            <v>VIỆT HƯƠNG</v>
          </cell>
          <cell r="D456" t="str">
            <v>Việt Hương</v>
          </cell>
        </row>
        <row r="457">
          <cell r="B457" t="str">
            <v>LE THI MONG ANH</v>
          </cell>
          <cell r="C457" t="str">
            <v>LÊ THỊ MỘNG ANH</v>
          </cell>
          <cell r="D457" t="str">
            <v>Lê Thị Mộng Anh</v>
          </cell>
        </row>
        <row r="458">
          <cell r="B458" t="str">
            <v>NGOC BICH</v>
          </cell>
          <cell r="C458" t="str">
            <v>NGỌC BÍCH</v>
          </cell>
          <cell r="D458" t="str">
            <v>Ngọc Bích</v>
          </cell>
        </row>
        <row r="459">
          <cell r="B459" t="str">
            <v>DU THI KIM ANH</v>
          </cell>
          <cell r="C459" t="str">
            <v>DƯ THỊ KIM ANH</v>
          </cell>
          <cell r="D459" t="str">
            <v>Dư Thị Kim Anh</v>
          </cell>
        </row>
        <row r="460">
          <cell r="B460" t="str">
            <v>HO KINH DOANH NAM THU</v>
          </cell>
          <cell r="C460" t="str">
            <v>HỘ KINH DOANH NAM THƯ</v>
          </cell>
          <cell r="D460" t="str">
            <v>Hộ Kinh Doanh Nam Thư</v>
          </cell>
        </row>
        <row r="461">
          <cell r="B461" t="str">
            <v>CUONG NGUYEN</v>
          </cell>
          <cell r="C461" t="str">
            <v>CƯỜNG NGUYỄN</v>
          </cell>
          <cell r="D461" t="str">
            <v>Cường Nguyễn</v>
          </cell>
        </row>
        <row r="462">
          <cell r="B462" t="str">
            <v>MINH THU</v>
          </cell>
          <cell r="C462" t="str">
            <v>MINH THƯ</v>
          </cell>
          <cell r="D462" t="str">
            <v>Minh Thư</v>
          </cell>
        </row>
        <row r="463">
          <cell r="B463" t="str">
            <v>NGUYEN THI KIM HUONG</v>
          </cell>
          <cell r="C463" t="str">
            <v>NGUYỄN THỊ KIM HƯƠNG</v>
          </cell>
          <cell r="D463" t="str">
            <v>Nguyễn Thị Kim Hương</v>
          </cell>
        </row>
        <row r="464">
          <cell r="B464" t="str">
            <v>NAM HUNG</v>
          </cell>
          <cell r="C464" t="str">
            <v>NAM HƯNG</v>
          </cell>
          <cell r="D464" t="str">
            <v>Nam Hưng</v>
          </cell>
        </row>
        <row r="465">
          <cell r="B465" t="str">
            <v>NGUYEN NAM</v>
          </cell>
          <cell r="C465" t="str">
            <v>NGUYỄN NAM</v>
          </cell>
          <cell r="D465" t="str">
            <v>Nguyễn Nam</v>
          </cell>
        </row>
        <row r="466">
          <cell r="B466" t="str">
            <v>RED ROCK</v>
          </cell>
          <cell r="C466" t="str">
            <v>RED ROCK</v>
          </cell>
          <cell r="D466" t="str">
            <v>Red rock</v>
          </cell>
        </row>
        <row r="467">
          <cell r="B467" t="str">
            <v>THANH TRI</v>
          </cell>
          <cell r="C467" t="str">
            <v>THANH TRÍ</v>
          </cell>
          <cell r="D467" t="str">
            <v>Thanh Trí</v>
          </cell>
        </row>
        <row r="468">
          <cell r="B468" t="str">
            <v>TUAN TUYET</v>
          </cell>
          <cell r="C468" t="str">
            <v>TUẤN TUYẾT</v>
          </cell>
          <cell r="D468" t="str">
            <v>Tuấn Tuyết</v>
          </cell>
        </row>
        <row r="469">
          <cell r="B469" t="str">
            <v>THANH DAT VINH</v>
          </cell>
          <cell r="C469" t="str">
            <v>THÀNH ĐẠT VINH</v>
          </cell>
          <cell r="D469" t="str">
            <v>Thành Đạt Vinh</v>
          </cell>
        </row>
        <row r="470">
          <cell r="B470" t="str">
            <v>HUYNH HAI VINH</v>
          </cell>
          <cell r="C470" t="str">
            <v>HUỲNH HẢI VINH</v>
          </cell>
          <cell r="D470" t="str">
            <v>Huỳnh Hải Vinh</v>
          </cell>
        </row>
        <row r="471">
          <cell r="B471" t="str">
            <v>NGO ANH TUAN</v>
          </cell>
          <cell r="C471" t="str">
            <v>NGÔ ANH TUẤN</v>
          </cell>
          <cell r="D471" t="str">
            <v>Ngô Anh Tuấn</v>
          </cell>
        </row>
        <row r="472">
          <cell r="B472" t="str">
            <v>THANH MAN</v>
          </cell>
          <cell r="C472" t="str">
            <v>THANH MẪN</v>
          </cell>
          <cell r="D472" t="str">
            <v>Thanh Mẫn</v>
          </cell>
        </row>
        <row r="473">
          <cell r="B473" t="str">
            <v>DUONG GIA HAN</v>
          </cell>
          <cell r="C473" t="str">
            <v>DƯƠNG GIA HÂN</v>
          </cell>
          <cell r="D473" t="str">
            <v>Dương Gia Hân</v>
          </cell>
        </row>
        <row r="474">
          <cell r="B474" t="str">
            <v>LE NGUYEN HUONG PHAT</v>
          </cell>
          <cell r="C474" t="str">
            <v>LÊ NGUYỄN HƯƠNG PHÁT</v>
          </cell>
          <cell r="D474" t="str">
            <v>Lê Nguyễn Hương Phát</v>
          </cell>
        </row>
        <row r="475">
          <cell r="B475" t="str">
            <v>LE THUY</v>
          </cell>
          <cell r="C475" t="str">
            <v>LỆ THỦY</v>
          </cell>
          <cell r="D475" t="str">
            <v>Lệ Thủy</v>
          </cell>
        </row>
        <row r="476">
          <cell r="B476" t="str">
            <v>HUNG PHAT HCM</v>
          </cell>
          <cell r="C476" t="str">
            <v>HƯNG PHÁT HCM</v>
          </cell>
          <cell r="D476" t="str">
            <v>Hưng Phát HCM</v>
          </cell>
        </row>
        <row r="477">
          <cell r="B477" t="str">
            <v>THUC QUYEN</v>
          </cell>
          <cell r="C477" t="str">
            <v>THỤC QUYÊN</v>
          </cell>
          <cell r="D477" t="str">
            <v>Thục Quyên</v>
          </cell>
        </row>
        <row r="478">
          <cell r="B478" t="str">
            <v>NAM HONG NAM</v>
          </cell>
          <cell r="C478" t="str">
            <v>NAM HỒNG NAM</v>
          </cell>
          <cell r="D478" t="str">
            <v>Nam Hồng Nam</v>
          </cell>
        </row>
        <row r="479">
          <cell r="B479" t="str">
            <v>TO THANH SON</v>
          </cell>
          <cell r="C479" t="str">
            <v>TÔ THANH SƠN</v>
          </cell>
          <cell r="D479" t="str">
            <v>Tô Thanh Sơn</v>
          </cell>
        </row>
        <row r="480">
          <cell r="B480" t="str">
            <v>HOANG PHUC</v>
          </cell>
          <cell r="C480" t="str">
            <v>HOÀNG PHÚC</v>
          </cell>
          <cell r="D480" t="str">
            <v>Hoàng Phúc</v>
          </cell>
        </row>
        <row r="481">
          <cell r="B481" t="str">
            <v>BAO QUOC</v>
          </cell>
          <cell r="C481" t="str">
            <v>BẢO QUỐC</v>
          </cell>
          <cell r="D481" t="str">
            <v>Bảo Quốc</v>
          </cell>
        </row>
        <row r="482">
          <cell r="B482" t="str">
            <v>DAI NGHIA</v>
          </cell>
          <cell r="C482" t="str">
            <v>ĐẠI NGHĨA</v>
          </cell>
          <cell r="D482" t="str">
            <v>Đại Nghĩa</v>
          </cell>
        </row>
        <row r="483">
          <cell r="B483" t="str">
            <v>NGO ICH QUOC</v>
          </cell>
          <cell r="C483" t="str">
            <v>NGÔ ÍCH QUỐC</v>
          </cell>
          <cell r="D483" t="str">
            <v>Ngô Ích Quốc</v>
          </cell>
        </row>
        <row r="484">
          <cell r="B484" t="str">
            <v>NGOC TUYET</v>
          </cell>
          <cell r="C484" t="str">
            <v>NGỌC TUYẾT</v>
          </cell>
          <cell r="D484" t="str">
            <v>Ngọc Tuyết</v>
          </cell>
        </row>
        <row r="485">
          <cell r="B485" t="str">
            <v>MAI ANH</v>
          </cell>
          <cell r="C485" t="str">
            <v>MAI ANH</v>
          </cell>
          <cell r="D485" t="str">
            <v>Mai Anh</v>
          </cell>
        </row>
        <row r="486">
          <cell r="B486" t="str">
            <v>SINH PHAT</v>
          </cell>
          <cell r="C486" t="str">
            <v>SINH PHÁT</v>
          </cell>
          <cell r="D486" t="str">
            <v>Sinh Phát</v>
          </cell>
        </row>
        <row r="487">
          <cell r="B487" t="str">
            <v>NGUYEN VAN DUC</v>
          </cell>
          <cell r="C487" t="str">
            <v>NGUYỄN VĂN ĐỨC</v>
          </cell>
          <cell r="D487" t="str">
            <v>Nguyễn Văn Đức</v>
          </cell>
        </row>
        <row r="488">
          <cell r="B488" t="str">
            <v>DL KIEU DIEM</v>
          </cell>
          <cell r="C488" t="str">
            <v>ĐL KIỀU DIỄM</v>
          </cell>
          <cell r="D488" t="str">
            <v>ĐL Kiều Diễm</v>
          </cell>
        </row>
        <row r="489">
          <cell r="B489" t="str">
            <v>TUONG ANH</v>
          </cell>
          <cell r="C489" t="str">
            <v>TƯỜNG ANH</v>
          </cell>
          <cell r="D489" t="str">
            <v>Tường Anh</v>
          </cell>
        </row>
        <row r="490">
          <cell r="B490" t="str">
            <v>BAO NAM</v>
          </cell>
          <cell r="C490" t="str">
            <v>BẢO NAM</v>
          </cell>
          <cell r="D490" t="str">
            <v>Bảo Nam</v>
          </cell>
        </row>
        <row r="491">
          <cell r="B491" t="str">
            <v>XUAN THY(NHAT KHANH)</v>
          </cell>
          <cell r="C491" t="str">
            <v>XUÂN THY</v>
          </cell>
          <cell r="D491" t="str">
            <v>Xuân Thy</v>
          </cell>
        </row>
        <row r="492">
          <cell r="B492" t="str">
            <v>TRAN HEN</v>
          </cell>
          <cell r="C492" t="str">
            <v>TRẦN HÊN</v>
          </cell>
          <cell r="D492" t="str">
            <v>M_Agent Trần Hên</v>
          </cell>
        </row>
        <row r="493">
          <cell r="B493" t="str">
            <v>NGUYEN TRONG MINH</v>
          </cell>
          <cell r="C493" t="str">
            <v>NGUYỄN TRỌNG MINH</v>
          </cell>
          <cell r="D493" t="str">
            <v>Nguyễn Trọng Minh</v>
          </cell>
        </row>
        <row r="494">
          <cell r="B494" t="str">
            <v>NGUYEN THI THAM</v>
          </cell>
          <cell r="C494" t="str">
            <v>NGUYỄN THỊ THẮM</v>
          </cell>
          <cell r="D494" t="str">
            <v>Nguyễn Thị Thắm</v>
          </cell>
        </row>
        <row r="495">
          <cell r="B495" t="str">
            <v>BIG C - THAO DIEN</v>
          </cell>
          <cell r="C495" t="str">
            <v>Big C South</v>
          </cell>
          <cell r="D495" t="str">
            <v>Big C South</v>
          </cell>
        </row>
        <row r="496">
          <cell r="B496" t="str">
            <v>DIEM PHUC</v>
          </cell>
          <cell r="C496" t="str">
            <v>DIỄM PHÚC</v>
          </cell>
          <cell r="D496" t="str">
            <v>Diễm Phúc</v>
          </cell>
        </row>
        <row r="497">
          <cell r="B497" t="str">
            <v>DUONG BINH TEN</v>
          </cell>
          <cell r="C497" t="str">
            <v>DƯƠNG BÌNH TÉN</v>
          </cell>
          <cell r="D497" t="str">
            <v>M_Agent Dương Bình Tén</v>
          </cell>
        </row>
        <row r="498">
          <cell r="B498" t="str">
            <v>TUAN HANH</v>
          </cell>
          <cell r="C498" t="str">
            <v>TUẤN HẠNH</v>
          </cell>
          <cell r="D498" t="str">
            <v>Tuấn Hạnh</v>
          </cell>
        </row>
        <row r="499">
          <cell r="B499" t="str">
            <v>NGUYEN THI MAI</v>
          </cell>
          <cell r="C499" t="str">
            <v>NGUYỄN THỊ MAI</v>
          </cell>
          <cell r="D499" t="str">
            <v>C_Agent Nguyễn Thị Mai</v>
          </cell>
        </row>
        <row r="500">
          <cell r="B500" t="str">
            <v>LUONG THU HUONG</v>
          </cell>
          <cell r="C500" t="str">
            <v>LƯƠNG THU HƯỜNG</v>
          </cell>
          <cell r="D500" t="str">
            <v>Lương Thu Hường</v>
          </cell>
        </row>
        <row r="501">
          <cell r="B501" t="str">
            <v>LE KHANG HIEU</v>
          </cell>
          <cell r="C501" t="str">
            <v>LÊ KHANG HIẾU</v>
          </cell>
          <cell r="D501" t="str">
            <v>Lê Khang Hiếu</v>
          </cell>
        </row>
        <row r="502">
          <cell r="B502" t="str">
            <v>DANG QUANG MANH</v>
          </cell>
          <cell r="C502" t="str">
            <v>ĐẶNG QUANG MẠNH</v>
          </cell>
          <cell r="D502" t="str">
            <v>Đặng Quang Mạnh</v>
          </cell>
        </row>
        <row r="503">
          <cell r="B503" t="str">
            <v>DAO VAN DUNG</v>
          </cell>
          <cell r="C503" t="str">
            <v>ĐÀO VĂN DỰNG</v>
          </cell>
          <cell r="D503" t="str">
            <v>Đào Văn Dựng</v>
          </cell>
        </row>
        <row r="504">
          <cell r="B504" t="str">
            <v>LAI HOP VAN</v>
          </cell>
          <cell r="C504" t="str">
            <v>LẠI HỢP VĂN</v>
          </cell>
          <cell r="D504" t="str">
            <v>N_Agent Lại Hợp Văn</v>
          </cell>
        </row>
        <row r="505">
          <cell r="B505" t="str">
            <v>HIEU NGHIA (KIM HOA)</v>
          </cell>
          <cell r="C505" t="str">
            <v>HIẾU NGHĨA</v>
          </cell>
          <cell r="D505" t="str">
            <v>Hiếu Nghĩa</v>
          </cell>
        </row>
        <row r="506">
          <cell r="B506" t="str">
            <v>NHAT TRI KHANG</v>
          </cell>
          <cell r="C506" t="str">
            <v>NHẤT TRÍ KHANG</v>
          </cell>
          <cell r="D506" t="str">
            <v>Nhất Trí Khang</v>
          </cell>
        </row>
        <row r="507">
          <cell r="B507" t="str">
            <v>PHUNG THI NGUYET</v>
          </cell>
          <cell r="C507" t="str">
            <v>PHÙNG THỊ NGUYỆT</v>
          </cell>
          <cell r="D507" t="str">
            <v>Phùng Thị Nguyệt</v>
          </cell>
        </row>
        <row r="508">
          <cell r="B508" t="str">
            <v>MINH NGOC</v>
          </cell>
          <cell r="C508" t="str">
            <v>MINH NGỌC</v>
          </cell>
          <cell r="D508" t="str">
            <v>Minh Ngọc</v>
          </cell>
        </row>
        <row r="509">
          <cell r="B509" t="str">
            <v>DANG THI THUY HANG</v>
          </cell>
          <cell r="C509" t="str">
            <v>ĐẶNG THỊ THÚY HẰNG</v>
          </cell>
          <cell r="D509" t="str">
            <v>Đặng Thị Thúy Hằng</v>
          </cell>
        </row>
        <row r="510">
          <cell r="B510" t="str">
            <v>TRAN PHAM MINH</v>
          </cell>
          <cell r="C510" t="str">
            <v>TRẦN PHẠM MINH</v>
          </cell>
          <cell r="D510" t="str">
            <v>Trần Phạm Minh</v>
          </cell>
        </row>
        <row r="511">
          <cell r="B511" t="str">
            <v>KIEN HA</v>
          </cell>
          <cell r="C511" t="str">
            <v>KIÊN HÀ</v>
          </cell>
          <cell r="D511" t="str">
            <v>Kiên Hà</v>
          </cell>
        </row>
        <row r="512">
          <cell r="B512" t="str">
            <v>HOANG LONG</v>
          </cell>
          <cell r="C512" t="str">
            <v>HOÀNG LONG</v>
          </cell>
          <cell r="D512" t="str">
            <v>Hoàng Long</v>
          </cell>
        </row>
        <row r="513">
          <cell r="B513" t="str">
            <v>NGO NGOC QUY</v>
          </cell>
          <cell r="C513" t="str">
            <v>NGÔ NGỌC QUY</v>
          </cell>
          <cell r="D513" t="str">
            <v>N_Agent Ngô Ngọc Quy</v>
          </cell>
        </row>
        <row r="514">
          <cell r="B514" t="str">
            <v>LAM HOANG BINH</v>
          </cell>
          <cell r="C514" t="str">
            <v>LÂM HOÀNG BÍNH</v>
          </cell>
          <cell r="D514" t="str">
            <v>Lâm Hoàng Bính</v>
          </cell>
        </row>
        <row r="515">
          <cell r="B515" t="str">
            <v>KHANH LUAN</v>
          </cell>
          <cell r="C515" t="str">
            <v>KHÁNH LUÂN</v>
          </cell>
          <cell r="D515" t="str">
            <v>Khánh Luân</v>
          </cell>
        </row>
        <row r="516">
          <cell r="B516" t="str">
            <v>TAN PHAT</v>
          </cell>
          <cell r="C516" t="str">
            <v>TẤN PHÁT</v>
          </cell>
          <cell r="D516" t="str">
            <v>M_Agent Tấn Phát</v>
          </cell>
        </row>
        <row r="517">
          <cell r="B517" t="str">
            <v>VO THANH DANH (HONG DANH)</v>
          </cell>
          <cell r="C517" t="str">
            <v>VÕ THÀNH DANH</v>
          </cell>
          <cell r="D517" t="str">
            <v>Võ Thành Danh</v>
          </cell>
        </row>
        <row r="518">
          <cell r="B518" t="str">
            <v>VAN SU LOI</v>
          </cell>
          <cell r="C518" t="str">
            <v>VẠN SỰ LỢI</v>
          </cell>
          <cell r="D518" t="str">
            <v>Vạn Sự Lợi</v>
          </cell>
        </row>
        <row r="519">
          <cell r="B519" t="str">
            <v>MAI GIA AN</v>
          </cell>
          <cell r="C519" t="str">
            <v>MAI GIA AN</v>
          </cell>
          <cell r="D519" t="str">
            <v>Mai Gia An</v>
          </cell>
        </row>
        <row r="520">
          <cell r="B520" t="str">
            <v>VINH PHUOC</v>
          </cell>
          <cell r="C520" t="str">
            <v>VĨNH PHƯỚC</v>
          </cell>
          <cell r="D520" t="str">
            <v>Vĩnh Phước</v>
          </cell>
        </row>
        <row r="521">
          <cell r="B521" t="str">
            <v>HUYNH HUU CHAU</v>
          </cell>
          <cell r="C521" t="str">
            <v>HUỲNH HỮU CHÂU</v>
          </cell>
          <cell r="D521" t="str">
            <v>M_Agent Huỳnh Hữu Châu</v>
          </cell>
        </row>
        <row r="522">
          <cell r="B522" t="str">
            <v>HAI LY</v>
          </cell>
          <cell r="C522" t="str">
            <v>HẢI LÝ</v>
          </cell>
          <cell r="D522" t="str">
            <v>Hải Lý</v>
          </cell>
        </row>
        <row r="523">
          <cell r="B523" t="str">
            <v>NGUYEN THI NGA</v>
          </cell>
          <cell r="C523" t="str">
            <v>NGUYỄN THỊ NGA</v>
          </cell>
          <cell r="D523" t="str">
            <v>Nguyễn Thị Nga</v>
          </cell>
        </row>
        <row r="524">
          <cell r="B524" t="str">
            <v>TAN HOANG</v>
          </cell>
          <cell r="C524" t="str">
            <v>TÂN HOÀNG</v>
          </cell>
          <cell r="D524" t="str">
            <v>Tân Hoàng</v>
          </cell>
        </row>
        <row r="525">
          <cell r="B525" t="str">
            <v>CHAU THUAN</v>
          </cell>
          <cell r="C525" t="str">
            <v>CHÂU THUẬN</v>
          </cell>
          <cell r="D525" t="str">
            <v>Châu Thuận</v>
          </cell>
        </row>
        <row r="526">
          <cell r="B526" t="str">
            <v>LE TRUNG THIEN</v>
          </cell>
          <cell r="C526" t="str">
            <v>LÊ TRUNG THIÊN</v>
          </cell>
          <cell r="D526" t="str">
            <v>Lê Trung Thiên</v>
          </cell>
        </row>
        <row r="527">
          <cell r="B527" t="str">
            <v>THANH VAN</v>
          </cell>
          <cell r="C527" t="str">
            <v>THANH VÂN</v>
          </cell>
          <cell r="D527" t="str">
            <v>Thanh Vân</v>
          </cell>
        </row>
        <row r="528">
          <cell r="B528" t="str">
            <v>TU ANH</v>
          </cell>
          <cell r="C528" t="str">
            <v>TÚ ANH</v>
          </cell>
          <cell r="D528" t="str">
            <v>Tú Anh</v>
          </cell>
        </row>
        <row r="529">
          <cell r="B529" t="str">
            <v>VUONG DUNG</v>
          </cell>
          <cell r="C529" t="str">
            <v>VƯƠNG DŨNG</v>
          </cell>
          <cell r="D529" t="str">
            <v>Vương Dũng</v>
          </cell>
        </row>
        <row r="530">
          <cell r="B530" t="str">
            <v>VIET BAO HAN</v>
          </cell>
          <cell r="C530" t="str">
            <v>VIỆT BẢO HÂN</v>
          </cell>
          <cell r="D530" t="str">
            <v>Việt Bảo Hân</v>
          </cell>
        </row>
        <row r="531">
          <cell r="B531" t="str">
            <v>SIEU TINH</v>
          </cell>
          <cell r="C531" t="str">
            <v>SIÊU TÍNH</v>
          </cell>
          <cell r="D531" t="str">
            <v>Siêu Tính</v>
          </cell>
        </row>
        <row r="532">
          <cell r="B532" t="str">
            <v>TIN THANH</v>
          </cell>
          <cell r="C532" t="str">
            <v>TÍN THÀNH</v>
          </cell>
          <cell r="D532" t="str">
            <v>Tín Thành</v>
          </cell>
        </row>
        <row r="533">
          <cell r="B533" t="str">
            <v>DOAN QUYET THANG</v>
          </cell>
          <cell r="C533" t="str">
            <v>ĐOÀN QUYẾT THẮNG</v>
          </cell>
          <cell r="D533" t="str">
            <v>Đoàn Quyết Thắng</v>
          </cell>
        </row>
        <row r="534">
          <cell r="B534" t="str">
            <v>TRAN TRONG LIEM</v>
          </cell>
          <cell r="C534" t="str">
            <v>TRẦN TRỌNG LIÊM</v>
          </cell>
          <cell r="D534" t="str">
            <v>Trần Trọng Liêm</v>
          </cell>
        </row>
        <row r="535">
          <cell r="B535" t="str">
            <v>STERLING VN</v>
          </cell>
          <cell r="C535" t="str">
            <v>STERLING VN</v>
          </cell>
          <cell r="D535" t="str">
            <v>Sterling VN</v>
          </cell>
        </row>
        <row r="536">
          <cell r="B536" t="str">
            <v>PHAM THU CHINH</v>
          </cell>
          <cell r="C536" t="str">
            <v>PHẠM THƯ CHÌNH</v>
          </cell>
          <cell r="D536" t="str">
            <v>Phạm Thư Chình</v>
          </cell>
        </row>
        <row r="537">
          <cell r="B537" t="str">
            <v>TAN HOP NHAT</v>
          </cell>
          <cell r="C537" t="str">
            <v>TÂN HỢP NHẤT</v>
          </cell>
          <cell r="D537" t="str">
            <v>Tân Hợp Nhất</v>
          </cell>
        </row>
        <row r="538">
          <cell r="B538" t="str">
            <v>NGUYEN VAN CHIEN</v>
          </cell>
          <cell r="C538" t="str">
            <v>NGUYỄN VĂN CHIẾN</v>
          </cell>
          <cell r="D538" t="str">
            <v>Nguyễn Văn Chiến</v>
          </cell>
        </row>
        <row r="539">
          <cell r="B539" t="str">
            <v>VU THI KHUONG</v>
          </cell>
          <cell r="C539" t="str">
            <v>VŨ THỊ KHƯƠNG</v>
          </cell>
          <cell r="D539" t="str">
            <v>Vũ Thị Khương</v>
          </cell>
        </row>
        <row r="540">
          <cell r="B540" t="str">
            <v>THANH THANH</v>
          </cell>
          <cell r="C540" t="str">
            <v>THANH THANH</v>
          </cell>
          <cell r="D540" t="str">
            <v>Thanh Thanh</v>
          </cell>
        </row>
        <row r="541">
          <cell r="B541" t="str">
            <v>HAN PHAT</v>
          </cell>
          <cell r="C541" t="str">
            <v>HÂN PHÁT</v>
          </cell>
          <cell r="D541" t="str">
            <v>Hân Phát</v>
          </cell>
        </row>
        <row r="542">
          <cell r="B542" t="str">
            <v>PT LE MINH PHUNG</v>
          </cell>
          <cell r="C542" t="str">
            <v>LÊ MINH PHỤNG</v>
          </cell>
          <cell r="D542" t="str">
            <v>Lê Minh Phụng</v>
          </cell>
        </row>
        <row r="543">
          <cell r="B543" t="str">
            <v>KIM BINH</v>
          </cell>
          <cell r="C543" t="str">
            <v>KIM BÌNH</v>
          </cell>
          <cell r="D543" t="str">
            <v>Kim Bình</v>
          </cell>
        </row>
        <row r="544">
          <cell r="B544" t="str">
            <v>HIEU DUNG</v>
          </cell>
          <cell r="C544" t="str">
            <v>HIẾU DŨNG</v>
          </cell>
          <cell r="D544" t="str">
            <v>Hiếu Dũng</v>
          </cell>
        </row>
        <row r="545">
          <cell r="B545" t="str">
            <v>BIG C - TAN THANH</v>
          </cell>
          <cell r="C545" t="str">
            <v>BIG C South</v>
          </cell>
          <cell r="D545" t="str">
            <v>Big C South</v>
          </cell>
        </row>
        <row r="546">
          <cell r="B546" t="str">
            <v>BUI THI THANH HUYEN</v>
          </cell>
          <cell r="C546" t="str">
            <v>BÙI THỊ THANH HUYỀN</v>
          </cell>
          <cell r="D546" t="str">
            <v>Bùi Thị Thanh Huyền</v>
          </cell>
        </row>
        <row r="547">
          <cell r="B547" t="str">
            <v>KHAI HOANG</v>
          </cell>
          <cell r="C547" t="str">
            <v>KHẢI HOÀNG</v>
          </cell>
          <cell r="D547" t="str">
            <v>Khải Hoàng</v>
          </cell>
        </row>
        <row r="548">
          <cell r="B548" t="str">
            <v>NGOI SAO SANG</v>
          </cell>
          <cell r="C548" t="str">
            <v>NGÔI SAO SÁNG</v>
          </cell>
          <cell r="D548" t="str">
            <v>Ngô Sao Sáng</v>
          </cell>
        </row>
        <row r="549">
          <cell r="B549" t="str">
            <v>NGUYEN DINH</v>
          </cell>
          <cell r="C549" t="str">
            <v>NGUYỄN ĐỊNH</v>
          </cell>
          <cell r="D549" t="str">
            <v>Nguyễn Định</v>
          </cell>
        </row>
        <row r="550">
          <cell r="B550" t="str">
            <v>NHAM BINH</v>
          </cell>
          <cell r="C550" t="str">
            <v>TRẦN THỊ NHÂM</v>
          </cell>
          <cell r="D550" t="str">
            <v>Trần Thị Nhâm</v>
          </cell>
        </row>
        <row r="551">
          <cell r="B551" t="str">
            <v>THAO NGUYEN</v>
          </cell>
          <cell r="C551" t="str">
            <v>THẢO NGUYÊN</v>
          </cell>
          <cell r="D551" t="str">
            <v>Thảo Nguyên</v>
          </cell>
        </row>
        <row r="552">
          <cell r="B552" t="str">
            <v>VIEN KIM</v>
          </cell>
          <cell r="C552" t="str">
            <v>VIÊN KIM</v>
          </cell>
          <cell r="D552" t="str">
            <v>Viên Kim</v>
          </cell>
        </row>
        <row r="553">
          <cell r="B553" t="str">
            <v>CHAU HIEU</v>
          </cell>
          <cell r="C553" t="str">
            <v>CHÂU HIẾU</v>
          </cell>
          <cell r="D553" t="str">
            <v>Châu Hiếu</v>
          </cell>
        </row>
        <row r="554">
          <cell r="B554" t="str">
            <v>DO MINH THANH</v>
          </cell>
          <cell r="C554" t="str">
            <v>ĐỖ MINH THÀNH</v>
          </cell>
          <cell r="D554" t="str">
            <v>Đỗ Minh Thành</v>
          </cell>
        </row>
        <row r="555">
          <cell r="B555" t="str">
            <v>KIM THY</v>
          </cell>
          <cell r="C555" t="str">
            <v>KIM THY</v>
          </cell>
          <cell r="D555" t="str">
            <v>Kim Thy</v>
          </cell>
        </row>
        <row r="556">
          <cell r="B556" t="str">
            <v>LONG THUAN QUAN</v>
          </cell>
          <cell r="C556" t="str">
            <v>LONG THUẬN QUÁN</v>
          </cell>
          <cell r="D556" t="str">
            <v>Long Thuận Quán</v>
          </cell>
        </row>
        <row r="557">
          <cell r="B557" t="str">
            <v>BIG C - LE TRONG TAN</v>
          </cell>
          <cell r="C557" t="str">
            <v>BIG C North</v>
          </cell>
          <cell r="D557" t="str">
            <v>BIG C North</v>
          </cell>
        </row>
        <row r="558">
          <cell r="B558" t="str">
            <v>DUNG HAI HA</v>
          </cell>
          <cell r="C558" t="str">
            <v>DŨNG HẢI HÀ</v>
          </cell>
          <cell r="D558" t="str">
            <v>Dũng Hải Hà</v>
          </cell>
        </row>
        <row r="559">
          <cell r="B559" t="str">
            <v>THANH NHANH</v>
          </cell>
          <cell r="C559" t="str">
            <v>THANH NHANH</v>
          </cell>
          <cell r="D559" t="str">
            <v>Thanh Nhanh</v>
          </cell>
        </row>
        <row r="560">
          <cell r="B560" t="str">
            <v>TUAN HUY</v>
          </cell>
          <cell r="C560" t="str">
            <v>TUẤN HUY</v>
          </cell>
          <cell r="D560" t="str">
            <v>Tuấn Huy</v>
          </cell>
        </row>
        <row r="561">
          <cell r="B561" t="str">
            <v>ANH NHU BINH DUONG</v>
          </cell>
          <cell r="C561" t="str">
            <v>ANH NHƯ BÌNH DƯƠNG</v>
          </cell>
          <cell r="D561" t="str">
            <v>Anh Như Bình Dương</v>
          </cell>
        </row>
        <row r="562">
          <cell r="B562" t="str">
            <v>BICH KHUE</v>
          </cell>
          <cell r="C562" t="str">
            <v>BÍCH KHUÊ</v>
          </cell>
          <cell r="D562" t="str">
            <v>Bích Khuê</v>
          </cell>
        </row>
        <row r="563">
          <cell r="B563" t="str">
            <v>DIEM THUY</v>
          </cell>
          <cell r="C563" t="str">
            <v>DIỄM THÚY</v>
          </cell>
          <cell r="D563" t="str">
            <v>Diễm Thúy</v>
          </cell>
        </row>
        <row r="564">
          <cell r="B564" t="str">
            <v>DUY NGAN</v>
          </cell>
          <cell r="C564" t="str">
            <v>DUY NGÂN</v>
          </cell>
          <cell r="D564" t="str">
            <v>Duy Ngân</v>
          </cell>
        </row>
        <row r="565">
          <cell r="B565" t="str">
            <v>LY KIET</v>
          </cell>
          <cell r="C565" t="str">
            <v>LÝ KIỆT</v>
          </cell>
          <cell r="D565" t="str">
            <v>Lý Kiệt</v>
          </cell>
        </row>
        <row r="566">
          <cell r="B566" t="str">
            <v>THUAN PHAT CA MAU</v>
          </cell>
          <cell r="C566" t="str">
            <v>THUẬN PHÁT CÀ MAU</v>
          </cell>
          <cell r="D566" t="str">
            <v>Thuận Phát Cà Mau</v>
          </cell>
        </row>
        <row r="567">
          <cell r="B567" t="str">
            <v>TRUC LINH</v>
          </cell>
          <cell r="C567" t="str">
            <v>TRÚC LINH</v>
          </cell>
          <cell r="D567" t="str">
            <v>Trúc Linh</v>
          </cell>
        </row>
        <row r="568">
          <cell r="B568" t="str">
            <v>TRUNG THAO</v>
          </cell>
          <cell r="C568" t="str">
            <v>TRUNG THẢO</v>
          </cell>
          <cell r="D568" t="str">
            <v>Trung Thảo</v>
          </cell>
        </row>
        <row r="569">
          <cell r="B569" t="str">
            <v>HAI DANG</v>
          </cell>
          <cell r="C569" t="str">
            <v>HẢI ĐĂNG</v>
          </cell>
          <cell r="D569" t="str">
            <v>Hải Đăng</v>
          </cell>
        </row>
        <row r="570">
          <cell r="B570" t="str">
            <v>NGUYET THU</v>
          </cell>
          <cell r="C570" t="str">
            <v>NGUYỆT THU</v>
          </cell>
          <cell r="D570" t="str">
            <v>M_Agent Nguyệt Thu</v>
          </cell>
        </row>
        <row r="571">
          <cell r="B571" t="str">
            <v>PHAN THI TUONG VY</v>
          </cell>
          <cell r="C571" t="str">
            <v>TƯỜNG VY</v>
          </cell>
          <cell r="D571" t="str">
            <v>Tường Vy</v>
          </cell>
        </row>
        <row r="572">
          <cell r="B572" t="str">
            <v>LE NGA</v>
          </cell>
          <cell r="C572" t="str">
            <v>LÊ NGA</v>
          </cell>
          <cell r="D572" t="str">
            <v>M_Agent Lê Nga</v>
          </cell>
        </row>
        <row r="573">
          <cell r="B573" t="str">
            <v>CUA HANG THANH DAT</v>
          </cell>
          <cell r="C573" t="str">
            <v>CỬA HÀNG THÀNH ĐẠT</v>
          </cell>
          <cell r="D573" t="str">
            <v>Cửa hàng Thành Đạt</v>
          </cell>
        </row>
        <row r="574">
          <cell r="B574" t="str">
            <v>TRUONG THI HIEN</v>
          </cell>
          <cell r="C574" t="str">
            <v>TRƯƠNG THỊ HIỀN</v>
          </cell>
          <cell r="D574" t="str">
            <v>C_Agent Trương Thị Hiền</v>
          </cell>
        </row>
        <row r="575">
          <cell r="B575" t="str">
            <v>MAI HOANG LONG</v>
          </cell>
          <cell r="C575" t="str">
            <v>MAI HOÀNG LONG</v>
          </cell>
          <cell r="D575" t="str">
            <v>Mai Hoàng Long</v>
          </cell>
        </row>
        <row r="576">
          <cell r="B576" t="str">
            <v>DO KIEU HUYEN</v>
          </cell>
          <cell r="C576" t="str">
            <v>ĐỖ KIỀU HUYẾN</v>
          </cell>
          <cell r="D576" t="str">
            <v>Đỗ Kiều Huyến</v>
          </cell>
        </row>
        <row r="577">
          <cell r="B577" t="str">
            <v>NGUYEN THI PHUONG THAO</v>
          </cell>
          <cell r="C577" t="str">
            <v>NGUYỄN THỊ PHƯƠNG THẢO</v>
          </cell>
          <cell r="D577" t="str">
            <v>Nguyễn Thị Phương Thảo</v>
          </cell>
        </row>
        <row r="578">
          <cell r="B578" t="str">
            <v>PHUC MINH DUC</v>
          </cell>
          <cell r="C578" t="str">
            <v>PHÚC MINH ĐỨC</v>
          </cell>
          <cell r="D578" t="str">
            <v>C_Agent Phúc Minh Đức</v>
          </cell>
        </row>
        <row r="579">
          <cell r="B579" t="str">
            <v>NGUYEN HUONG</v>
          </cell>
          <cell r="C579" t="str">
            <v>NGUYÊN HƯƠNG</v>
          </cell>
          <cell r="D579" t="str">
            <v>Nguyên Hương</v>
          </cell>
        </row>
        <row r="580">
          <cell r="B580" t="str">
            <v>PHU PHONG</v>
          </cell>
          <cell r="C580" t="str">
            <v>PHÚ PHONG</v>
          </cell>
          <cell r="D580" t="str">
            <v>Phú Phong</v>
          </cell>
        </row>
        <row r="581">
          <cell r="B581" t="str">
            <v>TRUC DAO</v>
          </cell>
          <cell r="C581" t="str">
            <v>TRÚC ĐÀO</v>
          </cell>
          <cell r="D581" t="str">
            <v>Trúc Đào</v>
          </cell>
        </row>
        <row r="582">
          <cell r="B582" t="str">
            <v>VAN THANH LOI</v>
          </cell>
          <cell r="C582" t="str">
            <v>VẠN THÀNH LỢI</v>
          </cell>
          <cell r="D582" t="str">
            <v>Vạn Thành Lợi</v>
          </cell>
        </row>
        <row r="583">
          <cell r="B583" t="str">
            <v>NGOC MINH HA</v>
          </cell>
          <cell r="C583" t="str">
            <v>NGỌC MINH HÀ</v>
          </cell>
          <cell r="D583" t="str">
            <v>Ngọc Minh Hà</v>
          </cell>
        </row>
        <row r="584">
          <cell r="B584" t="str">
            <v>LE THIEN HUONG</v>
          </cell>
          <cell r="C584" t="str">
            <v>LÊ THIÊN HƯƠNG</v>
          </cell>
          <cell r="D584" t="str">
            <v>Lê Thiên Hương</v>
          </cell>
        </row>
        <row r="585">
          <cell r="B585" t="str">
            <v>BIG C - DI AN</v>
          </cell>
          <cell r="C585" t="str">
            <v>Big C South</v>
          </cell>
          <cell r="D585" t="str">
            <v>Big C South</v>
          </cell>
        </row>
        <row r="586">
          <cell r="B586" t="str">
            <v>BIG C - NGUYEN THI THAP</v>
          </cell>
          <cell r="C586" t="str">
            <v>Big C South</v>
          </cell>
          <cell r="D586" t="str">
            <v>Big C South</v>
          </cell>
        </row>
        <row r="587">
          <cell r="B587" t="str">
            <v>NGUYEN THI HOA</v>
          </cell>
          <cell r="C587" t="str">
            <v>Nguyễn Thị Hòa</v>
          </cell>
          <cell r="D587" t="str">
            <v>Nguyễn Thị Hòa</v>
          </cell>
        </row>
        <row r="588">
          <cell r="B588" t="str">
            <v>THAN NGUYEN HUU</v>
          </cell>
          <cell r="C588" t="str">
            <v>THÂN NGUYÊN HỮU</v>
          </cell>
          <cell r="D588" t="str">
            <v>C_Agent Thân Nguyên Hữu</v>
          </cell>
        </row>
        <row r="589">
          <cell r="B589" t="str">
            <v>XUAN TRANG</v>
          </cell>
          <cell r="C589" t="str">
            <v>XUÂN TRANG</v>
          </cell>
          <cell r="D589" t="str">
            <v>Xuân Trang</v>
          </cell>
        </row>
        <row r="590">
          <cell r="B590" t="str">
            <v>BUI THI HUONG</v>
          </cell>
          <cell r="C590" t="str">
            <v>BÙI THỊ HƯỜNG</v>
          </cell>
          <cell r="D590" t="str">
            <v>Bùi Thị Hường</v>
          </cell>
        </row>
        <row r="591">
          <cell r="B591" t="str">
            <v>TRUONG DUONG NGOC TUYET</v>
          </cell>
          <cell r="C591" t="str">
            <v>TRƯƠNG DƯƠNG NGỌC TUYẾT</v>
          </cell>
          <cell r="D591" t="str">
            <v>Trương Dương Ngọc Tuyết</v>
          </cell>
        </row>
        <row r="592">
          <cell r="B592" t="str">
            <v>BIG C - AU CO</v>
          </cell>
          <cell r="C592" t="str">
            <v>Big C South</v>
          </cell>
          <cell r="D592" t="str">
            <v>Big C South</v>
          </cell>
        </row>
        <row r="593">
          <cell r="B593" t="str">
            <v>HO THI LAN ANH</v>
          </cell>
          <cell r="C593" t="str">
            <v>HỒ THỊ LAN ANH</v>
          </cell>
          <cell r="D593" t="str">
            <v>N_Agent Hồ Thị Lan Anh</v>
          </cell>
        </row>
        <row r="594">
          <cell r="B594" t="str">
            <v>DOAN NGUYEN NHAN</v>
          </cell>
          <cell r="C594" t="str">
            <v>ĐOÀN NGUYÊN NHẪN</v>
          </cell>
          <cell r="D594" t="str">
            <v>N_Agent Đoàn Nguyên Nhẫn</v>
          </cell>
        </row>
        <row r="595">
          <cell r="B595" t="str">
            <v>HUE AN</v>
          </cell>
          <cell r="C595" t="str">
            <v>HUỆ AN</v>
          </cell>
          <cell r="D595" t="str">
            <v>Huệ An</v>
          </cell>
        </row>
        <row r="596">
          <cell r="B596" t="str">
            <v>NHAN THUC</v>
          </cell>
          <cell r="C596" t="str">
            <v>NHÂN THỨC</v>
          </cell>
          <cell r="D596" t="str">
            <v>Nhân Thức</v>
          </cell>
        </row>
        <row r="597">
          <cell r="B597" t="str">
            <v>TRAN GIA</v>
          </cell>
          <cell r="C597" t="str">
            <v>TRẦN GIA</v>
          </cell>
          <cell r="D597" t="str">
            <v>Trần Gia</v>
          </cell>
        </row>
        <row r="598">
          <cell r="B598" t="str">
            <v>TRUC GIANG BEN TRE</v>
          </cell>
          <cell r="C598" t="str">
            <v>TRÚC GIANG BẾN TRE</v>
          </cell>
          <cell r="D598" t="str">
            <v>Trúc Giang Bến Tre</v>
          </cell>
        </row>
        <row r="599">
          <cell r="B599" t="str">
            <v>PHUC HAU</v>
          </cell>
          <cell r="C599" t="str">
            <v>PHÚC HẬU</v>
          </cell>
          <cell r="D599" t="str">
            <v>Phúc Hậu</v>
          </cell>
        </row>
        <row r="600">
          <cell r="B600" t="str">
            <v>DAI KIM PHAT</v>
          </cell>
          <cell r="C600" t="str">
            <v>ĐẠI KIM PHÁT</v>
          </cell>
          <cell r="D600" t="str">
            <v>Đại Kim Phát</v>
          </cell>
        </row>
        <row r="601">
          <cell r="B601" t="str">
            <v>LE CHI TAM (GIA AN)</v>
          </cell>
          <cell r="C601" t="str">
            <v>LÊ CHÍ TÂM</v>
          </cell>
          <cell r="D601" t="str">
            <v>Lê Chí Tâm</v>
          </cell>
        </row>
        <row r="602">
          <cell r="B602" t="str">
            <v>NGUYEN THI HONG HOA</v>
          </cell>
          <cell r="C602" t="str">
            <v>NGUYỄN THỊ HỒNG HOA</v>
          </cell>
          <cell r="D602" t="str">
            <v>N_Agent Nguyễn Thị Hồng Hoa</v>
          </cell>
        </row>
        <row r="603">
          <cell r="B603" t="str">
            <v>NGUYEN THI MAO</v>
          </cell>
          <cell r="C603" t="str">
            <v>NGUYỄN THỊ MÃO</v>
          </cell>
          <cell r="D603" t="str">
            <v>Nguyễn Thị Mão</v>
          </cell>
        </row>
        <row r="604">
          <cell r="B604" t="str">
            <v>LE THI HONG NGA</v>
          </cell>
          <cell r="C604" t="str">
            <v>LÊ THỊ HỒNG NGA</v>
          </cell>
          <cell r="D604" t="str">
            <v>Lê Thị Hồng Nga</v>
          </cell>
        </row>
        <row r="605">
          <cell r="B605" t="str">
            <v>PHUOC THANH</v>
          </cell>
          <cell r="C605" t="str">
            <v>PHƯỚC THÀNH</v>
          </cell>
          <cell r="D605" t="str">
            <v>Phước Thành</v>
          </cell>
        </row>
        <row r="606">
          <cell r="B606" t="str">
            <v>QUOC CUONG</v>
          </cell>
          <cell r="C606" t="str">
            <v>QUỐC CƯỜNG</v>
          </cell>
          <cell r="D606" t="str">
            <v>E_Agent Quốc Cường</v>
          </cell>
        </row>
        <row r="607">
          <cell r="B607" t="str">
            <v>DUC TRUNG</v>
          </cell>
          <cell r="C607" t="str">
            <v>ĐỨC TRUNG</v>
          </cell>
          <cell r="D607" t="str">
            <v>Đức Trung</v>
          </cell>
        </row>
        <row r="608">
          <cell r="B608" t="str">
            <v>HOANG LOI</v>
          </cell>
          <cell r="C608" t="str">
            <v>HOÀNG LỢI</v>
          </cell>
          <cell r="D608" t="str">
            <v>Hoàng Lợi</v>
          </cell>
        </row>
        <row r="609">
          <cell r="B609" t="str">
            <v>NGUYEN DAT</v>
          </cell>
          <cell r="C609" t="str">
            <v>NGUYỄN ĐẠT</v>
          </cell>
          <cell r="D609" t="str">
            <v>Nguyễn Đạt</v>
          </cell>
        </row>
        <row r="610">
          <cell r="B610" t="str">
            <v>DANG THI KIEU TRANG</v>
          </cell>
          <cell r="C610" t="str">
            <v>ĐẶNG THỊ KIỀU TRANG</v>
          </cell>
          <cell r="D610" t="str">
            <v>Đặng Thị Kiều Trang</v>
          </cell>
        </row>
        <row r="611">
          <cell r="B611" t="str">
            <v>CAMEX</v>
          </cell>
          <cell r="C611" t="str">
            <v>CAMEX</v>
          </cell>
          <cell r="D611" t="str">
            <v>M_Agent Camex</v>
          </cell>
        </row>
        <row r="612">
          <cell r="B612" t="str">
            <v>HAO QUANG ANH</v>
          </cell>
          <cell r="C612" t="str">
            <v>HÀO QUANG ANH</v>
          </cell>
          <cell r="D612" t="str">
            <v>Hào Quang Anh</v>
          </cell>
        </row>
        <row r="613">
          <cell r="B613" t="str">
            <v>TRAM HUYNH PHAT</v>
          </cell>
          <cell r="C613" t="str">
            <v>TRÂM HUỲNH PHÁT</v>
          </cell>
          <cell r="D613" t="str">
            <v>Trâm Huỳnh Phát</v>
          </cell>
        </row>
        <row r="614">
          <cell r="B614" t="str">
            <v>LE TIEN LOC</v>
          </cell>
          <cell r="C614" t="str">
            <v>LÊ TIẾN LỘC</v>
          </cell>
          <cell r="D614" t="str">
            <v>Lê Tiến Lộc</v>
          </cell>
        </row>
        <row r="615">
          <cell r="B615" t="str">
            <v>HUA THI CHINH</v>
          </cell>
          <cell r="C615" t="str">
            <v>HỨA THỊ CHÍNH</v>
          </cell>
          <cell r="D615" t="str">
            <v>Hứa Thị Chính</v>
          </cell>
        </row>
        <row r="616">
          <cell r="B616" t="str">
            <v>TAN NGOC HUY</v>
          </cell>
          <cell r="C616" t="str">
            <v>TÂN NGỌC HUY</v>
          </cell>
          <cell r="D616" t="str">
            <v>Tân Ngọc Huy</v>
          </cell>
        </row>
        <row r="617">
          <cell r="B617" t="str">
            <v>THU HA</v>
          </cell>
          <cell r="C617" t="str">
            <v>THU HÀ</v>
          </cell>
          <cell r="D617" t="str">
            <v>C_Agent Thu Hà</v>
          </cell>
        </row>
        <row r="618">
          <cell r="B618" t="str">
            <v>PHILI TOAN CAU</v>
          </cell>
          <cell r="C618" t="str">
            <v>PHILI TOÀN CẦU</v>
          </cell>
          <cell r="D618" t="str">
            <v>Phili Toàn Cầu</v>
          </cell>
        </row>
        <row r="619">
          <cell r="B619" t="str">
            <v>VO THANH THUY</v>
          </cell>
          <cell r="C619" t="str">
            <v>VÕ THANH THỦY</v>
          </cell>
          <cell r="D619" t="str">
            <v>M_Agent Võ Thanh Thủy</v>
          </cell>
        </row>
        <row r="620">
          <cell r="B620" t="str">
            <v>CONG THU</v>
          </cell>
          <cell r="C620" t="str">
            <v>CÔNG THU</v>
          </cell>
          <cell r="D620" t="str">
            <v>Công Thu</v>
          </cell>
        </row>
        <row r="621">
          <cell r="B621" t="str">
            <v>DOAN THI MY HANH</v>
          </cell>
          <cell r="C621" t="str">
            <v>Đoàn Thị Mỹ Hạnh</v>
          </cell>
          <cell r="D621" t="str">
            <v>M_Agent Đoàn Thị Mỹ Hạnh</v>
          </cell>
        </row>
        <row r="622">
          <cell r="B622" t="str">
            <v>NGUYEN THUY AN</v>
          </cell>
          <cell r="C622" t="str">
            <v>NGUYỄN THÚY AN</v>
          </cell>
          <cell r="D622" t="str">
            <v>Nguyễn Thúy An</v>
          </cell>
        </row>
        <row r="623">
          <cell r="B623" t="str">
            <v>PHUONG DUY BAC NINH</v>
          </cell>
          <cell r="C623" t="str">
            <v>PHƯƠNG DUY BẮC NINH</v>
          </cell>
          <cell r="D623" t="str">
            <v>Phương Duy Bắc Ninh</v>
          </cell>
        </row>
        <row r="624">
          <cell r="B624" t="str">
            <v>VU THI CHIEM</v>
          </cell>
          <cell r="C624" t="str">
            <v>VŨ THỊ CHIÊM</v>
          </cell>
          <cell r="D624" t="str">
            <v>Vũ Thị Chiêm</v>
          </cell>
        </row>
        <row r="625">
          <cell r="B625" t="str">
            <v>KIM TRA</v>
          </cell>
          <cell r="C625" t="str">
            <v>KIM TRÀ</v>
          </cell>
          <cell r="D625" t="str">
            <v>Kim Trà</v>
          </cell>
        </row>
        <row r="626">
          <cell r="B626" t="str">
            <v>HOANG ANH</v>
          </cell>
          <cell r="C626" t="str">
            <v>HOÀNG ANH</v>
          </cell>
          <cell r="D626" t="str">
            <v>Hoàng Anh</v>
          </cell>
        </row>
        <row r="627">
          <cell r="B627" t="str">
            <v>NGUYEN THI HAO</v>
          </cell>
          <cell r="C627" t="str">
            <v>NGUYỄN THỊ HẢO</v>
          </cell>
          <cell r="D627" t="str">
            <v>Nguyễn Thị Hảo</v>
          </cell>
        </row>
        <row r="628">
          <cell r="B628" t="str">
            <v>TAN QUOC VINH (CAM OAI)</v>
          </cell>
          <cell r="C628" t="str">
            <v>TÂN QUỐC VINH</v>
          </cell>
          <cell r="D628" t="str">
            <v>M_Agent Tân Quốc Vinh</v>
          </cell>
        </row>
        <row r="629">
          <cell r="B629" t="str">
            <v>NGOC TU</v>
          </cell>
          <cell r="C629" t="str">
            <v>NGỌC TÚ</v>
          </cell>
          <cell r="D629" t="str">
            <v>Ngọc Tú</v>
          </cell>
        </row>
        <row r="630">
          <cell r="B630" t="str">
            <v>LE THI THUY</v>
          </cell>
          <cell r="C630" t="str">
            <v>LÊ THỊ THỦY</v>
          </cell>
          <cell r="D630" t="str">
            <v>Lê Thị Thủy</v>
          </cell>
        </row>
        <row r="631">
          <cell r="B631" t="str">
            <v>HD THUAN PHAT</v>
          </cell>
          <cell r="C631" t="str">
            <v>HD THUẬN PHÁT</v>
          </cell>
          <cell r="D631" t="str">
            <v>HD Thuận Phát</v>
          </cell>
        </row>
        <row r="632">
          <cell r="B632" t="str">
            <v>PHAM THI NHAN</v>
          </cell>
          <cell r="C632" t="str">
            <v>PHẠM THỊ NHÂN</v>
          </cell>
          <cell r="D632" t="str">
            <v>Phạm Thị Nhân</v>
          </cell>
        </row>
        <row r="633">
          <cell r="B633" t="str">
            <v>TRINH MY NHUNG</v>
          </cell>
          <cell r="C633" t="str">
            <v>TRỊNH MỸ NHUNG</v>
          </cell>
          <cell r="D633" t="str">
            <v>Trịnh Mỹ Nhung</v>
          </cell>
        </row>
        <row r="634">
          <cell r="B634" t="str">
            <v>HUONG ANH PHAT</v>
          </cell>
          <cell r="C634" t="str">
            <v>HƯƠNG ANH PHÁT</v>
          </cell>
          <cell r="D634" t="str">
            <v>Hương Anh Phát</v>
          </cell>
        </row>
        <row r="635">
          <cell r="B635" t="str">
            <v>ANH KIMWS</v>
          </cell>
          <cell r="C635" t="str">
            <v>ANH KIMWS</v>
          </cell>
          <cell r="D635" t="str">
            <v>Anh KimWS</v>
          </cell>
        </row>
        <row r="636">
          <cell r="B636" t="str">
            <v>NGUYEN KHOA DANGWS</v>
          </cell>
          <cell r="C636" t="str">
            <v>NGUYỄN KHOA ĐĂNGWS</v>
          </cell>
          <cell r="D636" t="str">
            <v>Nguyễn Khoa ĐăngWS</v>
          </cell>
        </row>
        <row r="637">
          <cell r="B637" t="str">
            <v>PHILI TOAN CAUWS</v>
          </cell>
          <cell r="C637" t="str">
            <v>PHILI TOÀN CẦUWS</v>
          </cell>
          <cell r="D637" t="str">
            <v>Phili Toàn CầuWS</v>
          </cell>
        </row>
        <row r="638">
          <cell r="B638" t="str">
            <v>TRA HOANG GIAWS</v>
          </cell>
          <cell r="C638" t="str">
            <v>TRÀ HOÀNG GIAWS</v>
          </cell>
          <cell r="D638" t="str">
            <v>Trà Hoàng GiaWS</v>
          </cell>
        </row>
        <row r="639">
          <cell r="B639" t="str">
            <v>VIET BAO HANWS</v>
          </cell>
          <cell r="C639" t="str">
            <v>VIỆT BẢO HÂNWS</v>
          </cell>
          <cell r="D639" t="str">
            <v>Việt Bảo HânWS</v>
          </cell>
        </row>
        <row r="640">
          <cell r="B640" t="str">
            <v>DUONG THI QUYENWS</v>
          </cell>
          <cell r="C640" t="str">
            <v>DƯƠNG THỊ QUYÊNWS</v>
          </cell>
          <cell r="D640" t="str">
            <v>Dương Thị QuyênWS</v>
          </cell>
        </row>
        <row r="641">
          <cell r="B641" t="str">
            <v>KIEN HAWS</v>
          </cell>
          <cell r="C641" t="str">
            <v>KIÊN HÀWS</v>
          </cell>
          <cell r="D641" t="str">
            <v>Kiên HàWS</v>
          </cell>
        </row>
        <row r="642">
          <cell r="B642" t="str">
            <v>HUONG THAO (BUI VAN SY)WS</v>
          </cell>
          <cell r="C642" t="str">
            <v>HƯƠNG THẢO (BÙI VĂN SỸ)WS</v>
          </cell>
          <cell r="D642" t="str">
            <v>Hương ThảoWS</v>
          </cell>
        </row>
        <row r="643">
          <cell r="B643" t="str">
            <v>KY TIENWS</v>
          </cell>
          <cell r="C643" t="str">
            <v>KỲ TIÊNWS</v>
          </cell>
          <cell r="D643" t="str">
            <v>Kỳ TiênWS</v>
          </cell>
        </row>
        <row r="644">
          <cell r="B644" t="str">
            <v>NGUYEN VAN CONGWS</v>
          </cell>
          <cell r="C644" t="str">
            <v>NGUYỄN VĂN CÔNGWS</v>
          </cell>
          <cell r="D644" t="str">
            <v>Nguyễn Văn CôngWS</v>
          </cell>
        </row>
        <row r="645">
          <cell r="B645" t="str">
            <v>PHUC ANH SGWS</v>
          </cell>
          <cell r="C645" t="str">
            <v>PHÚC ANHWS</v>
          </cell>
          <cell r="D645" t="str">
            <v>Phúc AnhWS</v>
          </cell>
        </row>
        <row r="646">
          <cell r="B646" t="str">
            <v>SON HUNG DUNGWS</v>
          </cell>
          <cell r="C646" t="str">
            <v>SƠN HÙNG DŨNGWS</v>
          </cell>
          <cell r="D646" t="str">
            <v>Sơn Hùng DũngWS</v>
          </cell>
        </row>
        <row r="647">
          <cell r="B647" t="str">
            <v>VUONG DUNGWS</v>
          </cell>
          <cell r="C647" t="str">
            <v>VƯƠNG DŨNGWS</v>
          </cell>
          <cell r="D647" t="str">
            <v>Vương DũngWS</v>
          </cell>
        </row>
        <row r="648">
          <cell r="B648" t="str">
            <v>VAN SU LOIWS</v>
          </cell>
          <cell r="C648" t="str">
            <v>VẠN SỰ LỢIWS</v>
          </cell>
          <cell r="D648" t="str">
            <v>Vạn Sự LợiWS</v>
          </cell>
        </row>
        <row r="649">
          <cell r="B649" t="str">
            <v>DIEM PHUCWS</v>
          </cell>
          <cell r="C649" t="str">
            <v>DIỄM PHÚCWS</v>
          </cell>
          <cell r="D649" t="str">
            <v>Diễm PhúcWS</v>
          </cell>
        </row>
        <row r="650">
          <cell r="B650" t="str">
            <v>LOC SANG</v>
          </cell>
          <cell r="C650" t="str">
            <v>LỘC SANG</v>
          </cell>
          <cell r="D650" t="str">
            <v>Lộc Sang</v>
          </cell>
        </row>
        <row r="651">
          <cell r="B651" t="str">
            <v>SIEU TINHWS</v>
          </cell>
          <cell r="C651" t="str">
            <v>SIÊU TÍNHWS</v>
          </cell>
          <cell r="D651" t="str">
            <v>Siêu TínhWS</v>
          </cell>
        </row>
        <row r="652">
          <cell r="B652" t="str">
            <v>TRAN PHAM MINHWS</v>
          </cell>
          <cell r="C652" t="str">
            <v>TRẦN PHẠM MINHWS</v>
          </cell>
          <cell r="D652" t="str">
            <v>Trần Phạm MinhWS</v>
          </cell>
        </row>
        <row r="653">
          <cell r="B653" t="str">
            <v>THIEN TUANWS</v>
          </cell>
          <cell r="C653" t="str">
            <v>THIÊN TUẤNWS</v>
          </cell>
          <cell r="D653" t="str">
            <v>Thiên TuấnWS</v>
          </cell>
        </row>
        <row r="654">
          <cell r="B654" t="str">
            <v>MAI HOANG LONGWS</v>
          </cell>
          <cell r="C654" t="str">
            <v>MAI HOÀNG LONGWS</v>
          </cell>
          <cell r="D654" t="str">
            <v>Mai Hoàng LongWS</v>
          </cell>
        </row>
        <row r="655">
          <cell r="B655" t="str">
            <v>KIM HOANGWS</v>
          </cell>
          <cell r="C655" t="str">
            <v>KIM HOÀNGWS</v>
          </cell>
          <cell r="D655" t="str">
            <v>Kim HoàngWS</v>
          </cell>
        </row>
        <row r="656">
          <cell r="B656" t="str">
            <v>MINH NGUYETWS</v>
          </cell>
          <cell r="C656" t="str">
            <v>MINH NGUYỆTWS</v>
          </cell>
          <cell r="D656" t="str">
            <v>Minh NguyệtWS</v>
          </cell>
        </row>
        <row r="657">
          <cell r="B657" t="str">
            <v>HA THI MY HANH</v>
          </cell>
          <cell r="C657" t="str">
            <v>HÀ THỊ MỸ HẠNH</v>
          </cell>
          <cell r="D657" t="str">
            <v>Hà Thị Mỹ Hạnh</v>
          </cell>
        </row>
        <row r="658">
          <cell r="B658" t="str">
            <v>XUAN THY(NHAT KHANH)WS</v>
          </cell>
          <cell r="C658" t="str">
            <v>XUÂN THYWS</v>
          </cell>
          <cell r="D658" t="str">
            <v>Xuân ThyWS</v>
          </cell>
        </row>
        <row r="659">
          <cell r="B659" t="str">
            <v>PHUC AN BINHWS</v>
          </cell>
          <cell r="C659" t="str">
            <v>PHÚC AN BÌNHWS</v>
          </cell>
          <cell r="D659" t="str">
            <v>Phúc An BìnhWS</v>
          </cell>
        </row>
        <row r="660">
          <cell r="B660" t="str">
            <v>NGUYEN KHOA DANGKA</v>
          </cell>
          <cell r="C660" t="str">
            <v>NGUYỄN KHOA ĐĂNGKA</v>
          </cell>
          <cell r="D660" t="str">
            <v>Nguyễn Khoa ĐăngKA</v>
          </cell>
        </row>
        <row r="661">
          <cell r="B661" t="str">
            <v>PHILI TOAN CAUKA</v>
          </cell>
          <cell r="C661" t="str">
            <v>PHILI TOÀN CẦUKA</v>
          </cell>
          <cell r="D661" t="str">
            <v>Phili Toàn CầuKA</v>
          </cell>
        </row>
        <row r="662">
          <cell r="B662" t="str">
            <v>VIET BAO HANKA</v>
          </cell>
          <cell r="C662" t="str">
            <v>VIỆT BẢO HÂNKA</v>
          </cell>
          <cell r="D662" t="str">
            <v>Việt Bảo HânKA</v>
          </cell>
        </row>
        <row r="663">
          <cell r="B663" t="str">
            <v>DIEM PHUCKA</v>
          </cell>
          <cell r="C663" t="str">
            <v>DIỄM PHÚCKA</v>
          </cell>
          <cell r="D663" t="str">
            <v>Diễm PhúcKA</v>
          </cell>
        </row>
        <row r="664">
          <cell r="B664" t="str">
            <v>HUA THI CHINHKA</v>
          </cell>
          <cell r="C664" t="str">
            <v>HỨA THỊ CHÍNHKA</v>
          </cell>
          <cell r="D664" t="str">
            <v>Hứa Thị ChínhKA</v>
          </cell>
        </row>
        <row r="665">
          <cell r="B665" t="str">
            <v>TRAN PHAM MINHKA</v>
          </cell>
          <cell r="C665" t="str">
            <v>TRẦN PHẠM MINHKA</v>
          </cell>
          <cell r="D665" t="str">
            <v>Trần Phạm MinhKA</v>
          </cell>
        </row>
        <row r="666">
          <cell r="B666" t="str">
            <v>VAN SU LOIKA</v>
          </cell>
          <cell r="C666" t="str">
            <v>VẠN SỰ LỢIKA</v>
          </cell>
          <cell r="D666" t="str">
            <v>Vạn Sự LợiKA</v>
          </cell>
        </row>
        <row r="667">
          <cell r="B667" t="str">
            <v>HOANG PHUCWS</v>
          </cell>
          <cell r="C667" t="str">
            <v>HOÀNG PHÚCWS</v>
          </cell>
          <cell r="D667" t="str">
            <v>Hoàng PhúcWS</v>
          </cell>
        </row>
        <row r="668">
          <cell r="B668" t="str">
            <v>HTX PHUONG 1KA</v>
          </cell>
          <cell r="C668" t="str">
            <v>HTX PHƯỜNG 1KA</v>
          </cell>
          <cell r="D668" t="str">
            <v>HTX Phường 1KA</v>
          </cell>
        </row>
        <row r="669">
          <cell r="B669" t="str">
            <v>BACH MAIKA</v>
          </cell>
          <cell r="C669" t="str">
            <v>BẠCH MAIKA</v>
          </cell>
          <cell r="D669" t="str">
            <v>Bạch MaiKA</v>
          </cell>
        </row>
        <row r="670">
          <cell r="B670" t="str">
            <v>MINH NGOCWS</v>
          </cell>
          <cell r="C670" t="str">
            <v>MINH NGỌCWS</v>
          </cell>
          <cell r="D670" t="str">
            <v>Minh NgọcWS</v>
          </cell>
        </row>
        <row r="671">
          <cell r="B671" t="str">
            <v>DAT HA</v>
          </cell>
          <cell r="C671" t="str">
            <v>ĐẠT HÀ</v>
          </cell>
          <cell r="D671" t="str">
            <v>Đạt Hà</v>
          </cell>
        </row>
        <row r="672">
          <cell r="B672" t="str">
            <v>VO THANH DANH (HONG DANH)KA</v>
          </cell>
          <cell r="C672" t="str">
            <v>VÕ THÀNH DANHKA</v>
          </cell>
          <cell r="D672" t="str">
            <v>Võ Thành DanhKA</v>
          </cell>
        </row>
        <row r="673">
          <cell r="B673" t="str">
            <v>TRI NGUYENKA</v>
          </cell>
          <cell r="C673" t="str">
            <v>TRÍ NGUYÊNKA</v>
          </cell>
          <cell r="D673" t="str">
            <v>Trí NguyênKA</v>
          </cell>
        </row>
        <row r="674">
          <cell r="B674" t="str">
            <v>TRUNG THAOKA</v>
          </cell>
          <cell r="C674" t="str">
            <v>TRUNG THẢOKA</v>
          </cell>
          <cell r="D674" t="str">
            <v>Trung ThảoKA</v>
          </cell>
        </row>
        <row r="675">
          <cell r="B675" t="str">
            <v>PHAN LAM</v>
          </cell>
          <cell r="C675" t="str">
            <v>PHAN LÂM</v>
          </cell>
          <cell r="D675" t="str">
            <v>Phan Lâm</v>
          </cell>
        </row>
        <row r="676">
          <cell r="B676" t="str">
            <v>QUOC THAI</v>
          </cell>
          <cell r="C676" t="str">
            <v>QUỐC THÁI</v>
          </cell>
          <cell r="D676" t="str">
            <v>Quốc Thái</v>
          </cell>
        </row>
        <row r="677">
          <cell r="B677" t="str">
            <v>QUOC THAIWS</v>
          </cell>
          <cell r="C677" t="str">
            <v>QUỐC THÁIWS</v>
          </cell>
          <cell r="D677" t="str">
            <v>Quốc TháiWS</v>
          </cell>
        </row>
        <row r="678">
          <cell r="B678" t="str">
            <v>KIM HOA</v>
          </cell>
          <cell r="C678" t="str">
            <v>KIM HOA</v>
          </cell>
          <cell r="D678" t="str">
            <v>Kim Hoa</v>
          </cell>
        </row>
        <row r="679">
          <cell r="B679" t="str">
            <v>DAI THANH TIN</v>
          </cell>
          <cell r="C679" t="str">
            <v>ĐẠI THÀNH TÍN</v>
          </cell>
          <cell r="D679" t="str">
            <v>Đại Thành Tín</v>
          </cell>
        </row>
        <row r="680">
          <cell r="B680" t="str">
            <v>PHUONG TRAMKA</v>
          </cell>
          <cell r="C680" t="str">
            <v>PHƯƠNG TRÂMKA</v>
          </cell>
          <cell r="D680" t="str">
            <v>Phương TrâmKA</v>
          </cell>
        </row>
        <row r="681">
          <cell r="B681" t="str">
            <v>KIM HOAKA</v>
          </cell>
          <cell r="C681" t="str">
            <v>KIM HOAKA</v>
          </cell>
          <cell r="D681" t="str">
            <v>Kim HoaKA</v>
          </cell>
        </row>
        <row r="682">
          <cell r="B682" t="str">
            <v>NGUYEN VAN SUYEN</v>
          </cell>
          <cell r="C682" t="str">
            <v>NGUYỄN VĂN SUYẾN</v>
          </cell>
          <cell r="D682" t="str">
            <v>Nguyễn Văn Suyến</v>
          </cell>
        </row>
        <row r="683">
          <cell r="B683" t="str">
            <v>PHAN LAMKA</v>
          </cell>
          <cell r="C683" t="str">
            <v>PHAN LÂMKA</v>
          </cell>
          <cell r="D683" t="str">
            <v>Phan LâmKA</v>
          </cell>
        </row>
        <row r="684">
          <cell r="B684" t="str">
            <v>TAM TRANGKA</v>
          </cell>
          <cell r="C684" t="str">
            <v>TÂM TRANGKA</v>
          </cell>
          <cell r="D684" t="str">
            <v>Tâm TrangKA</v>
          </cell>
        </row>
        <row r="685">
          <cell r="B685" t="str">
            <v>TRAN PHU QUOC</v>
          </cell>
          <cell r="C685" t="str">
            <v>TRẦN PHÚ QUỐC</v>
          </cell>
          <cell r="D685" t="str">
            <v>Trần Phú Quốc</v>
          </cell>
        </row>
        <row r="686">
          <cell r="B686" t="str">
            <v>LE THIEN HUONGKA</v>
          </cell>
          <cell r="C686" t="str">
            <v>LÊ THIÊN HƯƠNGKA</v>
          </cell>
          <cell r="D686" t="str">
            <v>Lê Thiên HươngKa</v>
          </cell>
        </row>
        <row r="687">
          <cell r="B687" t="str">
            <v>DUY HOANG</v>
          </cell>
          <cell r="C687" t="str">
            <v>DUY HOÀNG</v>
          </cell>
          <cell r="D687" t="str">
            <v>Duy Hoàng</v>
          </cell>
        </row>
        <row r="688">
          <cell r="B688" t="str">
            <v>DUY HOANGKA</v>
          </cell>
          <cell r="C688" t="str">
            <v>DUY HOÀNGKA</v>
          </cell>
          <cell r="D688" t="str">
            <v>Duy HoàngKA</v>
          </cell>
        </row>
        <row r="689">
          <cell r="B689" t="str">
            <v>DUY HOANGWS</v>
          </cell>
          <cell r="C689" t="str">
            <v>DUY HOÀNGWS</v>
          </cell>
          <cell r="D689" t="str">
            <v>Duy HoàngWS</v>
          </cell>
        </row>
        <row r="690">
          <cell r="B690" t="str">
            <v>MAI HOANG LONGKA</v>
          </cell>
          <cell r="C690" t="str">
            <v>MAI HOÀNG LONGKA</v>
          </cell>
          <cell r="D690" t="str">
            <v>Mai Hoàng LongKA</v>
          </cell>
        </row>
        <row r="691">
          <cell r="B691" t="str">
            <v>VUONG ANH</v>
          </cell>
          <cell r="C691" t="str">
            <v>VƯƠNG ANH</v>
          </cell>
          <cell r="D691" t="str">
            <v>Vương Anh</v>
          </cell>
        </row>
        <row r="692">
          <cell r="B692" t="str">
            <v>HTX QUAN 4</v>
          </cell>
          <cell r="C692" t="str">
            <v>HTX QUẬN 4</v>
          </cell>
          <cell r="D692" t="str">
            <v>HTX Quận 4</v>
          </cell>
        </row>
        <row r="693">
          <cell r="B693" t="str">
            <v>THANH BINH</v>
          </cell>
          <cell r="C693" t="str">
            <v>THANH BÌNH</v>
          </cell>
          <cell r="D693" t="str">
            <v>Thanh Bình</v>
          </cell>
        </row>
        <row r="694">
          <cell r="B694" t="str">
            <v>HTX QUAN 4WS</v>
          </cell>
          <cell r="C694" t="str">
            <v>HTX QUẬN 4WS</v>
          </cell>
          <cell r="D694" t="str">
            <v>HTX Quận 4WS</v>
          </cell>
        </row>
        <row r="695">
          <cell r="B695" t="str">
            <v>TRUONG TIN</v>
          </cell>
          <cell r="C695" t="str">
            <v>TRƯỜNG TÍN</v>
          </cell>
          <cell r="D695" t="str">
            <v>Trường Tín</v>
          </cell>
        </row>
        <row r="696">
          <cell r="B696" t="str">
            <v>VINH HIEP</v>
          </cell>
          <cell r="C696" t="str">
            <v>VĨNH HIỆP</v>
          </cell>
          <cell r="D696" t="str">
            <v>Vĩnh Hiệp</v>
          </cell>
        </row>
        <row r="697">
          <cell r="B697" t="str">
            <v>LAM THU LOAN</v>
          </cell>
          <cell r="C697" t="str">
            <v>LÂM THU LOAN</v>
          </cell>
          <cell r="D697" t="str">
            <v>Lâm Thu Loan</v>
          </cell>
        </row>
        <row r="698">
          <cell r="B698" t="str">
            <v>VAN MINH</v>
          </cell>
          <cell r="C698" t="str">
            <v>VĂN MINH</v>
          </cell>
          <cell r="D698" t="str">
            <v>Văn Minh</v>
          </cell>
        </row>
        <row r="699">
          <cell r="B699" t="str">
            <v>LAM THU LOANKA</v>
          </cell>
          <cell r="C699" t="str">
            <v>LÂM THU LOANKA</v>
          </cell>
          <cell r="D699" t="str">
            <v>Lâm Thu LoanKA</v>
          </cell>
        </row>
        <row r="700">
          <cell r="B700" t="str">
            <v>NGUYEN THI CHINH</v>
          </cell>
          <cell r="C700" t="str">
            <v>NGUYỄN THỊ CHINH</v>
          </cell>
          <cell r="D700" t="str">
            <v>Nguyễn Thị Chinh</v>
          </cell>
        </row>
        <row r="701">
          <cell r="B701" t="str">
            <v>LE OANH</v>
          </cell>
          <cell r="C701" t="str">
            <v>LÊ OANH</v>
          </cell>
          <cell r="D701" t="str">
            <v>E_Agent Lê Oanh</v>
          </cell>
        </row>
        <row r="702">
          <cell r="B702" t="str">
            <v>RUOU NUM</v>
          </cell>
          <cell r="C702" t="str">
            <v>RƯỢU NUM</v>
          </cell>
          <cell r="D702" t="str">
            <v>Rượu Num</v>
          </cell>
        </row>
        <row r="703">
          <cell r="B703" t="str">
            <v>GIA BAO</v>
          </cell>
          <cell r="C703" t="str">
            <v>GIA BẢO</v>
          </cell>
          <cell r="D703" t="str">
            <v>Gia Bảo</v>
          </cell>
        </row>
        <row r="704">
          <cell r="B704" t="str">
            <v>GIA BAOWS</v>
          </cell>
          <cell r="C704" t="str">
            <v>GIA BẢOWS</v>
          </cell>
          <cell r="D704" t="str">
            <v>Gia BảoWS</v>
          </cell>
        </row>
        <row r="705">
          <cell r="B705" t="str">
            <v>HTX QUAN 4KA</v>
          </cell>
          <cell r="C705" t="str">
            <v>HTX QUẬN 4KA</v>
          </cell>
          <cell r="D705" t="str">
            <v>HTX Quận4KA</v>
          </cell>
        </row>
        <row r="706">
          <cell r="B706" t="str">
            <v>GIA BAOKA</v>
          </cell>
          <cell r="C706" t="str">
            <v>GIA BẢOKA</v>
          </cell>
          <cell r="D706" t="str">
            <v>Gia BảoKA</v>
          </cell>
        </row>
        <row r="707">
          <cell r="B707" t="str">
            <v>SAIGON COOP (BINH DUONG)</v>
          </cell>
          <cell r="C707" t="str">
            <v>SÀI GÒN CO.OP</v>
          </cell>
          <cell r="D707" t="str">
            <v>SÀI GÒN CO.OP</v>
          </cell>
        </row>
        <row r="708">
          <cell r="B708" t="str">
            <v>METRO CENTRAL</v>
          </cell>
          <cell r="C708" t="str">
            <v>Metro Central</v>
          </cell>
          <cell r="D708" t="str">
            <v>Metro Central</v>
          </cell>
        </row>
        <row r="709">
          <cell r="B709" t="str">
            <v>QUANG VINH</v>
          </cell>
          <cell r="C709" t="str">
            <v>QUANG VINH</v>
          </cell>
          <cell r="D709" t="str">
            <v>Quang Vinh</v>
          </cell>
        </row>
        <row r="710">
          <cell r="B710" t="str">
            <v>NGO THI HANH</v>
          </cell>
          <cell r="C710" t="str">
            <v>NGÔ THỊ HẠNH</v>
          </cell>
          <cell r="D710" t="str">
            <v>Ngô Thị Hạnh</v>
          </cell>
        </row>
        <row r="711">
          <cell r="B711" t="str">
            <v>VAN GIA PHAT</v>
          </cell>
          <cell r="C711" t="str">
            <v>VĂN GIA PHÁT</v>
          </cell>
          <cell r="D711" t="str">
            <v>Văn Gia Phát</v>
          </cell>
        </row>
        <row r="712">
          <cell r="B712" t="str">
            <v>KHANG AN</v>
          </cell>
          <cell r="C712" t="str">
            <v>KHANG AN</v>
          </cell>
          <cell r="D712" t="str">
            <v>Khang An</v>
          </cell>
        </row>
        <row r="713">
          <cell r="B713" t="str">
            <v>NGOC PHUONG</v>
          </cell>
          <cell r="C713" t="str">
            <v>NGỌC PHƯỢNG</v>
          </cell>
          <cell r="D713" t="str">
            <v>Ngọc Phượng</v>
          </cell>
        </row>
        <row r="714">
          <cell r="B714" t="str">
            <v>MINH TUYET NHA TRANG</v>
          </cell>
          <cell r="C714" t="str">
            <v>MINH TUYẾT NHA TRANG</v>
          </cell>
          <cell r="D714" t="str">
            <v>Minh Tuyết Nha Trang</v>
          </cell>
        </row>
        <row r="715">
          <cell r="B715" t="str">
            <v>HUU LINH</v>
          </cell>
          <cell r="C715" t="str">
            <v>HỮU LINH</v>
          </cell>
          <cell r="D715" t="str">
            <v>Hữu Linh</v>
          </cell>
        </row>
        <row r="716">
          <cell r="B716" t="str">
            <v>HIEN HOA</v>
          </cell>
          <cell r="C716" t="str">
            <v>HIỀN HÒA</v>
          </cell>
          <cell r="D716" t="str">
            <v>Hiền Hòa</v>
          </cell>
        </row>
        <row r="717">
          <cell r="B717" t="str">
            <v>QUYNH PHAT</v>
          </cell>
          <cell r="C717" t="str">
            <v>QUỲNH PHÁT</v>
          </cell>
          <cell r="D717" t="str">
            <v>Quỳnh Phát</v>
          </cell>
        </row>
        <row r="718">
          <cell r="B718" t="str">
            <v>BIG C - MY THO</v>
          </cell>
          <cell r="C718" t="str">
            <v>BIG C South</v>
          </cell>
          <cell r="D718" t="str">
            <v>Big C South</v>
          </cell>
        </row>
        <row r="719">
          <cell r="B719" t="str">
            <v>LOTTE CAU GIAY</v>
          </cell>
          <cell r="C719" t="str">
            <v>Lotte North</v>
          </cell>
          <cell r="D719" t="str">
            <v>Lotte North</v>
          </cell>
        </row>
        <row r="720">
          <cell r="B720" t="str">
            <v>HUNG THANH BINH</v>
          </cell>
          <cell r="C720" t="str">
            <v>HƯNG THANH BÌNH</v>
          </cell>
          <cell r="D720" t="str">
            <v>Hưng Thanh Bình</v>
          </cell>
        </row>
        <row r="721">
          <cell r="B721" t="str">
            <v>NGUYEN THI BICH LOAN</v>
          </cell>
          <cell r="C721" t="str">
            <v>NGUYỄN THỊ BÍCH LOAN</v>
          </cell>
          <cell r="D721" t="str">
            <v>Nguyễn Thị Bích Loan</v>
          </cell>
        </row>
        <row r="722">
          <cell r="B722" t="str">
            <v>NGUYEN LE HONG</v>
          </cell>
          <cell r="C722" t="str">
            <v>NGUYỄN LỆ HỒNG</v>
          </cell>
          <cell r="D722" t="str">
            <v>Nguyễn Lệ Hồng</v>
          </cell>
        </row>
        <row r="723">
          <cell r="B723" t="str">
            <v>TRAN ANH TUAN</v>
          </cell>
          <cell r="C723" t="str">
            <v>TRẦN ANH TUẤN</v>
          </cell>
          <cell r="D723" t="str">
            <v>Trần Anh Tuấn</v>
          </cell>
        </row>
        <row r="724">
          <cell r="B724" t="str">
            <v>TRAN VAN HAI</v>
          </cell>
          <cell r="C724" t="str">
            <v>TRẦN VĂN HẢI</v>
          </cell>
          <cell r="D724" t="str">
            <v>Trần Văn Hải</v>
          </cell>
        </row>
        <row r="725">
          <cell r="B725" t="str">
            <v>KIM NGAN HAU GIANG</v>
          </cell>
          <cell r="C725" t="str">
            <v>KIM NGÂN HẬU GIANG</v>
          </cell>
          <cell r="D725" t="str">
            <v>Kim Ngân Hậu Giang</v>
          </cell>
        </row>
        <row r="726">
          <cell r="B726" t="str">
            <v>XUAN TRUONG</v>
          </cell>
          <cell r="C726" t="str">
            <v>XUÂN TRƯỜNG</v>
          </cell>
          <cell r="D726" t="str">
            <v>Xuân Trường</v>
          </cell>
        </row>
        <row r="727">
          <cell r="B727" t="str">
            <v>HOA HOP</v>
          </cell>
          <cell r="C727" t="str">
            <v>HÒA HỢP</v>
          </cell>
          <cell r="D727" t="str">
            <v xml:space="preserve">Hòa Hợp 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Incentive/Data%20tinh%20incentive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B76"/>
  <sheetViews>
    <sheetView showGridLines="0" topLeftCell="A46" zoomScale="60" zoomScaleNormal="60" zoomScaleSheetLayoutView="55" workbookViewId="0">
      <selection activeCell="H25" sqref="H25"/>
    </sheetView>
  </sheetViews>
  <sheetFormatPr defaultColWidth="9.140625" defaultRowHeight="25.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hidden="1" customWidth="1"/>
    <col min="21" max="21" width="30.5703125" style="147" hidden="1" customWidth="1"/>
    <col min="22" max="22" width="32" style="23" hidden="1" customWidth="1"/>
    <col min="23" max="23" width="22.28515625" style="23" hidden="1" customWidth="1"/>
    <col min="24" max="24" width="24.28515625" style="23" hidden="1" customWidth="1"/>
    <col min="25" max="25" width="23.7109375" style="23" customWidth="1"/>
    <col min="26" max="26" width="23.5703125" style="23" hidden="1" customWidth="1"/>
    <col min="27" max="27" width="15.42578125" style="23" hidden="1" customWidth="1"/>
    <col min="28" max="28" width="15.42578125" style="23" bestFit="1" customWidth="1"/>
    <col min="29" max="16384" width="9.140625" style="23"/>
  </cols>
  <sheetData>
    <row r="1" spans="1:24" s="1" customFormat="1" ht="42" customHeight="1">
      <c r="A1" s="31" t="s">
        <v>248</v>
      </c>
      <c r="B1" s="31"/>
      <c r="C1" s="31"/>
      <c r="D1" s="31"/>
      <c r="E1" s="31"/>
      <c r="F1" s="31"/>
      <c r="G1" s="31"/>
      <c r="H1" s="140"/>
      <c r="I1" s="31"/>
      <c r="J1" s="31"/>
      <c r="K1" s="31"/>
      <c r="L1" s="31"/>
      <c r="M1" s="31"/>
      <c r="N1" s="31"/>
      <c r="O1" s="31"/>
      <c r="P1" s="31"/>
      <c r="T1" s="132"/>
      <c r="U1" s="144"/>
    </row>
    <row r="2" spans="1:24" s="2" customFormat="1" ht="37.5" customHeight="1">
      <c r="A2" s="28" t="s">
        <v>0</v>
      </c>
      <c r="B2" s="28"/>
      <c r="C2" s="3"/>
      <c r="D2" s="4"/>
      <c r="E2" s="4"/>
      <c r="F2" s="42"/>
      <c r="G2" s="4"/>
      <c r="H2" s="141"/>
      <c r="I2" s="128"/>
      <c r="J2" s="5"/>
      <c r="K2" s="127"/>
      <c r="L2" s="4"/>
      <c r="M2" s="4"/>
      <c r="N2" s="5"/>
      <c r="O2" s="4"/>
      <c r="T2" s="5"/>
      <c r="U2" s="144"/>
    </row>
    <row r="3" spans="1:24" s="8" customFormat="1" ht="33" customHeight="1" thickBot="1">
      <c r="A3" s="94" t="s">
        <v>305</v>
      </c>
      <c r="B3" s="94"/>
      <c r="C3" s="28"/>
      <c r="D3" s="6"/>
      <c r="E3" s="6"/>
      <c r="F3" s="7"/>
      <c r="G3" s="6"/>
      <c r="H3" s="106"/>
      <c r="I3" s="123"/>
      <c r="J3" s="123"/>
      <c r="K3" s="106"/>
      <c r="L3" s="124"/>
      <c r="M3" s="6"/>
      <c r="N3" s="7"/>
      <c r="O3" s="6"/>
      <c r="T3" s="7"/>
      <c r="U3" s="145"/>
    </row>
    <row r="4" spans="1:24" s="9" customFormat="1" ht="30.75" customHeight="1">
      <c r="A4" s="331" t="s">
        <v>1</v>
      </c>
      <c r="B4" s="339" t="s">
        <v>263</v>
      </c>
      <c r="C4" s="333" t="s">
        <v>19</v>
      </c>
      <c r="D4" s="323" t="s">
        <v>250</v>
      </c>
      <c r="E4" s="324"/>
      <c r="F4" s="324"/>
      <c r="G4" s="325"/>
      <c r="H4" s="323" t="s">
        <v>21</v>
      </c>
      <c r="I4" s="324"/>
      <c r="J4" s="324"/>
      <c r="K4" s="324"/>
      <c r="L4" s="325"/>
      <c r="M4" s="323" t="s">
        <v>251</v>
      </c>
      <c r="N4" s="324"/>
      <c r="O4" s="324"/>
      <c r="P4" s="325"/>
      <c r="Q4" s="319" t="s">
        <v>2</v>
      </c>
      <c r="R4" s="319" t="s">
        <v>27</v>
      </c>
      <c r="S4" s="319" t="s">
        <v>14</v>
      </c>
      <c r="T4" s="133"/>
      <c r="U4" s="146"/>
    </row>
    <row r="5" spans="1:24" s="9" customFormat="1" ht="49.5" customHeight="1">
      <c r="A5" s="332"/>
      <c r="B5" s="340"/>
      <c r="C5" s="334"/>
      <c r="D5" s="49" t="s">
        <v>3</v>
      </c>
      <c r="E5" s="104" t="s">
        <v>4</v>
      </c>
      <c r="F5" s="12" t="s">
        <v>5</v>
      </c>
      <c r="G5" s="29" t="s">
        <v>6</v>
      </c>
      <c r="H5" s="49" t="s">
        <v>3</v>
      </c>
      <c r="I5" s="43" t="s">
        <v>4</v>
      </c>
      <c r="J5" s="12" t="s">
        <v>5</v>
      </c>
      <c r="K5" s="96" t="s">
        <v>6</v>
      </c>
      <c r="L5" s="97" t="s">
        <v>249</v>
      </c>
      <c r="M5" s="49" t="s">
        <v>3</v>
      </c>
      <c r="N5" s="96" t="s">
        <v>4</v>
      </c>
      <c r="O5" s="12" t="s">
        <v>5</v>
      </c>
      <c r="P5" s="29" t="s">
        <v>6</v>
      </c>
      <c r="Q5" s="320"/>
      <c r="R5" s="320"/>
      <c r="S5" s="320"/>
      <c r="T5" s="133"/>
      <c r="U5" s="146"/>
    </row>
    <row r="6" spans="1:24" s="15" customFormat="1" ht="36" customHeight="1">
      <c r="A6" s="344" t="s">
        <v>247</v>
      </c>
      <c r="B6" s="171" t="s">
        <v>280</v>
      </c>
      <c r="C6" s="138" t="s">
        <v>25</v>
      </c>
      <c r="D6" s="172">
        <v>5</v>
      </c>
      <c r="E6" s="172">
        <v>5</v>
      </c>
      <c r="F6" s="173">
        <f t="shared" ref="F6:F17" si="0">+IF(E6=0,0,E6/D6)</f>
        <v>1</v>
      </c>
      <c r="G6" s="253">
        <f>+IF(F6&gt;=100%,1500000,IF(F6&gt;=80%,1000000,0))</f>
        <v>1500000</v>
      </c>
      <c r="H6" s="174">
        <v>204682.14377758416</v>
      </c>
      <c r="I6" s="252">
        <v>223103.53671756657</v>
      </c>
      <c r="J6" s="173">
        <f>+IF(I6=0,0,I6/H6)</f>
        <v>1.0899999999999992</v>
      </c>
      <c r="K6" s="253">
        <f>IF(AND(J6&gt;=90%,J6&lt;95%),1000000,IF(AND(J6&gt;=95%,J6&lt;100%),1300000,IF(J6&gt;=100%,2000000,0)))</f>
        <v>2000000</v>
      </c>
      <c r="L6" s="253">
        <f>IF(J6&gt;=100%,1000000,0)</f>
        <v>1000000</v>
      </c>
      <c r="M6" s="172">
        <v>5</v>
      </c>
      <c r="N6" s="172">
        <v>5</v>
      </c>
      <c r="O6" s="173">
        <f t="shared" ref="O6:O17" si="1">+IF(N6=0,0,N6/M6)</f>
        <v>1</v>
      </c>
      <c r="P6" s="253">
        <f>+IF(O6&gt;=100%,1500000,IF(O6&gt;=80%,1000000,0))</f>
        <v>1500000</v>
      </c>
      <c r="Q6" s="254">
        <f>+SUM(L6,P6,K6,G6)</f>
        <v>6000000</v>
      </c>
      <c r="R6" s="175"/>
      <c r="S6" s="175"/>
      <c r="T6" s="166">
        <f>+R6-L6</f>
        <v>-1000000</v>
      </c>
      <c r="U6" s="156">
        <v>38300000</v>
      </c>
      <c r="V6" s="157" t="e">
        <f t="shared" ref="V6:V13" si="2">U6/$U$16</f>
        <v>#DIV/0!</v>
      </c>
      <c r="W6" s="158" t="e">
        <f t="shared" ref="W6:W14" si="3">V6*$U$18</f>
        <v>#DIV/0!</v>
      </c>
      <c r="X6" s="158" t="e">
        <f>U6-W6</f>
        <v>#DIV/0!</v>
      </c>
    </row>
    <row r="7" spans="1:24" s="15" customFormat="1" ht="36" customHeight="1">
      <c r="A7" s="345"/>
      <c r="B7" s="171" t="s">
        <v>986</v>
      </c>
      <c r="C7" s="138" t="s">
        <v>307</v>
      </c>
      <c r="D7" s="172">
        <v>5</v>
      </c>
      <c r="E7" s="172">
        <v>5</v>
      </c>
      <c r="F7" s="173">
        <f t="shared" si="0"/>
        <v>1</v>
      </c>
      <c r="G7" s="253">
        <f t="shared" ref="G7:G17" si="4">+IF(F7&gt;=100%,1500000,IF(F7&gt;=80%,1000000,0))</f>
        <v>1500000</v>
      </c>
      <c r="H7" s="174">
        <v>185279.02952529705</v>
      </c>
      <c r="I7" s="252">
        <v>198248.56159206785</v>
      </c>
      <c r="J7" s="173">
        <f t="shared" ref="J7:J12" si="5">+IF(I7=0,0,I7/H7)</f>
        <v>1.07</v>
      </c>
      <c r="K7" s="253">
        <f t="shared" ref="K7:K17" si="6">IF(AND(J7&gt;=90%,J7&lt;95%),1000000,IF(AND(J7&gt;=95%,J7&lt;100%),1300000,IF(J7&gt;=100%,2000000,0)))</f>
        <v>2000000</v>
      </c>
      <c r="L7" s="253">
        <f t="shared" ref="L7:L17" si="7">IF(J7&gt;=100%,1000000,0)</f>
        <v>1000000</v>
      </c>
      <c r="M7" s="172">
        <v>5</v>
      </c>
      <c r="N7" s="172">
        <v>5</v>
      </c>
      <c r="O7" s="173">
        <f t="shared" si="1"/>
        <v>1</v>
      </c>
      <c r="P7" s="253">
        <f t="shared" ref="P7:P17" si="8">+IF(O7&gt;=100%,1500000,IF(O7&gt;=80%,1000000,0))</f>
        <v>1500000</v>
      </c>
      <c r="Q7" s="254">
        <f t="shared" ref="Q7:Q17" si="9">+SUM(L7,P7,K7,G7)</f>
        <v>6000000</v>
      </c>
      <c r="R7" s="175"/>
      <c r="S7" s="175"/>
      <c r="T7" s="166">
        <f t="shared" ref="T7:T32" si="10">+R7-L7</f>
        <v>-1000000</v>
      </c>
      <c r="U7" s="156">
        <v>33000000</v>
      </c>
      <c r="V7" s="157" t="e">
        <f t="shared" si="2"/>
        <v>#DIV/0!</v>
      </c>
      <c r="W7" s="156" t="e">
        <f t="shared" si="3"/>
        <v>#DIV/0!</v>
      </c>
      <c r="X7" s="158" t="e">
        <f t="shared" ref="X7:X14" si="11">U7-W7</f>
        <v>#DIV/0!</v>
      </c>
    </row>
    <row r="8" spans="1:24" s="15" customFormat="1" ht="36" customHeight="1">
      <c r="A8" s="345"/>
      <c r="B8" s="171" t="s">
        <v>281</v>
      </c>
      <c r="C8" s="138" t="s">
        <v>271</v>
      </c>
      <c r="D8" s="172">
        <v>5</v>
      </c>
      <c r="E8" s="172">
        <v>5</v>
      </c>
      <c r="F8" s="173">
        <f t="shared" si="0"/>
        <v>1</v>
      </c>
      <c r="G8" s="253">
        <f t="shared" si="4"/>
        <v>1500000</v>
      </c>
      <c r="H8" s="174">
        <v>196058.2719381132</v>
      </c>
      <c r="I8" s="252">
        <v>205861.18553501889</v>
      </c>
      <c r="J8" s="173">
        <f t="shared" si="5"/>
        <v>1.05</v>
      </c>
      <c r="K8" s="253">
        <f t="shared" si="6"/>
        <v>2000000</v>
      </c>
      <c r="L8" s="253">
        <f t="shared" si="7"/>
        <v>1000000</v>
      </c>
      <c r="M8" s="172">
        <v>5</v>
      </c>
      <c r="N8" s="172">
        <v>5</v>
      </c>
      <c r="O8" s="173">
        <f t="shared" si="1"/>
        <v>1</v>
      </c>
      <c r="P8" s="253">
        <f t="shared" si="8"/>
        <v>1500000</v>
      </c>
      <c r="Q8" s="254">
        <f t="shared" si="9"/>
        <v>6000000</v>
      </c>
      <c r="R8" s="175"/>
      <c r="S8" s="175"/>
      <c r="T8" s="166">
        <f t="shared" si="10"/>
        <v>-1000000</v>
      </c>
      <c r="U8" s="156">
        <v>22300000</v>
      </c>
      <c r="V8" s="157" t="e">
        <f t="shared" si="2"/>
        <v>#DIV/0!</v>
      </c>
      <c r="W8" s="156" t="e">
        <f t="shared" si="3"/>
        <v>#DIV/0!</v>
      </c>
      <c r="X8" s="158" t="e">
        <f t="shared" si="11"/>
        <v>#DIV/0!</v>
      </c>
    </row>
    <row r="9" spans="1:24" s="15" customFormat="1" ht="36" customHeight="1">
      <c r="A9" s="345"/>
      <c r="B9" s="171" t="s">
        <v>282</v>
      </c>
      <c r="C9" s="138" t="s">
        <v>268</v>
      </c>
      <c r="D9" s="172">
        <v>5</v>
      </c>
      <c r="E9" s="172">
        <v>5</v>
      </c>
      <c r="F9" s="173">
        <f t="shared" si="0"/>
        <v>1</v>
      </c>
      <c r="G9" s="253">
        <f t="shared" si="4"/>
        <v>1500000</v>
      </c>
      <c r="H9" s="174">
        <v>170191.43551188076</v>
      </c>
      <c r="I9" s="252">
        <v>190614.40777330648</v>
      </c>
      <c r="J9" s="173">
        <f t="shared" si="5"/>
        <v>1.1200000000000001</v>
      </c>
      <c r="K9" s="253">
        <f t="shared" si="6"/>
        <v>2000000</v>
      </c>
      <c r="L9" s="253">
        <f t="shared" si="7"/>
        <v>1000000</v>
      </c>
      <c r="M9" s="172">
        <v>5</v>
      </c>
      <c r="N9" s="172">
        <v>5</v>
      </c>
      <c r="O9" s="173">
        <f t="shared" si="1"/>
        <v>1</v>
      </c>
      <c r="P9" s="253">
        <f t="shared" si="8"/>
        <v>1500000</v>
      </c>
      <c r="Q9" s="254">
        <f t="shared" si="9"/>
        <v>6000000</v>
      </c>
      <c r="R9" s="175"/>
      <c r="S9" s="175"/>
      <c r="T9" s="166">
        <f t="shared" si="10"/>
        <v>-1000000</v>
      </c>
      <c r="U9" s="156">
        <v>10420000</v>
      </c>
      <c r="V9" s="157" t="e">
        <f t="shared" si="2"/>
        <v>#DIV/0!</v>
      </c>
      <c r="W9" s="156" t="e">
        <f t="shared" si="3"/>
        <v>#DIV/0!</v>
      </c>
      <c r="X9" s="158" t="e">
        <f t="shared" si="11"/>
        <v>#DIV/0!</v>
      </c>
    </row>
    <row r="10" spans="1:24" s="15" customFormat="1" ht="36" customHeight="1">
      <c r="A10" s="345"/>
      <c r="B10" s="171" t="s">
        <v>283</v>
      </c>
      <c r="C10" s="138" t="s">
        <v>254</v>
      </c>
      <c r="D10" s="172">
        <v>5</v>
      </c>
      <c r="E10" s="172">
        <v>5</v>
      </c>
      <c r="F10" s="173">
        <f t="shared" ref="F10:F16" si="12">+IF(E10=0,0,E10/D10)</f>
        <v>1</v>
      </c>
      <c r="G10" s="253">
        <f t="shared" si="4"/>
        <v>1500000</v>
      </c>
      <c r="H10" s="174">
        <v>187435.62782046557</v>
      </c>
      <c r="I10" s="252">
        <v>194933.0529332842</v>
      </c>
      <c r="J10" s="173">
        <f t="shared" si="5"/>
        <v>1.04</v>
      </c>
      <c r="K10" s="253">
        <f t="shared" si="6"/>
        <v>2000000</v>
      </c>
      <c r="L10" s="253">
        <f t="shared" si="7"/>
        <v>1000000</v>
      </c>
      <c r="M10" s="172">
        <v>5</v>
      </c>
      <c r="N10" s="172">
        <v>5</v>
      </c>
      <c r="O10" s="173">
        <f t="shared" ref="O10:O16" si="13">+IF(N10=0,0,N10/M10)</f>
        <v>1</v>
      </c>
      <c r="P10" s="253">
        <f t="shared" si="8"/>
        <v>1500000</v>
      </c>
      <c r="Q10" s="254">
        <f t="shared" si="9"/>
        <v>6000000</v>
      </c>
      <c r="R10" s="175"/>
      <c r="S10" s="175"/>
      <c r="T10" s="166">
        <f t="shared" si="10"/>
        <v>-1000000</v>
      </c>
      <c r="U10" s="156">
        <f>SUM(U6:U9)</f>
        <v>104020000</v>
      </c>
      <c r="V10" s="157" t="e">
        <f t="shared" si="2"/>
        <v>#DIV/0!</v>
      </c>
      <c r="W10" s="156" t="e">
        <f t="shared" si="3"/>
        <v>#DIV/0!</v>
      </c>
      <c r="X10" s="158" t="e">
        <f t="shared" si="11"/>
        <v>#DIV/0!</v>
      </c>
    </row>
    <row r="11" spans="1:24" s="15" customFormat="1" ht="36" customHeight="1">
      <c r="A11" s="345"/>
      <c r="B11" s="171" t="s">
        <v>298</v>
      </c>
      <c r="C11" s="138" t="s">
        <v>26</v>
      </c>
      <c r="D11" s="172">
        <v>5</v>
      </c>
      <c r="E11" s="172">
        <v>5</v>
      </c>
      <c r="F11" s="173">
        <f t="shared" si="12"/>
        <v>1</v>
      </c>
      <c r="G11" s="253">
        <f t="shared" si="4"/>
        <v>1500000</v>
      </c>
      <c r="H11" s="174">
        <v>204681.00875267384</v>
      </c>
      <c r="I11" s="252">
        <v>221055.48945288776</v>
      </c>
      <c r="J11" s="173">
        <f t="shared" si="5"/>
        <v>1.08</v>
      </c>
      <c r="K11" s="253">
        <f t="shared" si="6"/>
        <v>2000000</v>
      </c>
      <c r="L11" s="253">
        <f t="shared" si="7"/>
        <v>1000000</v>
      </c>
      <c r="M11" s="172">
        <v>5</v>
      </c>
      <c r="N11" s="172">
        <v>5</v>
      </c>
      <c r="O11" s="173">
        <f t="shared" si="13"/>
        <v>1</v>
      </c>
      <c r="P11" s="253">
        <f t="shared" si="8"/>
        <v>1500000</v>
      </c>
      <c r="Q11" s="254">
        <f t="shared" si="9"/>
        <v>6000000</v>
      </c>
      <c r="R11" s="175"/>
      <c r="S11" s="175"/>
      <c r="T11" s="166">
        <f t="shared" si="10"/>
        <v>-1000000</v>
      </c>
      <c r="U11" s="156"/>
      <c r="V11" s="157" t="e">
        <f t="shared" si="2"/>
        <v>#DIV/0!</v>
      </c>
      <c r="W11" s="156" t="e">
        <f t="shared" si="3"/>
        <v>#DIV/0!</v>
      </c>
      <c r="X11" s="158" t="e">
        <f t="shared" si="11"/>
        <v>#DIV/0!</v>
      </c>
    </row>
    <row r="12" spans="1:24" s="15" customFormat="1" ht="36" customHeight="1">
      <c r="A12" s="345"/>
      <c r="B12" s="171" t="s">
        <v>284</v>
      </c>
      <c r="C12" s="138" t="s">
        <v>259</v>
      </c>
      <c r="D12" s="172">
        <v>5</v>
      </c>
      <c r="E12" s="172">
        <v>5</v>
      </c>
      <c r="F12" s="173">
        <f t="shared" si="12"/>
        <v>1</v>
      </c>
      <c r="G12" s="253">
        <f t="shared" si="4"/>
        <v>1500000</v>
      </c>
      <c r="H12" s="174">
        <v>198213.6425114584</v>
      </c>
      <c r="I12" s="252">
        <v>204160.05178680216</v>
      </c>
      <c r="J12" s="173">
        <f t="shared" si="5"/>
        <v>1.03</v>
      </c>
      <c r="K12" s="253">
        <f t="shared" si="6"/>
        <v>2000000</v>
      </c>
      <c r="L12" s="253">
        <f t="shared" si="7"/>
        <v>1000000</v>
      </c>
      <c r="M12" s="172">
        <v>5</v>
      </c>
      <c r="N12" s="172">
        <v>5</v>
      </c>
      <c r="O12" s="173">
        <f t="shared" si="13"/>
        <v>1</v>
      </c>
      <c r="P12" s="253">
        <f t="shared" si="8"/>
        <v>1500000</v>
      </c>
      <c r="Q12" s="254">
        <f t="shared" si="9"/>
        <v>6000000</v>
      </c>
      <c r="R12" s="175"/>
      <c r="S12" s="175"/>
      <c r="T12" s="166">
        <f t="shared" si="10"/>
        <v>-1000000</v>
      </c>
      <c r="U12" s="156"/>
      <c r="V12" s="157" t="e">
        <f t="shared" si="2"/>
        <v>#DIV/0!</v>
      </c>
      <c r="W12" s="156" t="e">
        <f t="shared" si="3"/>
        <v>#DIV/0!</v>
      </c>
      <c r="X12" s="158" t="e">
        <f t="shared" si="11"/>
        <v>#DIV/0!</v>
      </c>
    </row>
    <row r="13" spans="1:24" s="15" customFormat="1" ht="36" customHeight="1">
      <c r="A13" s="345"/>
      <c r="B13" s="171" t="s">
        <v>987</v>
      </c>
      <c r="C13" s="138" t="s">
        <v>308</v>
      </c>
      <c r="D13" s="172">
        <v>5</v>
      </c>
      <c r="E13" s="172">
        <v>5</v>
      </c>
      <c r="F13" s="173">
        <f t="shared" si="12"/>
        <v>1</v>
      </c>
      <c r="G13" s="253">
        <f t="shared" si="4"/>
        <v>1500000</v>
      </c>
      <c r="H13" s="172">
        <v>200369.01308480359</v>
      </c>
      <c r="I13" s="252">
        <v>136250.92889766645</v>
      </c>
      <c r="J13" s="173">
        <f t="shared" ref="J13:J18" si="14">+IF(I13=0,0,I13/H13)</f>
        <v>0.68</v>
      </c>
      <c r="K13" s="170">
        <f t="shared" si="6"/>
        <v>0</v>
      </c>
      <c r="L13" s="170">
        <f t="shared" si="7"/>
        <v>0</v>
      </c>
      <c r="M13" s="172">
        <v>5</v>
      </c>
      <c r="N13" s="172">
        <v>5</v>
      </c>
      <c r="O13" s="173">
        <f t="shared" si="13"/>
        <v>1</v>
      </c>
      <c r="P13" s="253">
        <f t="shared" ref="P13" si="15">+IF(O13&gt;=100%,1500000,IF(O13&gt;=80%,1000000,0))</f>
        <v>1500000</v>
      </c>
      <c r="Q13" s="254">
        <f t="shared" si="9"/>
        <v>3000000</v>
      </c>
      <c r="R13" s="175"/>
      <c r="S13" s="175"/>
      <c r="T13" s="166">
        <f t="shared" si="10"/>
        <v>0</v>
      </c>
      <c r="U13" s="156"/>
      <c r="V13" s="157" t="e">
        <f t="shared" si="2"/>
        <v>#DIV/0!</v>
      </c>
      <c r="W13" s="156" t="e">
        <f t="shared" si="3"/>
        <v>#DIV/0!</v>
      </c>
      <c r="X13" s="158" t="e">
        <f t="shared" si="11"/>
        <v>#DIV/0!</v>
      </c>
    </row>
    <row r="14" spans="1:24" s="15" customFormat="1" ht="36" customHeight="1">
      <c r="A14" s="345"/>
      <c r="B14" s="171"/>
      <c r="C14" s="138" t="s">
        <v>297</v>
      </c>
      <c r="D14" s="172"/>
      <c r="E14" s="172"/>
      <c r="F14" s="173">
        <f t="shared" si="12"/>
        <v>0</v>
      </c>
      <c r="G14" s="170">
        <v>0</v>
      </c>
      <c r="H14" s="172">
        <v>193902.64567004383</v>
      </c>
      <c r="I14" s="252">
        <v>159000.16944943593</v>
      </c>
      <c r="J14" s="173">
        <f>+IFERROR(IF(I14=0,0,I14/H14),0)</f>
        <v>0.82</v>
      </c>
      <c r="K14" s="170">
        <f t="shared" si="6"/>
        <v>0</v>
      </c>
      <c r="L14" s="170">
        <f t="shared" si="7"/>
        <v>0</v>
      </c>
      <c r="M14" s="172"/>
      <c r="N14" s="172"/>
      <c r="O14" s="173">
        <f t="shared" si="13"/>
        <v>0</v>
      </c>
      <c r="P14" s="170">
        <v>0</v>
      </c>
      <c r="Q14" s="175">
        <f t="shared" si="9"/>
        <v>0</v>
      </c>
      <c r="R14" s="175"/>
      <c r="S14" s="175"/>
      <c r="T14" s="166">
        <f t="shared" si="10"/>
        <v>0</v>
      </c>
      <c r="U14" s="147"/>
      <c r="V14" s="157"/>
      <c r="W14" s="156">
        <f t="shared" si="3"/>
        <v>0</v>
      </c>
      <c r="X14" s="158">
        <f t="shared" si="11"/>
        <v>0</v>
      </c>
    </row>
    <row r="15" spans="1:24" s="15" customFormat="1" ht="36" customHeight="1">
      <c r="A15" s="345"/>
      <c r="B15" s="171"/>
      <c r="C15" s="138" t="s">
        <v>297</v>
      </c>
      <c r="D15" s="172"/>
      <c r="E15" s="172"/>
      <c r="F15" s="173">
        <f t="shared" ref="F15" si="16">+IF(E15=0,0,E15/D15)</f>
        <v>0</v>
      </c>
      <c r="G15" s="170">
        <v>0</v>
      </c>
      <c r="H15" s="172">
        <v>155101.45195237419</v>
      </c>
      <c r="I15" s="252">
        <v>107774.61586196354</v>
      </c>
      <c r="J15" s="173">
        <f>+IFERROR(IF(I15=0,0,I15/H15),0)</f>
        <v>0.69486529304095146</v>
      </c>
      <c r="K15" s="170">
        <f t="shared" ref="K15" si="17">IF(AND(J15&gt;=90%,J15&lt;95%),1000000,IF(AND(J15&gt;=95%,J15&lt;100%),1300000,IF(J15&gt;=100%,2000000,0)))</f>
        <v>0</v>
      </c>
      <c r="L15" s="170">
        <f t="shared" ref="L15" si="18">IF(J15&gt;=100%,1000000,0)</f>
        <v>0</v>
      </c>
      <c r="M15" s="172"/>
      <c r="N15" s="172"/>
      <c r="O15" s="173">
        <f t="shared" ref="O15" si="19">+IF(N15=0,0,N15/M15)</f>
        <v>0</v>
      </c>
      <c r="P15" s="170">
        <v>0</v>
      </c>
      <c r="Q15" s="175">
        <f t="shared" si="9"/>
        <v>0</v>
      </c>
      <c r="R15" s="175"/>
      <c r="S15" s="175"/>
      <c r="T15" s="166">
        <f t="shared" si="10"/>
        <v>0</v>
      </c>
      <c r="U15" s="147"/>
      <c r="V15" s="157"/>
      <c r="W15" s="156"/>
      <c r="X15" s="158"/>
    </row>
    <row r="16" spans="1:24" s="15" customFormat="1" ht="36" customHeight="1">
      <c r="A16" s="345"/>
      <c r="B16" s="171" t="s">
        <v>300</v>
      </c>
      <c r="C16" s="138" t="s">
        <v>301</v>
      </c>
      <c r="D16" s="172">
        <v>5</v>
      </c>
      <c r="E16" s="172">
        <v>5</v>
      </c>
      <c r="F16" s="173">
        <f t="shared" si="12"/>
        <v>1</v>
      </c>
      <c r="G16" s="253">
        <f t="shared" si="4"/>
        <v>1500000</v>
      </c>
      <c r="H16" s="172">
        <v>340398.74852968182</v>
      </c>
      <c r="I16" s="44">
        <v>234777.29085360002</v>
      </c>
      <c r="J16" s="173">
        <f t="shared" si="14"/>
        <v>0.68971255584133884</v>
      </c>
      <c r="K16" s="170">
        <f t="shared" si="6"/>
        <v>0</v>
      </c>
      <c r="L16" s="170">
        <f t="shared" si="7"/>
        <v>0</v>
      </c>
      <c r="M16" s="172">
        <v>5</v>
      </c>
      <c r="N16" s="172">
        <v>5</v>
      </c>
      <c r="O16" s="173">
        <f t="shared" si="13"/>
        <v>1</v>
      </c>
      <c r="P16" s="253">
        <f t="shared" si="8"/>
        <v>1500000</v>
      </c>
      <c r="Q16" s="254">
        <f t="shared" si="9"/>
        <v>3000000</v>
      </c>
      <c r="R16" s="175"/>
      <c r="S16" s="175"/>
      <c r="T16" s="166">
        <f t="shared" si="10"/>
        <v>0</v>
      </c>
      <c r="U16" s="147"/>
      <c r="W16" s="147"/>
    </row>
    <row r="17" spans="1:25" s="15" customFormat="1" ht="36" customHeight="1">
      <c r="A17" s="345"/>
      <c r="B17" s="171" t="s">
        <v>285</v>
      </c>
      <c r="C17" s="138" t="s">
        <v>270</v>
      </c>
      <c r="D17" s="172">
        <v>5</v>
      </c>
      <c r="E17" s="172">
        <v>5</v>
      </c>
      <c r="F17" s="173">
        <f t="shared" si="0"/>
        <v>1</v>
      </c>
      <c r="G17" s="253">
        <f t="shared" si="4"/>
        <v>1500000</v>
      </c>
      <c r="H17" s="172">
        <v>322110.97446116689</v>
      </c>
      <c r="I17" s="44">
        <v>387952.84645500005</v>
      </c>
      <c r="J17" s="173">
        <f t="shared" si="14"/>
        <v>1.2044074161210268</v>
      </c>
      <c r="K17" s="253">
        <f t="shared" si="6"/>
        <v>2000000</v>
      </c>
      <c r="L17" s="253">
        <f t="shared" si="7"/>
        <v>1000000</v>
      </c>
      <c r="M17" s="172">
        <v>5</v>
      </c>
      <c r="N17" s="172">
        <v>5</v>
      </c>
      <c r="O17" s="173">
        <f t="shared" si="1"/>
        <v>1</v>
      </c>
      <c r="P17" s="253">
        <f t="shared" si="8"/>
        <v>1500000</v>
      </c>
      <c r="Q17" s="254">
        <f t="shared" si="9"/>
        <v>6000000</v>
      </c>
      <c r="R17" s="175"/>
      <c r="S17" s="175"/>
      <c r="T17" s="166">
        <f t="shared" si="10"/>
        <v>-1000000</v>
      </c>
      <c r="U17" s="147"/>
    </row>
    <row r="18" spans="1:25" s="30" customFormat="1" ht="36" customHeight="1" thickBot="1">
      <c r="A18" s="39"/>
      <c r="B18" s="129"/>
      <c r="C18" s="52" t="s">
        <v>20</v>
      </c>
      <c r="D18" s="51">
        <f>SUM(D6:D17)</f>
        <v>50</v>
      </c>
      <c r="E18" s="32">
        <f>SUM(E6:E17)</f>
        <v>50</v>
      </c>
      <c r="F18" s="33">
        <f>+IF(E18=0,0,E18/D18)</f>
        <v>1</v>
      </c>
      <c r="G18" s="34">
        <f>SUM(G6:G17)</f>
        <v>15000000</v>
      </c>
      <c r="H18" s="164">
        <f>SUM(H6:H17)</f>
        <v>2558423.9935355429</v>
      </c>
      <c r="I18" s="32">
        <f>SUM(I6:I17)</f>
        <v>2463732.1373085999</v>
      </c>
      <c r="J18" s="33">
        <f t="shared" si="14"/>
        <v>0.96298820818355202</v>
      </c>
      <c r="K18" s="32">
        <f>SUM(K6:K17)</f>
        <v>16000000</v>
      </c>
      <c r="L18" s="32">
        <f>SUM(L6:L17)</f>
        <v>8000000</v>
      </c>
      <c r="M18" s="102">
        <f>SUM(M6:M17)</f>
        <v>50</v>
      </c>
      <c r="N18" s="32">
        <f>SUM(N6:N17)</f>
        <v>50</v>
      </c>
      <c r="O18" s="33">
        <f>+IF(N18=0,0,N18/M18)</f>
        <v>1</v>
      </c>
      <c r="P18" s="34">
        <f>SUM(P6:P17)</f>
        <v>15000000</v>
      </c>
      <c r="Q18" s="48">
        <f>SUM(Q6:Q17)</f>
        <v>54000000</v>
      </c>
      <c r="R18" s="162">
        <f>SUM(R6:R17)</f>
        <v>0</v>
      </c>
      <c r="S18" s="48"/>
      <c r="T18" s="166"/>
      <c r="U18" s="148"/>
    </row>
    <row r="19" spans="1:25">
      <c r="J19" s="103"/>
      <c r="Q19" s="40"/>
      <c r="T19" s="166">
        <f t="shared" si="10"/>
        <v>0</v>
      </c>
    </row>
    <row r="20" spans="1:25" s="19" customFormat="1" ht="26.25" thickBot="1">
      <c r="J20" s="93"/>
      <c r="K20" s="93"/>
      <c r="N20" s="20"/>
      <c r="P20" s="22"/>
      <c r="Q20" s="41"/>
      <c r="T20" s="166">
        <f t="shared" si="10"/>
        <v>0</v>
      </c>
      <c r="U20" s="149"/>
    </row>
    <row r="21" spans="1:25" s="9" customFormat="1" ht="25.5" customHeight="1">
      <c r="A21" s="331" t="s">
        <v>1</v>
      </c>
      <c r="B21" s="339" t="s">
        <v>263</v>
      </c>
      <c r="C21" s="333" t="s">
        <v>19</v>
      </c>
      <c r="D21" s="323" t="s">
        <v>250</v>
      </c>
      <c r="E21" s="324"/>
      <c r="F21" s="324"/>
      <c r="G21" s="325"/>
      <c r="H21" s="323" t="s">
        <v>22</v>
      </c>
      <c r="I21" s="324"/>
      <c r="J21" s="324"/>
      <c r="K21" s="324"/>
      <c r="L21" s="325"/>
      <c r="M21" s="323" t="s">
        <v>251</v>
      </c>
      <c r="N21" s="324"/>
      <c r="O21" s="324"/>
      <c r="P21" s="325"/>
      <c r="Q21" s="319" t="s">
        <v>2</v>
      </c>
      <c r="R21" s="319" t="s">
        <v>27</v>
      </c>
      <c r="S21" s="319" t="s">
        <v>14</v>
      </c>
      <c r="T21" s="166"/>
      <c r="U21" s="146"/>
    </row>
    <row r="22" spans="1:25" s="9" customFormat="1" ht="39" customHeight="1">
      <c r="A22" s="332"/>
      <c r="B22" s="340"/>
      <c r="C22" s="334"/>
      <c r="D22" s="49" t="s">
        <v>3</v>
      </c>
      <c r="E22" s="43" t="s">
        <v>4</v>
      </c>
      <c r="F22" s="12" t="s">
        <v>5</v>
      </c>
      <c r="G22" s="29" t="s">
        <v>6</v>
      </c>
      <c r="H22" s="53" t="s">
        <v>3</v>
      </c>
      <c r="I22" s="11" t="s">
        <v>4</v>
      </c>
      <c r="J22" s="12" t="s">
        <v>5</v>
      </c>
      <c r="K22" s="96" t="s">
        <v>6</v>
      </c>
      <c r="L22" s="97" t="s">
        <v>249</v>
      </c>
      <c r="M22" s="10" t="s">
        <v>3</v>
      </c>
      <c r="N22" s="96" t="s">
        <v>4</v>
      </c>
      <c r="O22" s="12" t="s">
        <v>5</v>
      </c>
      <c r="P22" s="45" t="s">
        <v>6</v>
      </c>
      <c r="Q22" s="320"/>
      <c r="R22" s="320"/>
      <c r="S22" s="320"/>
      <c r="T22" s="166"/>
      <c r="U22" s="146"/>
    </row>
    <row r="23" spans="1:25" s="15" customFormat="1" ht="42.75" customHeight="1">
      <c r="A23" s="341" t="s">
        <v>306</v>
      </c>
      <c r="B23" s="130" t="s">
        <v>302</v>
      </c>
      <c r="C23" s="138" t="s">
        <v>303</v>
      </c>
      <c r="D23" s="50">
        <v>5</v>
      </c>
      <c r="E23" s="50">
        <v>5</v>
      </c>
      <c r="F23" s="13">
        <f t="shared" ref="F23" si="20">+IF(E23=0,0,E23/D23)</f>
        <v>1</v>
      </c>
      <c r="G23" s="170">
        <f t="shared" ref="G23" si="21">+IF(F23&gt;=100%,800000,IF(F23&gt;=80%,500000,0))</f>
        <v>800000</v>
      </c>
      <c r="H23" s="50">
        <v>280915.82497997297</v>
      </c>
      <c r="I23" s="44">
        <v>290615.2</v>
      </c>
      <c r="J23" s="165">
        <f>+IF(I23=0,0,I23/H23)</f>
        <v>1.0345276917764192</v>
      </c>
      <c r="K23" s="170">
        <f>IF(AND(J23&gt;=90%,J23&lt;95%),1200000,IF(AND(J23&gt;=95%,J23&lt;100%),1500000,IF(J23&gt;=100%,2000000,0)))</f>
        <v>2000000</v>
      </c>
      <c r="L23" s="170">
        <f t="shared" ref="L23" si="22">IF(J23&gt;=100%,1000000,0)</f>
        <v>1000000</v>
      </c>
      <c r="M23" s="50">
        <v>5</v>
      </c>
      <c r="N23" s="50">
        <v>5</v>
      </c>
      <c r="O23" s="90">
        <f t="shared" ref="O23" si="23">+IF(N23=0,0,N23/M23)</f>
        <v>1</v>
      </c>
      <c r="P23" s="170">
        <f t="shared" ref="P23" si="24">+IF(O23&gt;=100%,2200000,IF(O23&gt;=80%,1500000,0))</f>
        <v>2200000</v>
      </c>
      <c r="Q23" s="14">
        <f>+SUM(L23,P23,K23,G23)</f>
        <v>6000000</v>
      </c>
      <c r="R23" s="175"/>
      <c r="S23" s="47"/>
      <c r="T23" s="166">
        <f>+R23-L23</f>
        <v>-1000000</v>
      </c>
      <c r="U23" s="147"/>
    </row>
    <row r="24" spans="1:25" s="277" customFormat="1" ht="42.75" customHeight="1">
      <c r="A24" s="342"/>
      <c r="B24" s="171" t="s">
        <v>277</v>
      </c>
      <c r="C24" s="138" t="s">
        <v>253</v>
      </c>
      <c r="D24" s="172">
        <v>5</v>
      </c>
      <c r="E24" s="172">
        <v>5</v>
      </c>
      <c r="F24" s="173">
        <f t="shared" ref="F24:F27" si="25">+IF(E24=0,0,E24/D24)</f>
        <v>1</v>
      </c>
      <c r="G24" s="170">
        <f>+IF(F24&gt;=100%,800000,IF(F24&gt;=80%,500000,0))/24*10</f>
        <v>333333.33333333337</v>
      </c>
      <c r="H24" s="172">
        <v>280915.82497997297</v>
      </c>
      <c r="I24" s="44">
        <v>290435.39999999997</v>
      </c>
      <c r="J24" s="274">
        <f t="shared" ref="J24:J30" si="26">+IF(I24=0,0,I24/H24)</f>
        <v>1.0338876423950329</v>
      </c>
      <c r="K24" s="170">
        <f>IF(AND(J24&gt;=90%,J24&lt;95%),1200000,IF(AND(J24&gt;=95%,J24&lt;100%),1500000,IF(J24&gt;=100%,2000000,0)))/24*10</f>
        <v>833333.33333333326</v>
      </c>
      <c r="L24" s="170">
        <f>IF(J24&gt;=100%,1000000,0)/24*10</f>
        <v>416666.66666666663</v>
      </c>
      <c r="M24" s="172">
        <v>5</v>
      </c>
      <c r="N24" s="172">
        <v>5</v>
      </c>
      <c r="O24" s="173">
        <f t="shared" ref="O24:O31" si="27">+IF(N24=0,0,N24/M24)</f>
        <v>1</v>
      </c>
      <c r="P24" s="170">
        <f>+IF(O24&gt;=100%,2200000,IF(O24&gt;=80%,1500000,0))/24*10</f>
        <v>916666.66666666674</v>
      </c>
      <c r="Q24" s="205">
        <f t="shared" ref="Q24:Q30" si="28">+SUM(L24,P24,K24,G24)</f>
        <v>2500000.0000000005</v>
      </c>
      <c r="R24" s="175"/>
      <c r="S24" s="175"/>
      <c r="T24" s="275">
        <f t="shared" si="10"/>
        <v>-416666.66666666663</v>
      </c>
      <c r="U24" s="276"/>
      <c r="Y24" s="278" t="s">
        <v>995</v>
      </c>
    </row>
    <row r="25" spans="1:25" s="15" customFormat="1" ht="42.75" customHeight="1">
      <c r="A25" s="342"/>
      <c r="B25" s="130" t="s">
        <v>278</v>
      </c>
      <c r="C25" s="139" t="s">
        <v>252</v>
      </c>
      <c r="D25" s="50">
        <v>5</v>
      </c>
      <c r="E25" s="50">
        <v>5</v>
      </c>
      <c r="F25" s="13">
        <f t="shared" si="25"/>
        <v>1</v>
      </c>
      <c r="G25" s="170">
        <f t="shared" ref="G25:G27" si="29">+IF(F25&gt;=100%,800000,IF(F25&gt;=80%,500000,0))</f>
        <v>800000</v>
      </c>
      <c r="H25" s="50">
        <v>280915.82497997297</v>
      </c>
      <c r="I25" s="44">
        <v>290309.59999999998</v>
      </c>
      <c r="J25" s="165">
        <f t="shared" si="26"/>
        <v>1.0334398214151757</v>
      </c>
      <c r="K25" s="170">
        <f t="shared" ref="K25:K30" si="30">IF(AND(J25&gt;=90%,J25&lt;95%),1200000,IF(AND(J25&gt;=95%,J25&lt;100%),1500000,IF(J25&gt;=100%,2000000,0)))</f>
        <v>2000000</v>
      </c>
      <c r="L25" s="170">
        <f t="shared" ref="L25:L30" si="31">IF(J25&gt;=100%,1000000,0)</f>
        <v>1000000</v>
      </c>
      <c r="M25" s="50">
        <v>5</v>
      </c>
      <c r="N25" s="50">
        <v>5</v>
      </c>
      <c r="O25" s="13">
        <f t="shared" si="27"/>
        <v>1</v>
      </c>
      <c r="P25" s="170">
        <f t="shared" ref="P25:P30" si="32">+IF(O25&gt;=100%,2200000,IF(O25&gt;=80%,1500000,0))</f>
        <v>2200000</v>
      </c>
      <c r="Q25" s="14">
        <f t="shared" si="28"/>
        <v>6000000</v>
      </c>
      <c r="R25" s="175"/>
      <c r="S25" s="47"/>
      <c r="T25" s="166">
        <f t="shared" si="10"/>
        <v>-1000000</v>
      </c>
      <c r="U25" s="147"/>
    </row>
    <row r="26" spans="1:25" s="15" customFormat="1" ht="39.75" customHeight="1">
      <c r="A26" s="342"/>
      <c r="B26" s="130" t="s">
        <v>988</v>
      </c>
      <c r="C26" s="139" t="s">
        <v>739</v>
      </c>
      <c r="D26" s="50">
        <v>5</v>
      </c>
      <c r="E26" s="50">
        <v>5</v>
      </c>
      <c r="F26" s="13">
        <f t="shared" si="25"/>
        <v>1</v>
      </c>
      <c r="G26" s="170">
        <f t="shared" si="29"/>
        <v>800000</v>
      </c>
      <c r="H26" s="50">
        <v>280915.82497997297</v>
      </c>
      <c r="I26" s="44">
        <v>287886.79999999993</v>
      </c>
      <c r="J26" s="165">
        <f t="shared" si="26"/>
        <v>1.0248151737999236</v>
      </c>
      <c r="K26" s="170">
        <f t="shared" si="30"/>
        <v>2000000</v>
      </c>
      <c r="L26" s="170">
        <f t="shared" si="31"/>
        <v>1000000</v>
      </c>
      <c r="M26" s="50">
        <v>5</v>
      </c>
      <c r="N26" s="50">
        <v>5</v>
      </c>
      <c r="O26" s="13">
        <f t="shared" si="27"/>
        <v>1</v>
      </c>
      <c r="P26" s="170">
        <f t="shared" si="32"/>
        <v>2200000</v>
      </c>
      <c r="Q26" s="14">
        <f t="shared" si="28"/>
        <v>6000000</v>
      </c>
      <c r="R26" s="175"/>
      <c r="S26" s="47"/>
      <c r="T26" s="166">
        <f t="shared" si="10"/>
        <v>-1000000</v>
      </c>
      <c r="U26" s="147"/>
    </row>
    <row r="27" spans="1:25" s="15" customFormat="1" ht="36" customHeight="1">
      <c r="A27" s="342"/>
      <c r="B27" s="130" t="s">
        <v>273</v>
      </c>
      <c r="C27" s="139" t="s">
        <v>738</v>
      </c>
      <c r="D27" s="50">
        <v>5</v>
      </c>
      <c r="E27" s="50">
        <v>5</v>
      </c>
      <c r="F27" s="13">
        <f t="shared" si="25"/>
        <v>1</v>
      </c>
      <c r="G27" s="170">
        <f t="shared" si="29"/>
        <v>800000</v>
      </c>
      <c r="H27" s="50">
        <v>280915.82497997297</v>
      </c>
      <c r="I27" s="44">
        <v>299061.8</v>
      </c>
      <c r="J27" s="165">
        <f t="shared" si="26"/>
        <v>1.0645957735607123</v>
      </c>
      <c r="K27" s="170">
        <f t="shared" si="30"/>
        <v>2000000</v>
      </c>
      <c r="L27" s="170">
        <f t="shared" si="31"/>
        <v>1000000</v>
      </c>
      <c r="M27" s="50">
        <v>5</v>
      </c>
      <c r="N27" s="50">
        <v>5</v>
      </c>
      <c r="O27" s="13">
        <f>+IF(N27=0,0,N27/M27)</f>
        <v>1</v>
      </c>
      <c r="P27" s="170">
        <f t="shared" si="32"/>
        <v>2200000</v>
      </c>
      <c r="Q27" s="14">
        <f>+SUM(L27,P27,K27,G27)</f>
        <v>6000000</v>
      </c>
      <c r="R27" s="175"/>
      <c r="S27" s="47"/>
      <c r="T27" s="166">
        <f t="shared" si="10"/>
        <v>-1000000</v>
      </c>
      <c r="U27" s="147"/>
    </row>
    <row r="28" spans="1:25" s="15" customFormat="1" ht="36" customHeight="1">
      <c r="A28" s="342"/>
      <c r="B28" s="130" t="s">
        <v>279</v>
      </c>
      <c r="C28" s="139" t="s">
        <v>272</v>
      </c>
      <c r="D28" s="50">
        <v>5</v>
      </c>
      <c r="E28" s="50">
        <v>5</v>
      </c>
      <c r="F28" s="13">
        <f t="shared" ref="F28" si="33">+IF(E28=0,0,E28/D28)</f>
        <v>1</v>
      </c>
      <c r="G28" s="170">
        <f t="shared" ref="G28" si="34">+IF(F28&gt;=100%,800000,IF(F28&gt;=80%,500000,0))</f>
        <v>800000</v>
      </c>
      <c r="H28" s="50">
        <v>240784.9928399768</v>
      </c>
      <c r="I28" s="44">
        <v>252934.80000000002</v>
      </c>
      <c r="J28" s="165">
        <f t="shared" si="26"/>
        <v>1.0504591545208877</v>
      </c>
      <c r="K28" s="170">
        <f t="shared" ref="K28" si="35">IF(AND(J28&gt;=90%,J28&lt;95%),1200000,IF(AND(J28&gt;=95%,J28&lt;100%),1500000,IF(J28&gt;=100%,2000000,0)))</f>
        <v>2000000</v>
      </c>
      <c r="L28" s="170">
        <f t="shared" ref="L28" si="36">IF(J28&gt;=100%,1000000,0)</f>
        <v>1000000</v>
      </c>
      <c r="M28" s="50">
        <v>5</v>
      </c>
      <c r="N28" s="50">
        <v>5</v>
      </c>
      <c r="O28" s="13">
        <f t="shared" ref="O28" si="37">+IF(N28=0,0,N28/M28)</f>
        <v>1</v>
      </c>
      <c r="P28" s="170">
        <f t="shared" ref="P28" si="38">+IF(O28&gt;=100%,2200000,IF(O28&gt;=80%,1500000,0))</f>
        <v>2200000</v>
      </c>
      <c r="Q28" s="14">
        <f t="shared" ref="Q28" si="39">+SUM(L28,P28,K28,G28)</f>
        <v>6000000</v>
      </c>
      <c r="R28" s="175"/>
      <c r="S28" s="47"/>
      <c r="T28" s="166">
        <f t="shared" si="10"/>
        <v>-1000000</v>
      </c>
      <c r="U28" s="147"/>
    </row>
    <row r="29" spans="1:25" s="15" customFormat="1" ht="36" customHeight="1">
      <c r="A29" s="342"/>
      <c r="B29" s="130" t="s">
        <v>989</v>
      </c>
      <c r="C29" s="139" t="s">
        <v>740</v>
      </c>
      <c r="D29" s="50">
        <v>5</v>
      </c>
      <c r="E29" s="50">
        <v>5</v>
      </c>
      <c r="F29" s="13">
        <f t="shared" ref="F29:F30" si="40">+IF(E29=0,0,E29/D29)</f>
        <v>1</v>
      </c>
      <c r="G29" s="170">
        <f t="shared" ref="G29:G30" si="41">+IF(F29&gt;=100%,800000,IF(F29&gt;=80%,500000,0))</f>
        <v>800000</v>
      </c>
      <c r="H29" s="50">
        <v>180588.7446299826</v>
      </c>
      <c r="I29" s="44">
        <v>188954.99999999994</v>
      </c>
      <c r="J29" s="165">
        <f t="shared" si="26"/>
        <v>1.046327667802107</v>
      </c>
      <c r="K29" s="170">
        <f t="shared" ref="K29" si="42">IF(AND(J29&gt;=90%,J29&lt;95%),1200000,IF(AND(J29&gt;=95%,J29&lt;100%),1500000,IF(J29&gt;=100%,2000000,0)))</f>
        <v>2000000</v>
      </c>
      <c r="L29" s="170">
        <f t="shared" ref="L29" si="43">IF(J29&gt;=100%,1000000,0)</f>
        <v>1000000</v>
      </c>
      <c r="M29" s="50">
        <v>5</v>
      </c>
      <c r="N29" s="50">
        <v>5</v>
      </c>
      <c r="O29" s="13">
        <f t="shared" ref="O29" si="44">+IF(N29=0,0,N29/M29)</f>
        <v>1</v>
      </c>
      <c r="P29" s="170">
        <f t="shared" ref="P29" si="45">+IF(O29&gt;=100%,2200000,IF(O29&gt;=80%,1500000,0))</f>
        <v>2200000</v>
      </c>
      <c r="Q29" s="14">
        <f t="shared" ref="Q29" si="46">+SUM(L29,P29,K29,G29)</f>
        <v>6000000</v>
      </c>
      <c r="R29" s="175"/>
      <c r="S29" s="47"/>
      <c r="T29" s="166">
        <f t="shared" si="10"/>
        <v>-1000000</v>
      </c>
      <c r="U29" s="147"/>
    </row>
    <row r="30" spans="1:25" s="15" customFormat="1" ht="36" customHeight="1">
      <c r="A30" s="343"/>
      <c r="B30" s="130" t="s">
        <v>990</v>
      </c>
      <c r="C30" s="139" t="s">
        <v>741</v>
      </c>
      <c r="D30" s="50">
        <v>5</v>
      </c>
      <c r="E30" s="50">
        <v>5</v>
      </c>
      <c r="F30" s="13">
        <f t="shared" si="40"/>
        <v>1</v>
      </c>
      <c r="G30" s="170">
        <f t="shared" si="41"/>
        <v>800000</v>
      </c>
      <c r="H30" s="50">
        <v>180588.7446299826</v>
      </c>
      <c r="I30" s="44">
        <v>198549.2</v>
      </c>
      <c r="J30" s="165">
        <f t="shared" si="26"/>
        <v>1.0994550098170155</v>
      </c>
      <c r="K30" s="170">
        <f t="shared" si="30"/>
        <v>2000000</v>
      </c>
      <c r="L30" s="170">
        <f t="shared" si="31"/>
        <v>1000000</v>
      </c>
      <c r="M30" s="50">
        <v>5</v>
      </c>
      <c r="N30" s="50">
        <v>5</v>
      </c>
      <c r="O30" s="13">
        <f t="shared" si="27"/>
        <v>1</v>
      </c>
      <c r="P30" s="170">
        <f t="shared" si="32"/>
        <v>2200000</v>
      </c>
      <c r="Q30" s="14">
        <f t="shared" si="28"/>
        <v>6000000</v>
      </c>
      <c r="R30" s="175"/>
      <c r="S30" s="47"/>
      <c r="T30" s="166">
        <f t="shared" si="10"/>
        <v>-1000000</v>
      </c>
      <c r="U30" s="147"/>
    </row>
    <row r="31" spans="1:25" s="30" customFormat="1" ht="36" customHeight="1" thickBot="1">
      <c r="A31" s="39"/>
      <c r="B31" s="129"/>
      <c r="C31" s="52" t="s">
        <v>16</v>
      </c>
      <c r="D31" s="51">
        <f>SUM(D23:D30)</f>
        <v>40</v>
      </c>
      <c r="E31" s="32">
        <f>SUM(E23:E30)</f>
        <v>40</v>
      </c>
      <c r="F31" s="33">
        <f>+IF(E31=0,0,E31/D31)</f>
        <v>1</v>
      </c>
      <c r="G31" s="34">
        <f>SUM(G23:G30)</f>
        <v>5933333.333333334</v>
      </c>
      <c r="H31" s="162">
        <f>+SUM(H23:H30)</f>
        <v>2006541.6069998071</v>
      </c>
      <c r="I31" s="32">
        <f>SUM(I23:I30)</f>
        <v>2098747.8000000003</v>
      </c>
      <c r="J31" s="33">
        <f>+IF(I31=0,0,I31/H31)</f>
        <v>1.0459527939408446</v>
      </c>
      <c r="K31" s="32">
        <f>+SUM(K23:K30)</f>
        <v>14833333.333333332</v>
      </c>
      <c r="L31" s="98">
        <f>+SUM(L23:L30)</f>
        <v>7416666.666666666</v>
      </c>
      <c r="M31" s="46">
        <f>+SUM(M23:M30)</f>
        <v>40</v>
      </c>
      <c r="N31" s="32">
        <f>+SUM(N23:N30)</f>
        <v>40</v>
      </c>
      <c r="O31" s="33">
        <f t="shared" si="27"/>
        <v>1</v>
      </c>
      <c r="P31" s="46">
        <f>+SUM(P23:P30)</f>
        <v>16316666.666666668</v>
      </c>
      <c r="Q31" s="51">
        <f>+SUM(Q23:Q30)</f>
        <v>44500000</v>
      </c>
      <c r="R31" s="161">
        <f>+SUM(R23:R30)</f>
        <v>0</v>
      </c>
      <c r="S31" s="32"/>
      <c r="T31" s="166"/>
      <c r="U31" s="148"/>
    </row>
    <row r="32" spans="1:25" s="19" customFormat="1" ht="26.25" thickBot="1">
      <c r="N32" s="20"/>
      <c r="P32" s="22"/>
      <c r="Q32" s="41"/>
      <c r="T32" s="166">
        <f t="shared" si="10"/>
        <v>0</v>
      </c>
      <c r="U32" s="149"/>
    </row>
    <row r="33" spans="1:28" s="9" customFormat="1" ht="18" customHeight="1">
      <c r="A33" s="331" t="s">
        <v>1</v>
      </c>
      <c r="B33" s="339" t="s">
        <v>263</v>
      </c>
      <c r="C33" s="333" t="s">
        <v>19</v>
      </c>
      <c r="D33" s="323" t="s">
        <v>250</v>
      </c>
      <c r="E33" s="324"/>
      <c r="F33" s="324"/>
      <c r="G33" s="325"/>
      <c r="H33" s="323" t="s">
        <v>22</v>
      </c>
      <c r="I33" s="324"/>
      <c r="J33" s="324"/>
      <c r="K33" s="324"/>
      <c r="L33" s="325"/>
      <c r="M33" s="323" t="s">
        <v>251</v>
      </c>
      <c r="N33" s="324"/>
      <c r="O33" s="324"/>
      <c r="P33" s="325"/>
      <c r="Q33" s="319" t="s">
        <v>2</v>
      </c>
      <c r="R33" s="319" t="s">
        <v>27</v>
      </c>
      <c r="S33" s="319" t="s">
        <v>14</v>
      </c>
      <c r="T33" s="166"/>
      <c r="U33" s="146"/>
    </row>
    <row r="34" spans="1:28" s="9" customFormat="1" ht="39" customHeight="1">
      <c r="A34" s="332"/>
      <c r="B34" s="340"/>
      <c r="C34" s="334"/>
      <c r="D34" s="49" t="s">
        <v>3</v>
      </c>
      <c r="E34" s="92" t="s">
        <v>4</v>
      </c>
      <c r="F34" s="12" t="s">
        <v>5</v>
      </c>
      <c r="G34" s="29" t="s">
        <v>6</v>
      </c>
      <c r="H34" s="53" t="s">
        <v>3</v>
      </c>
      <c r="I34" s="92" t="s">
        <v>4</v>
      </c>
      <c r="J34" s="99" t="s">
        <v>5</v>
      </c>
      <c r="K34" s="96" t="s">
        <v>6</v>
      </c>
      <c r="L34" s="97" t="s">
        <v>249</v>
      </c>
      <c r="M34" s="10" t="s">
        <v>3</v>
      </c>
      <c r="N34" s="96" t="s">
        <v>4</v>
      </c>
      <c r="O34" s="12" t="s">
        <v>5</v>
      </c>
      <c r="P34" s="45" t="s">
        <v>6</v>
      </c>
      <c r="Q34" s="320"/>
      <c r="R34" s="320"/>
      <c r="S34" s="320"/>
      <c r="T34" s="166"/>
      <c r="U34" s="146"/>
    </row>
    <row r="35" spans="1:28" s="15" customFormat="1" ht="42.75" customHeight="1">
      <c r="A35" s="336" t="s">
        <v>246</v>
      </c>
      <c r="B35" s="130" t="s">
        <v>291</v>
      </c>
      <c r="C35" s="138" t="s">
        <v>244</v>
      </c>
      <c r="D35" s="50">
        <v>5</v>
      </c>
      <c r="E35" s="50">
        <v>5</v>
      </c>
      <c r="F35" s="13">
        <f t="shared" ref="F35:F41" si="47">+IF(E35=0,0,E35/D35)</f>
        <v>1</v>
      </c>
      <c r="G35" s="170">
        <f>+IF(F35&gt;=100%,800000,IF(F35&gt;=80%,500000,0))</f>
        <v>800000</v>
      </c>
      <c r="H35" s="44">
        <v>392066.10875016695</v>
      </c>
      <c r="I35" s="44">
        <v>225219.30000000002</v>
      </c>
      <c r="J35" s="100">
        <f>+IF(I35=0,0,I35/H35)</f>
        <v>0.57444215394683518</v>
      </c>
      <c r="K35" s="170">
        <f>IF(AND(J35&gt;=90%,J35&lt;95%),1200000,IF(AND(J35&gt;=95%,J35&lt;100%),1500000,IF(J35&gt;=100%,2000000,0)))</f>
        <v>0</v>
      </c>
      <c r="L35" s="170">
        <f t="shared" ref="L35:L41" si="48">IF(J35&gt;=100%,1000000,0)</f>
        <v>0</v>
      </c>
      <c r="M35" s="50">
        <v>5</v>
      </c>
      <c r="N35" s="50">
        <v>5</v>
      </c>
      <c r="O35" s="90">
        <f t="shared" ref="O35:O42" si="49">+IF(N35=0,0,N35/M35)</f>
        <v>1</v>
      </c>
      <c r="P35" s="170">
        <f>+IF(O35&gt;=100%,2200000,IF(O35&gt;=80%,1500000,0))</f>
        <v>2200000</v>
      </c>
      <c r="Q35" s="14">
        <f>+SUM(L35,P35,K35,G35)</f>
        <v>3000000</v>
      </c>
      <c r="R35" s="205"/>
      <c r="S35" s="47"/>
      <c r="T35" s="166">
        <f>+R35-L35</f>
        <v>0</v>
      </c>
      <c r="U35" s="147"/>
    </row>
    <row r="36" spans="1:28" s="15" customFormat="1" ht="42.75" customHeight="1">
      <c r="A36" s="337"/>
      <c r="B36" s="130" t="s">
        <v>287</v>
      </c>
      <c r="C36" s="138" t="s">
        <v>265</v>
      </c>
      <c r="D36" s="50">
        <v>5</v>
      </c>
      <c r="E36" s="50">
        <v>5</v>
      </c>
      <c r="F36" s="13">
        <f t="shared" si="47"/>
        <v>1</v>
      </c>
      <c r="G36" s="170">
        <f>+IF(F36&gt;=100%,800000,IF(F36&gt;=80%,500000,0))</f>
        <v>800000</v>
      </c>
      <c r="H36" s="44">
        <v>392066.10875016695</v>
      </c>
      <c r="I36" s="44">
        <v>252499.40000000002</v>
      </c>
      <c r="J36" s="100">
        <f t="shared" ref="J36:J39" si="50">+IF(I36=0,0,I36/H36)</f>
        <v>0.64402251142012923</v>
      </c>
      <c r="K36" s="170">
        <f t="shared" ref="K36:K39" si="51">IF(AND(J36&gt;=90%,J36&lt;95%),1200000,IF(AND(J36&gt;=95%,J36&lt;100%),1500000,IF(J36&gt;=100%,2000000,0)))</f>
        <v>0</v>
      </c>
      <c r="L36" s="170">
        <f t="shared" si="48"/>
        <v>0</v>
      </c>
      <c r="M36" s="50">
        <v>5</v>
      </c>
      <c r="N36" s="50">
        <v>5</v>
      </c>
      <c r="O36" s="90">
        <f>+IF(N36=0,0,N36/M36)</f>
        <v>1</v>
      </c>
      <c r="P36" s="170">
        <f>+IF(O36&gt;=100%,2200000,IF(O36&gt;=80%,1500000,0))</f>
        <v>2200000</v>
      </c>
      <c r="Q36" s="14">
        <f>+SUM(L36,P36,K36,G36)</f>
        <v>3000000</v>
      </c>
      <c r="R36" s="205"/>
      <c r="S36" s="47"/>
      <c r="T36" s="166">
        <f t="shared" ref="T36:T41" si="52">+R36-L36</f>
        <v>0</v>
      </c>
      <c r="U36" s="147"/>
    </row>
    <row r="37" spans="1:28" s="15" customFormat="1" ht="42.75" customHeight="1">
      <c r="A37" s="337"/>
      <c r="B37" s="130" t="s">
        <v>288</v>
      </c>
      <c r="C37" s="138" t="s">
        <v>267</v>
      </c>
      <c r="D37" s="50">
        <v>5</v>
      </c>
      <c r="E37" s="50">
        <v>5</v>
      </c>
      <c r="F37" s="13">
        <f t="shared" si="47"/>
        <v>1</v>
      </c>
      <c r="G37" s="170">
        <f>+IF(F37&gt;=100%,800000,IF(F37&gt;=80%,500000,0))</f>
        <v>800000</v>
      </c>
      <c r="H37" s="44">
        <v>392066.10875016695</v>
      </c>
      <c r="I37" s="44">
        <v>271325.8</v>
      </c>
      <c r="J37" s="100">
        <f t="shared" si="50"/>
        <v>0.69204094397482008</v>
      </c>
      <c r="K37" s="170">
        <f t="shared" si="51"/>
        <v>0</v>
      </c>
      <c r="L37" s="170">
        <f t="shared" si="48"/>
        <v>0</v>
      </c>
      <c r="M37" s="50">
        <v>5</v>
      </c>
      <c r="N37" s="50">
        <v>5</v>
      </c>
      <c r="O37" s="90">
        <f t="shared" si="49"/>
        <v>1</v>
      </c>
      <c r="P37" s="170">
        <f>+IF(O37&gt;=100%,2200000,IF(O37&gt;=80%,1500000,0))</f>
        <v>2200000</v>
      </c>
      <c r="Q37" s="14">
        <f t="shared" ref="Q37:Q38" si="53">+SUM(L37,P37,K37,G37)</f>
        <v>3000000</v>
      </c>
      <c r="R37" s="205"/>
      <c r="S37" s="47"/>
      <c r="T37" s="166">
        <f t="shared" si="52"/>
        <v>0</v>
      </c>
      <c r="U37" s="147"/>
    </row>
    <row r="38" spans="1:28" s="15" customFormat="1" ht="42.75" customHeight="1">
      <c r="A38" s="337"/>
      <c r="B38" s="130" t="s">
        <v>289</v>
      </c>
      <c r="C38" s="138" t="s">
        <v>266</v>
      </c>
      <c r="D38" s="50">
        <v>5</v>
      </c>
      <c r="E38" s="50">
        <v>5</v>
      </c>
      <c r="F38" s="13">
        <f t="shared" si="47"/>
        <v>1</v>
      </c>
      <c r="G38" s="170">
        <f>+IF(F38&gt;=100%,800000,IF(F38&gt;=80%,500000,0))</f>
        <v>800000</v>
      </c>
      <c r="H38" s="44">
        <v>392066.10875016695</v>
      </c>
      <c r="I38" s="44">
        <v>399200.99999999994</v>
      </c>
      <c r="J38" s="100">
        <f t="shared" si="50"/>
        <v>1.0181981841597523</v>
      </c>
      <c r="K38" s="170">
        <f t="shared" si="51"/>
        <v>2000000</v>
      </c>
      <c r="L38" s="170">
        <f t="shared" si="48"/>
        <v>1000000</v>
      </c>
      <c r="M38" s="50">
        <v>5</v>
      </c>
      <c r="N38" s="50">
        <v>5</v>
      </c>
      <c r="O38" s="13">
        <f t="shared" si="49"/>
        <v>1</v>
      </c>
      <c r="P38" s="170">
        <f>+IF(O38&gt;=100%,2200000,IF(O38&gt;=80%,1500000,0))</f>
        <v>2200000</v>
      </c>
      <c r="Q38" s="14">
        <f t="shared" si="53"/>
        <v>6000000</v>
      </c>
      <c r="R38" s="205"/>
      <c r="S38" s="47"/>
      <c r="T38" s="166">
        <f t="shared" si="52"/>
        <v>-1000000</v>
      </c>
      <c r="U38" s="147"/>
      <c r="V38" s="125"/>
    </row>
    <row r="39" spans="1:28" s="15" customFormat="1" ht="42.75" customHeight="1">
      <c r="A39" s="338"/>
      <c r="B39" s="130" t="s">
        <v>290</v>
      </c>
      <c r="C39" s="138" t="s">
        <v>304</v>
      </c>
      <c r="D39" s="50"/>
      <c r="E39" s="50"/>
      <c r="F39" s="13">
        <f>+IF(E39=0,0,E39/D39)</f>
        <v>0</v>
      </c>
      <c r="G39" s="170">
        <f>+IF(F39&gt;=100%,800000,IF(F39&gt;=80%,500000,0))</f>
        <v>0</v>
      </c>
      <c r="H39" s="44">
        <v>392066.10875016695</v>
      </c>
      <c r="I39" s="44">
        <v>4567.2</v>
      </c>
      <c r="J39" s="100">
        <f t="shared" si="50"/>
        <v>1.1649055855808029E-2</v>
      </c>
      <c r="K39" s="170">
        <f t="shared" si="51"/>
        <v>0</v>
      </c>
      <c r="L39" s="170">
        <f t="shared" si="48"/>
        <v>0</v>
      </c>
      <c r="M39" s="50"/>
      <c r="N39" s="50"/>
      <c r="O39" s="13">
        <f>+IF(N39=0,0,N39/M39)</f>
        <v>0</v>
      </c>
      <c r="P39" s="170">
        <f>+IF(O39&gt;=100%,2200000,IF(O39&gt;=80%,1500000,0))</f>
        <v>0</v>
      </c>
      <c r="Q39" s="14">
        <f>+SUM(L39,P39,K39,G39)</f>
        <v>0</v>
      </c>
      <c r="R39" s="205"/>
      <c r="S39" s="47" t="s">
        <v>994</v>
      </c>
      <c r="T39" s="166">
        <f t="shared" si="52"/>
        <v>0</v>
      </c>
      <c r="U39" s="147"/>
      <c r="V39" s="125"/>
    </row>
    <row r="40" spans="1:28" s="15" customFormat="1" ht="42.75" customHeight="1">
      <c r="A40" s="335" t="s">
        <v>257</v>
      </c>
      <c r="B40" s="130" t="s">
        <v>286</v>
      </c>
      <c r="C40" s="138" t="s">
        <v>260</v>
      </c>
      <c r="D40" s="50">
        <v>5</v>
      </c>
      <c r="E40" s="50">
        <v>5</v>
      </c>
      <c r="F40" s="13">
        <f t="shared" si="47"/>
        <v>1</v>
      </c>
      <c r="G40" s="170">
        <f t="shared" ref="G40:G41" si="54">+IF(F40&gt;=100%,1500000,IF(F40&gt;=80%,1000000,0))</f>
        <v>1500000</v>
      </c>
      <c r="H40" s="44">
        <v>392066.1087501669</v>
      </c>
      <c r="I40" s="44">
        <v>237287.3753132</v>
      </c>
      <c r="J40" s="100">
        <f t="shared" ref="J40:J41" si="55">+IF(I40=0,0,I40/H40)</f>
        <v>0.60522286935136416</v>
      </c>
      <c r="K40" s="170">
        <f t="shared" ref="K40:K41" si="56">IF(AND(J40&gt;=90%,J40&lt;95%),1000000,IF(AND(J40&gt;=95%,J40&lt;100%),1300000,IF(J40&gt;=100%,2000000,0)))</f>
        <v>0</v>
      </c>
      <c r="L40" s="170">
        <f t="shared" si="48"/>
        <v>0</v>
      </c>
      <c r="M40" s="50">
        <v>5</v>
      </c>
      <c r="N40" s="50">
        <v>5</v>
      </c>
      <c r="O40" s="13">
        <f t="shared" si="49"/>
        <v>1</v>
      </c>
      <c r="P40" s="170">
        <f>+IF(O40&gt;=100%,1500000,IF(O40&gt;=80%,1000000,0))</f>
        <v>1500000</v>
      </c>
      <c r="Q40" s="14">
        <f>+SUM(L40,P40,K40,G40)</f>
        <v>3000000</v>
      </c>
      <c r="R40" s="205"/>
      <c r="S40" s="47"/>
      <c r="T40" s="166">
        <f t="shared" si="52"/>
        <v>0</v>
      </c>
      <c r="U40" s="147"/>
    </row>
    <row r="41" spans="1:28" s="15" customFormat="1" ht="42.75" customHeight="1">
      <c r="A41" s="335"/>
      <c r="B41" s="130" t="s">
        <v>292</v>
      </c>
      <c r="C41" s="138" t="s">
        <v>255</v>
      </c>
      <c r="D41" s="50">
        <v>5</v>
      </c>
      <c r="E41" s="50">
        <v>5</v>
      </c>
      <c r="F41" s="13">
        <f t="shared" si="47"/>
        <v>1</v>
      </c>
      <c r="G41" s="170">
        <f t="shared" si="54"/>
        <v>1500000</v>
      </c>
      <c r="H41" s="44">
        <v>261377.40583344462</v>
      </c>
      <c r="I41" s="44">
        <v>289801.03586499998</v>
      </c>
      <c r="J41" s="100">
        <f t="shared" si="55"/>
        <v>1.1087455510583326</v>
      </c>
      <c r="K41" s="170">
        <f t="shared" si="56"/>
        <v>2000000</v>
      </c>
      <c r="L41" s="170">
        <f t="shared" si="48"/>
        <v>1000000</v>
      </c>
      <c r="M41" s="50">
        <v>5</v>
      </c>
      <c r="N41" s="50">
        <v>5</v>
      </c>
      <c r="O41" s="13">
        <f t="shared" si="49"/>
        <v>1</v>
      </c>
      <c r="P41" s="170">
        <f>+IF(O41&gt;=100%,1500000,IF(O41&gt;=80%,1000000,0))</f>
        <v>1500000</v>
      </c>
      <c r="Q41" s="14">
        <f>+SUM(L41,P41,K41,G41)</f>
        <v>6000000</v>
      </c>
      <c r="R41" s="205"/>
      <c r="S41" s="47"/>
      <c r="T41" s="166">
        <f t="shared" si="52"/>
        <v>-1000000</v>
      </c>
      <c r="U41" s="147"/>
    </row>
    <row r="42" spans="1:28" s="30" customFormat="1" ht="36" customHeight="1" thickBot="1">
      <c r="A42" s="39"/>
      <c r="B42" s="129"/>
      <c r="C42" s="52" t="s">
        <v>258</v>
      </c>
      <c r="D42" s="51">
        <f>SUM(D35:D41)</f>
        <v>30</v>
      </c>
      <c r="E42" s="32">
        <f>SUM(E35:E41)</f>
        <v>30</v>
      </c>
      <c r="F42" s="33">
        <f>+IF(E42=0,0,E42/D42)</f>
        <v>1</v>
      </c>
      <c r="G42" s="34">
        <f>SUM(G35:G41)</f>
        <v>6200000</v>
      </c>
      <c r="H42" s="162">
        <f>SUM(H35:H41)</f>
        <v>2613774.058334446</v>
      </c>
      <c r="I42" s="32">
        <f>SUM(I35:I41)</f>
        <v>1679901.1111782</v>
      </c>
      <c r="J42" s="101">
        <f t="shared" ref="J42" si="57">+IF(I42=0,0,I42/H42)</f>
        <v>0.64271091291213966</v>
      </c>
      <c r="K42" s="32">
        <f>+SUM(K35:K41)</f>
        <v>4000000</v>
      </c>
      <c r="L42" s="98">
        <f>+SUM(L35:L41)</f>
        <v>2000000</v>
      </c>
      <c r="M42" s="46">
        <f>+SUM(M35:M41)</f>
        <v>30</v>
      </c>
      <c r="N42" s="32">
        <f>+SUM(N35:N41)</f>
        <v>30</v>
      </c>
      <c r="O42" s="33">
        <f t="shared" si="49"/>
        <v>1</v>
      </c>
      <c r="P42" s="34">
        <f>+SUM(P35:P41)</f>
        <v>11800000</v>
      </c>
      <c r="Q42" s="48">
        <f>+SUM(Q35:Q41)</f>
        <v>24000000</v>
      </c>
      <c r="R42" s="163">
        <f>+SUM(R35:R41)</f>
        <v>0</v>
      </c>
      <c r="S42" s="105"/>
      <c r="T42" s="134"/>
      <c r="U42" s="148"/>
    </row>
    <row r="43" spans="1:28">
      <c r="T43" s="135"/>
    </row>
    <row r="44" spans="1:28" s="113" customFormat="1" ht="26.25" thickBot="1">
      <c r="G44" s="114">
        <f>+SUM(G42,G31,G18)</f>
        <v>27133333.333333336</v>
      </c>
      <c r="J44" s="114"/>
      <c r="K44" s="114">
        <f>+SUM(K42,K31,K18)</f>
        <v>34833333.333333328</v>
      </c>
      <c r="L44" s="114">
        <f>+SUM(L42,L31,L18)</f>
        <v>17416666.666666664</v>
      </c>
      <c r="N44" s="115"/>
      <c r="P44" s="114">
        <f>+SUM(P42,P31,P18)</f>
        <v>43116666.666666672</v>
      </c>
      <c r="Q44" s="114">
        <f>+SUM(Q42,Q31,Q18)</f>
        <v>122500000</v>
      </c>
      <c r="R44" s="114">
        <f>+SUM(R42,R31,R18)</f>
        <v>0</v>
      </c>
      <c r="T44" s="136"/>
      <c r="U44" s="150"/>
    </row>
    <row r="45" spans="1:28" s="9" customFormat="1" ht="41.25" customHeight="1">
      <c r="A45" s="327" t="s">
        <v>1</v>
      </c>
      <c r="B45" s="339" t="s">
        <v>263</v>
      </c>
      <c r="C45" s="329" t="s">
        <v>18</v>
      </c>
      <c r="D45" s="323" t="s">
        <v>261</v>
      </c>
      <c r="E45" s="324"/>
      <c r="F45" s="324"/>
      <c r="G45" s="325"/>
      <c r="H45" s="323" t="s">
        <v>12</v>
      </c>
      <c r="I45" s="324"/>
      <c r="J45" s="324"/>
      <c r="K45" s="324"/>
      <c r="L45" s="325"/>
      <c r="M45" s="323" t="s">
        <v>23</v>
      </c>
      <c r="N45" s="324"/>
      <c r="O45" s="324"/>
      <c r="P45" s="324"/>
      <c r="Q45" s="325"/>
      <c r="R45" s="326" t="s">
        <v>262</v>
      </c>
      <c r="S45" s="324"/>
      <c r="T45" s="324"/>
      <c r="U45" s="325"/>
      <c r="V45" s="321" t="s">
        <v>264</v>
      </c>
      <c r="W45" s="315" t="s">
        <v>2</v>
      </c>
      <c r="X45" s="317" t="s">
        <v>27</v>
      </c>
      <c r="Y45" s="319" t="s">
        <v>14</v>
      </c>
    </row>
    <row r="46" spans="1:28" s="9" customFormat="1" ht="43.5" customHeight="1">
      <c r="A46" s="328"/>
      <c r="B46" s="340"/>
      <c r="C46" s="330"/>
      <c r="D46" s="49" t="s">
        <v>3</v>
      </c>
      <c r="E46" s="221" t="s">
        <v>4</v>
      </c>
      <c r="F46" s="12" t="s">
        <v>5</v>
      </c>
      <c r="G46" s="29" t="s">
        <v>6</v>
      </c>
      <c r="H46" s="49" t="s">
        <v>3</v>
      </c>
      <c r="I46" s="221" t="s">
        <v>4</v>
      </c>
      <c r="J46" s="12" t="s">
        <v>5</v>
      </c>
      <c r="K46" s="221" t="s">
        <v>6</v>
      </c>
      <c r="L46" s="97" t="s">
        <v>249</v>
      </c>
      <c r="M46" s="241" t="s">
        <v>3</v>
      </c>
      <c r="N46" s="221" t="s">
        <v>4</v>
      </c>
      <c r="O46" s="12" t="s">
        <v>5</v>
      </c>
      <c r="P46" s="221" t="s">
        <v>6</v>
      </c>
      <c r="Q46" s="97" t="s">
        <v>249</v>
      </c>
      <c r="R46" s="49" t="s">
        <v>3</v>
      </c>
      <c r="S46" s="221" t="s">
        <v>4</v>
      </c>
      <c r="T46" s="12" t="s">
        <v>5</v>
      </c>
      <c r="U46" s="151" t="s">
        <v>6</v>
      </c>
      <c r="V46" s="322"/>
      <c r="W46" s="316"/>
      <c r="X46" s="318"/>
      <c r="Y46" s="320"/>
    </row>
    <row r="47" spans="1:28" s="36" customFormat="1" ht="36" customHeight="1">
      <c r="A47" s="234" t="s">
        <v>17</v>
      </c>
      <c r="B47" s="130" t="s">
        <v>991</v>
      </c>
      <c r="C47" s="235" t="s">
        <v>742</v>
      </c>
      <c r="D47" s="223">
        <f>SUM(D16:D17)+SUM(M16:M17)</f>
        <v>20</v>
      </c>
      <c r="E47" s="37">
        <f>SUM(E16:E17)+SUM(N16:N17)</f>
        <v>20</v>
      </c>
      <c r="F47" s="38">
        <f>+IF(E47=0,0,E47/D47)</f>
        <v>1</v>
      </c>
      <c r="G47" s="232">
        <f>+IF(F47&gt;=100%,1500000,IF(F47&gt;=95%,1200000,0))</f>
        <v>1500000</v>
      </c>
      <c r="H47" s="231">
        <f>+SUM(H16:H17)</f>
        <v>662509.72299084871</v>
      </c>
      <c r="I47" s="257">
        <f>(+SUM(I16:I17))--58427.6991364</f>
        <v>681157.83644500014</v>
      </c>
      <c r="J47" s="91">
        <f>+IF(I47=0,0,I47/H47)</f>
        <v>1.0281476826784759</v>
      </c>
      <c r="K47" s="37">
        <f>(+IF(AND(J47&gt;=90%,J47&lt;95%),500000,IF(AND(J47&gt;=95%,J47&lt;100%),700000,IF(J47&gt;=100%,1000000,0))))</f>
        <v>1000000</v>
      </c>
      <c r="L47" s="232">
        <f>IF(J47&gt;=100%,1500000,0)</f>
        <v>1500000</v>
      </c>
      <c r="M47" s="223">
        <f>H47</f>
        <v>662509.72299084871</v>
      </c>
      <c r="N47" s="37">
        <f>+I16+I17</f>
        <v>622730.13730860013</v>
      </c>
      <c r="O47" s="38">
        <f>+IF(N47=0,0,N47/M47)</f>
        <v>0.93995622358164532</v>
      </c>
      <c r="P47" s="37">
        <f>(+IF(AND(O47&gt;=90%,O47&lt;95%),960000,IF(AND(O47&gt;=95%,O47&lt;100%),1260000,IF(O47&gt;=100%,1920000,0))))</f>
        <v>960000</v>
      </c>
      <c r="Q47" s="242">
        <f>IF(O47&gt;=100%,1280000,0)</f>
        <v>0</v>
      </c>
      <c r="R47" s="223"/>
      <c r="S47" s="37"/>
      <c r="T47" s="38"/>
      <c r="U47" s="244">
        <f>(+IF(AND(T47&gt;=80%,T47&lt;90%),1000000,IF(AND(T47&gt;=90%,T47&lt;100%),1300000,IF(T47&gt;=100%,2000000,0))))</f>
        <v>0</v>
      </c>
      <c r="V47" s="230"/>
      <c r="W47" s="37">
        <f>+SUM(P47,U47,K47,G47,L47,Q47)</f>
        <v>4960000</v>
      </c>
      <c r="X47" s="247"/>
      <c r="Y47" s="249"/>
    </row>
    <row r="48" spans="1:28" s="36" customFormat="1" ht="36" customHeight="1">
      <c r="A48" s="234" t="s">
        <v>17</v>
      </c>
      <c r="B48" s="130" t="str">
        <f>VLOOKUP(C48,'[1]HCM 1'!$B$3:$G$171,2,0)</f>
        <v>NBTS00605</v>
      </c>
      <c r="C48" s="235" t="s">
        <v>26</v>
      </c>
      <c r="D48" s="223">
        <f>+SUM(D6:D15)+SUM(M6:M15)</f>
        <v>80</v>
      </c>
      <c r="E48" s="37">
        <f>+SUM(E6:E15)+SUM(N6:N15)</f>
        <v>80</v>
      </c>
      <c r="F48" s="38">
        <f t="shared" ref="F48:F53" si="58">+IF(E48=0,0,E48/D48)</f>
        <v>1</v>
      </c>
      <c r="G48" s="232">
        <f t="shared" ref="G48:G50" si="59">+IF(F48&gt;=100%,1500000,IF(F48&gt;=95%,1200000,0))</f>
        <v>1500000</v>
      </c>
      <c r="H48" s="231">
        <f>+SUM(H6:H15)</f>
        <v>1895914.2705446943</v>
      </c>
      <c r="I48" s="107">
        <f>+SUM(I6:I15)</f>
        <v>1841002</v>
      </c>
      <c r="J48" s="91">
        <f t="shared" ref="J48:J50" si="60">+IF(I48=0,0,I48/H48)</f>
        <v>0.97103652237982363</v>
      </c>
      <c r="K48" s="37">
        <f t="shared" ref="K48:K50" si="61">(+IF(AND(J48&gt;=90%,J48&lt;95%),500000,IF(AND(J48&gt;=95%,J48&lt;100%),700000,IF(J48&gt;=100%,1000000,0))))</f>
        <v>700000</v>
      </c>
      <c r="L48" s="170">
        <f t="shared" ref="L48:L50" si="62">IF(J48&gt;=100%,1500000,0)</f>
        <v>0</v>
      </c>
      <c r="M48" s="223">
        <f>H48</f>
        <v>1895914.2705446943</v>
      </c>
      <c r="N48" s="37">
        <f>I48</f>
        <v>1841002</v>
      </c>
      <c r="O48" s="38">
        <f t="shared" ref="O48:O53" si="63">+IF(N48=0,0,N48/M48)</f>
        <v>0.97103652237982363</v>
      </c>
      <c r="P48" s="37">
        <f t="shared" ref="P48:P50" si="64">(+IF(AND(O48&gt;=90%,O48&lt;95%),960000,IF(AND(O48&gt;=95%,O48&lt;100%),1260000,IF(O48&gt;=100%,1920000,0))))</f>
        <v>1260000</v>
      </c>
      <c r="Q48" s="232">
        <f t="shared" ref="Q48:Q50" si="65">IF(O48&gt;=100%,1280000,0)</f>
        <v>0</v>
      </c>
      <c r="R48" s="223"/>
      <c r="S48" s="37"/>
      <c r="T48" s="38"/>
      <c r="U48" s="244">
        <f t="shared" ref="U48:U50" si="66">(+IF(AND(T48&gt;=80%,T48&lt;90%),1000000,IF(AND(T48&gt;=90%,T48&lt;100%),1300000,IF(T48&gt;=100%,2000000,0))))</f>
        <v>0</v>
      </c>
      <c r="V48" s="230"/>
      <c r="W48" s="37">
        <f>+SUM(P48,U48,K48,G48,L48,Q48)</f>
        <v>3460000</v>
      </c>
      <c r="X48" s="247"/>
      <c r="Y48" s="249"/>
      <c r="Z48" s="168">
        <f>+X48-L48-Q48</f>
        <v>0</v>
      </c>
      <c r="AA48" s="168">
        <f>+L48+Q48</f>
        <v>0</v>
      </c>
      <c r="AB48" s="168"/>
    </row>
    <row r="49" spans="1:28" s="36" customFormat="1" ht="36" customHeight="1">
      <c r="A49" s="234" t="s">
        <v>17</v>
      </c>
      <c r="B49" s="171" t="s">
        <v>277</v>
      </c>
      <c r="C49" s="235" t="s">
        <v>253</v>
      </c>
      <c r="D49" s="223">
        <f>+D31+M31</f>
        <v>80</v>
      </c>
      <c r="E49" s="37">
        <f>+E31+N31</f>
        <v>80</v>
      </c>
      <c r="F49" s="38">
        <f t="shared" si="58"/>
        <v>1</v>
      </c>
      <c r="G49" s="232">
        <f>+IF(F49&gt;=100%,1500000,IF(F49&gt;=95%,1200000,0))/24*14</f>
        <v>875000</v>
      </c>
      <c r="H49" s="231">
        <f>+H31</f>
        <v>2006541.6069998071</v>
      </c>
      <c r="I49" s="107">
        <f>+I31</f>
        <v>2098747.8000000003</v>
      </c>
      <c r="J49" s="91">
        <f t="shared" si="60"/>
        <v>1.0459527939408446</v>
      </c>
      <c r="K49" s="37">
        <f>(+IF(AND(J49&gt;=90%,J49&lt;95%),500000,IF(AND(J49&gt;=95%,J49&lt;100%),700000,IF(J49&gt;=100%,1000000,0))))/24*14</f>
        <v>583333.33333333326</v>
      </c>
      <c r="L49" s="232">
        <f>IF(J49&gt;=100%,1500000,0)/24*14</f>
        <v>875000</v>
      </c>
      <c r="M49" s="223">
        <v>1789162.2926886</v>
      </c>
      <c r="N49" s="37">
        <v>2144149.2828833</v>
      </c>
      <c r="O49" s="38">
        <f t="shared" si="63"/>
        <v>1.1984096085890876</v>
      </c>
      <c r="P49" s="37">
        <f>(+IF(AND(O49&gt;=90%,O49&lt;95%),960000,IF(AND(O49&gt;=95%,O49&lt;100%),1260000,IF(O49&gt;=100%,1920000,0))))/24*14</f>
        <v>1120000</v>
      </c>
      <c r="Q49" s="232">
        <f>IF(O49&gt;=100%,1280000,0)/24*14</f>
        <v>746666.66666666674</v>
      </c>
      <c r="R49" s="223"/>
      <c r="S49" s="37"/>
      <c r="T49" s="38"/>
      <c r="U49" s="244">
        <f t="shared" si="66"/>
        <v>0</v>
      </c>
      <c r="V49" s="230"/>
      <c r="W49" s="37">
        <f t="shared" ref="W49:W50" si="67">+SUM(P49,U49,K49,G49,L49,Q49)</f>
        <v>4200000</v>
      </c>
      <c r="X49" s="247"/>
      <c r="Y49" s="249"/>
      <c r="Z49" s="168">
        <f t="shared" ref="Z49:Z51" si="68">+X49-L49-Q49</f>
        <v>-1621666.6666666667</v>
      </c>
      <c r="AA49" s="169"/>
      <c r="AB49" s="169"/>
    </row>
    <row r="50" spans="1:28" s="36" customFormat="1" ht="36" customHeight="1">
      <c r="A50" s="234" t="s">
        <v>17</v>
      </c>
      <c r="B50" s="130" t="str">
        <f>VLOOKUP(C50,'[1]HCM 1'!$B$3:$G$171,2,0)</f>
        <v>NBTS00611</v>
      </c>
      <c r="C50" s="235" t="s">
        <v>256</v>
      </c>
      <c r="D50" s="223">
        <f>D42+M42</f>
        <v>60</v>
      </c>
      <c r="E50" s="37">
        <f>E42+N42</f>
        <v>60</v>
      </c>
      <c r="F50" s="38">
        <f t="shared" si="58"/>
        <v>1</v>
      </c>
      <c r="G50" s="232">
        <f t="shared" si="59"/>
        <v>1500000</v>
      </c>
      <c r="H50" s="231">
        <f>H42</f>
        <v>2613774.058334446</v>
      </c>
      <c r="I50" s="107">
        <f>I42+5951</f>
        <v>1685852.1111782</v>
      </c>
      <c r="J50" s="91">
        <f t="shared" si="60"/>
        <v>0.64498769731170325</v>
      </c>
      <c r="K50" s="37">
        <f t="shared" si="61"/>
        <v>0</v>
      </c>
      <c r="L50" s="170">
        <f t="shared" si="62"/>
        <v>0</v>
      </c>
      <c r="M50" s="255">
        <v>2489308.6269851867</v>
      </c>
      <c r="N50" s="256">
        <f>1860033.33945+I40+I41</f>
        <v>2387121.7506281999</v>
      </c>
      <c r="O50" s="38">
        <f t="shared" si="63"/>
        <v>0.95894969581142464</v>
      </c>
      <c r="P50" s="37">
        <f t="shared" si="64"/>
        <v>1260000</v>
      </c>
      <c r="Q50" s="242">
        <f t="shared" si="65"/>
        <v>0</v>
      </c>
      <c r="R50" s="223"/>
      <c r="S50" s="37"/>
      <c r="T50" s="38"/>
      <c r="U50" s="244">
        <f t="shared" si="66"/>
        <v>0</v>
      </c>
      <c r="V50" s="230"/>
      <c r="W50" s="37">
        <f t="shared" si="67"/>
        <v>2760000</v>
      </c>
      <c r="X50" s="247"/>
      <c r="Y50" s="249"/>
      <c r="Z50" s="168">
        <f t="shared" si="68"/>
        <v>0</v>
      </c>
      <c r="AA50" s="169"/>
      <c r="AB50" s="169"/>
    </row>
    <row r="51" spans="1:28" s="36" customFormat="1" ht="36" customHeight="1">
      <c r="A51" s="236" t="s">
        <v>245</v>
      </c>
      <c r="B51" s="220" t="s">
        <v>992</v>
      </c>
      <c r="C51" s="237" t="s">
        <v>743</v>
      </c>
      <c r="D51" s="224"/>
      <c r="E51" s="109"/>
      <c r="F51" s="108"/>
      <c r="G51" s="225"/>
      <c r="H51" s="224">
        <f>H50</f>
        <v>2613774.058334446</v>
      </c>
      <c r="I51" s="109">
        <f>I50</f>
        <v>1685852.1111782</v>
      </c>
      <c r="J51" s="110">
        <f t="shared" ref="J51:J52" si="69">+IF(I51=0,0,I51/H51)</f>
        <v>0.64498769731170325</v>
      </c>
      <c r="K51" s="109">
        <f>(+IF(AND(J51&gt;=90%,J51&lt;95%),1200000,IF(AND(J51&gt;=95%,J51&lt;100%),1500000,IF(J51&gt;=100%,1700000,0))))</f>
        <v>0</v>
      </c>
      <c r="L51" s="225">
        <f>IF(J51&gt;=100%,2500000,0)</f>
        <v>0</v>
      </c>
      <c r="M51" s="224">
        <f>M50</f>
        <v>2489308.6269851867</v>
      </c>
      <c r="N51" s="109">
        <f>N50</f>
        <v>2387121.7506281999</v>
      </c>
      <c r="O51" s="38">
        <f t="shared" si="63"/>
        <v>0.95894969581142464</v>
      </c>
      <c r="P51" s="109">
        <f>(+IF(AND(O51&gt;=90%,O51&lt;95%),2700000,IF(AND(O51&gt;=95%,O51&lt;100%),4500000,IF(O51&gt;=100%,6000000,0))))</f>
        <v>4500000</v>
      </c>
      <c r="Q51" s="225"/>
      <c r="R51" s="224"/>
      <c r="S51" s="109"/>
      <c r="T51" s="108"/>
      <c r="U51" s="245">
        <f>(+IF(AND(T51&gt;=80%,T51&lt;90%),1000000,IF(AND(T51&gt;=90%,T51&lt;100%),2000000,IF(T51&gt;=100%,3000000,0))))</f>
        <v>0</v>
      </c>
      <c r="V51" s="222"/>
      <c r="W51" s="109">
        <f>+SUM(P51,U51,K51,G51,L51,Q51,V51)</f>
        <v>4500000</v>
      </c>
      <c r="X51" s="248">
        <f>+W51-Y51</f>
        <v>4500000</v>
      </c>
      <c r="Y51" s="250"/>
      <c r="Z51" s="167">
        <f t="shared" si="68"/>
        <v>4500000</v>
      </c>
    </row>
    <row r="52" spans="1:28" s="36" customFormat="1" ht="36" customHeight="1">
      <c r="A52" s="236" t="s">
        <v>245</v>
      </c>
      <c r="B52" s="220" t="s">
        <v>993</v>
      </c>
      <c r="C52" s="237" t="s">
        <v>744</v>
      </c>
      <c r="D52" s="224"/>
      <c r="E52" s="109"/>
      <c r="F52" s="108"/>
      <c r="G52" s="225"/>
      <c r="H52" s="224">
        <f>SUM(H47:H49)</f>
        <v>4564965.6005353499</v>
      </c>
      <c r="I52" s="109">
        <f>SUM(I47:I49)</f>
        <v>4620907.6364450008</v>
      </c>
      <c r="J52" s="110">
        <f t="shared" si="69"/>
        <v>1.0122546456654766</v>
      </c>
      <c r="K52" s="109">
        <f>(+IF(AND(J52&gt;=90%,J52&lt;95%),1200000,IF(AND(J52&gt;=95%,J52&lt;100%),1500000,IF(J52&gt;=100%,1700000,0))))</f>
        <v>1700000</v>
      </c>
      <c r="L52" s="225">
        <f>IF(J52&gt;=100%,2500000,0)</f>
        <v>2500000</v>
      </c>
      <c r="M52" s="224">
        <f>SUM(M47:M49)</f>
        <v>4347586.2862241426</v>
      </c>
      <c r="N52" s="109">
        <f>SUM(N47:N49)</f>
        <v>4607881.4201919008</v>
      </c>
      <c r="O52" s="38">
        <f t="shared" si="63"/>
        <v>1.0598711829578944</v>
      </c>
      <c r="P52" s="109">
        <f>(+IF(AND(O52&gt;=90%,O52&lt;95%),2700000,IF(AND(O52&gt;=95%,O52&lt;100%),4500000,IF(O52&gt;=100%,6000000,0))))</f>
        <v>6000000</v>
      </c>
      <c r="Q52" s="225"/>
      <c r="R52" s="224"/>
      <c r="S52" s="109"/>
      <c r="T52" s="108"/>
      <c r="U52" s="245">
        <f>(+IF(AND(T52&gt;=80%,T52&lt;90%),1000000,IF(AND(T52&gt;=90%,T52&lt;100%),2000000,IF(T52&gt;=100%,3000000,0))))</f>
        <v>0</v>
      </c>
      <c r="V52" s="222"/>
      <c r="W52" s="109">
        <f>+SUM(P52,U52,K52,G52,L52,Q52,V52)</f>
        <v>10200000</v>
      </c>
      <c r="X52" s="248">
        <v>0</v>
      </c>
      <c r="Y52" s="250"/>
      <c r="Z52" s="131"/>
    </row>
    <row r="53" spans="1:28" s="112" customFormat="1" ht="36" customHeight="1" thickBot="1">
      <c r="A53" s="238"/>
      <c r="B53" s="239"/>
      <c r="C53" s="240" t="s">
        <v>15</v>
      </c>
      <c r="D53" s="226">
        <f>SUM(D47:D50)</f>
        <v>240</v>
      </c>
      <c r="E53" s="226">
        <f>SUM(E47:E50)</f>
        <v>240</v>
      </c>
      <c r="F53" s="228">
        <f t="shared" si="58"/>
        <v>1</v>
      </c>
      <c r="G53" s="226">
        <f>SUM(G47:G52)</f>
        <v>5375000</v>
      </c>
      <c r="H53" s="226">
        <f>SUM(H51:H52)</f>
        <v>7178739.6588697955</v>
      </c>
      <c r="I53" s="227">
        <f>SUM(I51:I52)</f>
        <v>6306759.7476232005</v>
      </c>
      <c r="J53" s="228">
        <f>+IF(I53=0,0,I53/H53)</f>
        <v>0.8785330082044126</v>
      </c>
      <c r="K53" s="227">
        <f t="shared" ref="K53:L53" si="70">SUM(K47:K52)</f>
        <v>3983333.333333333</v>
      </c>
      <c r="L53" s="233">
        <f t="shared" si="70"/>
        <v>4875000</v>
      </c>
      <c r="M53" s="226">
        <f>SUM(M51:M52)</f>
        <v>6836894.9132093294</v>
      </c>
      <c r="N53" s="227">
        <f>SUM(N51:N52)</f>
        <v>6995003.1708201002</v>
      </c>
      <c r="O53" s="243">
        <f t="shared" si="63"/>
        <v>1.0231257405032357</v>
      </c>
      <c r="P53" s="227">
        <f t="shared" ref="P53" si="71">SUM(P47:P52)</f>
        <v>15100000</v>
      </c>
      <c r="Q53" s="229">
        <f t="shared" ref="Q53" si="72">SUM(Q47:Q52)</f>
        <v>746666.66666666674</v>
      </c>
      <c r="R53" s="226">
        <f>SUM(R51:R52)</f>
        <v>0</v>
      </c>
      <c r="S53" s="227">
        <f>SUM(S51:S52)</f>
        <v>0</v>
      </c>
      <c r="T53" s="228">
        <f>+IF(S53=0,0,S53/R53)</f>
        <v>0</v>
      </c>
      <c r="U53" s="246"/>
      <c r="V53" s="222"/>
      <c r="W53" s="111">
        <f>SUM(W47:W52)</f>
        <v>30080000</v>
      </c>
      <c r="X53" s="248">
        <f>SUM(X47:X52)</f>
        <v>4500000</v>
      </c>
      <c r="Y53" s="251"/>
    </row>
    <row r="54" spans="1:28" s="112" customFormat="1" ht="36" customHeight="1">
      <c r="A54" s="118"/>
      <c r="B54" s="118"/>
      <c r="C54" s="119"/>
      <c r="D54" s="117"/>
      <c r="E54" s="117"/>
      <c r="F54" s="126"/>
      <c r="G54" s="117"/>
      <c r="H54" s="117"/>
      <c r="I54" s="117"/>
      <c r="J54" s="137"/>
      <c r="K54" s="117"/>
      <c r="L54" s="121"/>
      <c r="M54" s="117"/>
      <c r="N54" s="117"/>
      <c r="O54" s="120"/>
      <c r="P54" s="117"/>
      <c r="Q54" s="117"/>
      <c r="R54" s="117"/>
      <c r="S54" s="117"/>
      <c r="T54" s="120"/>
      <c r="U54" s="152"/>
      <c r="V54" s="117"/>
      <c r="W54" s="117"/>
      <c r="X54" s="117"/>
      <c r="Y54" s="122"/>
    </row>
    <row r="55" spans="1:28" s="19" customFormat="1" ht="26.25">
      <c r="E55" s="93"/>
      <c r="G55" s="116"/>
      <c r="H55"/>
      <c r="I55"/>
      <c r="K55" s="116"/>
      <c r="L55" s="116"/>
      <c r="M55" s="116"/>
      <c r="N55" s="116"/>
      <c r="O55"/>
      <c r="P55" s="116"/>
      <c r="T55" s="17"/>
      <c r="U55" s="153"/>
      <c r="V55" s="116"/>
      <c r="X55" s="116"/>
    </row>
    <row r="56" spans="1:28" s="19" customFormat="1" ht="26.25" hidden="1">
      <c r="G56" s="116"/>
      <c r="K56" s="116"/>
      <c r="L56" s="116"/>
      <c r="M56"/>
      <c r="N56"/>
      <c r="O56"/>
      <c r="P56" s="116"/>
      <c r="T56" s="17"/>
      <c r="U56" s="153"/>
      <c r="V56" s="116"/>
      <c r="X56" s="116"/>
    </row>
    <row r="57" spans="1:28" s="24" customFormat="1" hidden="1">
      <c r="C57" s="35" t="s">
        <v>7</v>
      </c>
      <c r="F57" s="35" t="s">
        <v>8</v>
      </c>
      <c r="G57" s="35"/>
      <c r="I57" s="159" t="s">
        <v>8</v>
      </c>
      <c r="J57" s="25"/>
      <c r="K57" s="35"/>
      <c r="L57" s="35"/>
      <c r="M57" s="95"/>
      <c r="N57" s="35" t="s">
        <v>8</v>
      </c>
      <c r="P57" s="35"/>
      <c r="R57" s="35" t="s">
        <v>9</v>
      </c>
      <c r="T57" s="25"/>
      <c r="U57" s="154"/>
    </row>
    <row r="58" spans="1:28" s="19" customFormat="1" hidden="1">
      <c r="C58" s="18"/>
      <c r="F58" s="18"/>
      <c r="G58" s="18"/>
      <c r="I58" s="160"/>
      <c r="J58" s="20"/>
      <c r="K58" s="18"/>
      <c r="L58" s="18"/>
      <c r="N58" s="21"/>
      <c r="P58" s="21"/>
      <c r="R58" s="21"/>
      <c r="T58" s="20"/>
      <c r="U58" s="149"/>
    </row>
    <row r="59" spans="1:28" s="19" customFormat="1" hidden="1">
      <c r="C59" s="18"/>
      <c r="F59" s="18"/>
      <c r="G59" s="18"/>
      <c r="I59" s="160"/>
      <c r="J59" s="20"/>
      <c r="K59" s="18"/>
      <c r="L59" s="18"/>
      <c r="N59" s="21"/>
      <c r="P59" s="21"/>
      <c r="R59" s="21"/>
      <c r="T59" s="20"/>
      <c r="U59" s="149"/>
    </row>
    <row r="60" spans="1:28" s="19" customFormat="1" hidden="1">
      <c r="C60" s="18"/>
      <c r="F60" s="18"/>
      <c r="G60" s="18"/>
      <c r="I60" s="160"/>
      <c r="J60" s="20"/>
      <c r="K60" s="18"/>
      <c r="L60" s="18"/>
      <c r="N60" s="21"/>
      <c r="P60" s="21"/>
      <c r="R60" s="21"/>
      <c r="T60" s="20"/>
      <c r="U60" s="149"/>
    </row>
    <row r="61" spans="1:28" s="19" customFormat="1" hidden="1">
      <c r="C61" s="18"/>
      <c r="F61" s="18"/>
      <c r="G61" s="18"/>
      <c r="I61" s="160"/>
      <c r="J61" s="20"/>
      <c r="K61" s="18"/>
      <c r="L61" s="18"/>
      <c r="N61" s="21"/>
      <c r="P61" s="21"/>
      <c r="R61" s="21"/>
      <c r="T61" s="20"/>
      <c r="U61" s="149"/>
    </row>
    <row r="62" spans="1:28" s="19" customFormat="1" hidden="1">
      <c r="C62" s="18"/>
      <c r="F62" s="18"/>
      <c r="G62" s="18"/>
      <c r="I62" s="160"/>
      <c r="J62" s="20"/>
      <c r="K62" s="18"/>
      <c r="L62" s="18"/>
      <c r="N62" s="21"/>
      <c r="P62" s="21"/>
      <c r="R62" s="21"/>
      <c r="T62" s="20"/>
      <c r="U62" s="149"/>
    </row>
    <row r="63" spans="1:28" s="19" customFormat="1" hidden="1">
      <c r="C63" s="18"/>
      <c r="F63" s="18"/>
      <c r="G63" s="18"/>
      <c r="I63" s="160"/>
      <c r="J63" s="20"/>
      <c r="K63" s="18"/>
      <c r="L63" s="18"/>
      <c r="N63" s="21"/>
      <c r="P63" s="21"/>
      <c r="R63" s="21"/>
      <c r="T63" s="20"/>
      <c r="U63" s="149"/>
    </row>
    <row r="64" spans="1:28" hidden="1">
      <c r="C64" s="18"/>
      <c r="D64" s="19"/>
      <c r="E64" s="19"/>
      <c r="F64" s="18"/>
      <c r="G64" s="18"/>
      <c r="H64" s="23"/>
      <c r="I64" s="160"/>
      <c r="J64" s="20"/>
      <c r="K64" s="18"/>
      <c r="L64" s="18"/>
      <c r="M64" s="23"/>
      <c r="N64" s="21"/>
      <c r="P64" s="21"/>
      <c r="R64" s="21"/>
      <c r="T64" s="20"/>
    </row>
    <row r="65" spans="1:21" s="27" customFormat="1" hidden="1">
      <c r="C65" s="35" t="s">
        <v>276</v>
      </c>
      <c r="D65" s="24"/>
      <c r="E65" s="24"/>
      <c r="F65" s="35" t="s">
        <v>269</v>
      </c>
      <c r="G65" s="35"/>
      <c r="I65" s="159" t="s">
        <v>299</v>
      </c>
      <c r="J65" s="25"/>
      <c r="K65" s="35"/>
      <c r="L65" s="35"/>
      <c r="N65" s="35" t="s">
        <v>10</v>
      </c>
      <c r="O65" s="26"/>
      <c r="P65" s="35"/>
      <c r="R65" s="35" t="s">
        <v>11</v>
      </c>
      <c r="T65" s="25"/>
      <c r="U65" s="155"/>
    </row>
    <row r="75" spans="1:21" hidden="1">
      <c r="A75" s="23" t="s">
        <v>24</v>
      </c>
      <c r="C75" s="23" t="s">
        <v>275</v>
      </c>
    </row>
    <row r="76" spans="1:21" hidden="1">
      <c r="A76" s="23" t="s">
        <v>256</v>
      </c>
      <c r="C76" s="23" t="s">
        <v>274</v>
      </c>
    </row>
  </sheetData>
  <autoFilter ref="A5:Z19"/>
  <mergeCells count="42">
    <mergeCell ref="A4:A5"/>
    <mergeCell ref="C4:C5"/>
    <mergeCell ref="D4:G4"/>
    <mergeCell ref="A23:A30"/>
    <mergeCell ref="A6:A17"/>
    <mergeCell ref="A21:A22"/>
    <mergeCell ref="C21:C22"/>
    <mergeCell ref="D21:G21"/>
    <mergeCell ref="B4:B5"/>
    <mergeCell ref="B21:B22"/>
    <mergeCell ref="A45:A46"/>
    <mergeCell ref="C45:C46"/>
    <mergeCell ref="D45:G45"/>
    <mergeCell ref="A33:A34"/>
    <mergeCell ref="C33:C34"/>
    <mergeCell ref="D33:G33"/>
    <mergeCell ref="A40:A41"/>
    <mergeCell ref="A35:A39"/>
    <mergeCell ref="B33:B34"/>
    <mergeCell ref="B45:B46"/>
    <mergeCell ref="Q4:Q5"/>
    <mergeCell ref="R4:R5"/>
    <mergeCell ref="R21:R22"/>
    <mergeCell ref="S21:S22"/>
    <mergeCell ref="H4:L4"/>
    <mergeCell ref="H21:L21"/>
    <mergeCell ref="M21:P21"/>
    <mergeCell ref="M4:P4"/>
    <mergeCell ref="S4:S5"/>
    <mergeCell ref="Q21:Q22"/>
    <mergeCell ref="H45:L45"/>
    <mergeCell ref="M45:Q45"/>
    <mergeCell ref="R45:U45"/>
    <mergeCell ref="H33:L33"/>
    <mergeCell ref="M33:P33"/>
    <mergeCell ref="W45:W46"/>
    <mergeCell ref="X45:X46"/>
    <mergeCell ref="Y45:Y46"/>
    <mergeCell ref="Q33:Q34"/>
    <mergeCell ref="R33:R34"/>
    <mergeCell ref="S33:S34"/>
    <mergeCell ref="V45:V46"/>
  </mergeCells>
  <printOptions horizontalCentered="1"/>
  <pageMargins left="0" right="0" top="0.25" bottom="0" header="0.17" footer="0"/>
  <pageSetup paperSize="9" scale="25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workbookViewId="0">
      <selection activeCell="H13" sqref="H13"/>
    </sheetView>
  </sheetViews>
  <sheetFormatPr defaultRowHeight="15"/>
  <cols>
    <col min="1" max="1" width="20.85546875" customWidth="1"/>
    <col min="2" max="2" width="16.85546875" style="204" customWidth="1"/>
    <col min="4" max="4" width="13.28515625" bestFit="1" customWidth="1"/>
    <col min="6" max="6" width="11.5703125" bestFit="1" customWidth="1"/>
  </cols>
  <sheetData>
    <row r="3" spans="1:9">
      <c r="A3" t="s">
        <v>981</v>
      </c>
      <c r="B3" s="204" t="s">
        <v>982</v>
      </c>
      <c r="G3" t="s">
        <v>983</v>
      </c>
    </row>
    <row r="4" spans="1:9">
      <c r="A4" s="214" t="s">
        <v>260</v>
      </c>
      <c r="B4" s="204">
        <v>47976.799999999996</v>
      </c>
      <c r="D4" s="215">
        <f>+B4/$B$13</f>
        <v>4.5273569493808112E-2</v>
      </c>
      <c r="F4" s="209">
        <f>+D4*$D$13</f>
        <v>73661.768871029679</v>
      </c>
      <c r="G4">
        <v>190943.05531319999</v>
      </c>
      <c r="I4" s="116">
        <f>+F4+G4</f>
        <v>264604.82418422966</v>
      </c>
    </row>
    <row r="5" spans="1:9">
      <c r="A5" s="214" t="s">
        <v>255</v>
      </c>
      <c r="B5" s="204">
        <v>76436.799999999988</v>
      </c>
      <c r="D5" s="215">
        <f t="shared" ref="D5:D12" si="0">+B5/$B$13</f>
        <v>7.2130004016197666E-2</v>
      </c>
      <c r="F5" s="209">
        <f t="shared" ref="F5:F12" si="1">+D5*$D$13</f>
        <v>117358.17926250026</v>
      </c>
      <c r="G5">
        <v>216224.675865</v>
      </c>
      <c r="H5">
        <v>1769903</v>
      </c>
      <c r="I5" s="116">
        <f>+F5+G5</f>
        <v>333582.85512750025</v>
      </c>
    </row>
    <row r="6" spans="1:9">
      <c r="A6" s="214" t="s">
        <v>307</v>
      </c>
      <c r="B6" s="204">
        <v>67561.600000000006</v>
      </c>
      <c r="D6" s="215">
        <f t="shared" si="0"/>
        <v>6.375487303681919E-2</v>
      </c>
      <c r="F6" s="204">
        <f t="shared" si="1"/>
        <v>103731.53198539629</v>
      </c>
    </row>
    <row r="7" spans="1:9">
      <c r="A7" s="214" t="s">
        <v>254</v>
      </c>
      <c r="B7" s="204">
        <v>164850.40000000002</v>
      </c>
      <c r="D7" s="215">
        <f t="shared" si="0"/>
        <v>0.15556198080076342</v>
      </c>
      <c r="F7" s="204">
        <f t="shared" si="1"/>
        <v>253105.08543914548</v>
      </c>
    </row>
    <row r="8" spans="1:9">
      <c r="A8" s="214" t="s">
        <v>25</v>
      </c>
      <c r="B8" s="204">
        <v>184389.59999999998</v>
      </c>
      <c r="D8" s="215">
        <f t="shared" si="0"/>
        <v>0.1740002536545889</v>
      </c>
      <c r="F8" s="204">
        <f t="shared" si="1"/>
        <v>283104.83603369998</v>
      </c>
      <c r="H8" s="116">
        <f>+F4+F5</f>
        <v>191019.94813352992</v>
      </c>
    </row>
    <row r="9" spans="1:9">
      <c r="A9" s="214" t="s">
        <v>26</v>
      </c>
      <c r="B9" s="204">
        <v>155902.80000000002</v>
      </c>
      <c r="D9" s="215">
        <f t="shared" si="0"/>
        <v>0.14711852916574822</v>
      </c>
      <c r="F9" s="204">
        <f t="shared" si="1"/>
        <v>239367.27793321709</v>
      </c>
    </row>
    <row r="10" spans="1:9">
      <c r="A10" s="214" t="s">
        <v>839</v>
      </c>
      <c r="B10" s="204">
        <v>118063.20000000001</v>
      </c>
      <c r="D10" s="215">
        <f t="shared" si="0"/>
        <v>0.11141098384763817</v>
      </c>
      <c r="F10" s="204">
        <f t="shared" si="1"/>
        <v>181269.78353233551</v>
      </c>
    </row>
    <row r="11" spans="1:9">
      <c r="A11" s="214" t="s">
        <v>762</v>
      </c>
      <c r="B11" s="204">
        <v>106773.6</v>
      </c>
      <c r="D11" s="215">
        <f t="shared" si="0"/>
        <v>0.10075749111454017</v>
      </c>
      <c r="F11" s="204">
        <f t="shared" si="1"/>
        <v>163936.15757465645</v>
      </c>
    </row>
    <row r="12" spans="1:9">
      <c r="A12" s="214" t="s">
        <v>793</v>
      </c>
      <c r="B12" s="204">
        <v>137754</v>
      </c>
      <c r="D12" s="215">
        <f t="shared" si="0"/>
        <v>0.12999231486989635</v>
      </c>
      <c r="F12" s="204">
        <f t="shared" si="1"/>
        <v>211502.29504801953</v>
      </c>
    </row>
    <row r="13" spans="1:9">
      <c r="A13" s="214" t="s">
        <v>984</v>
      </c>
      <c r="B13" s="204">
        <f>SUM(B4:B12)</f>
        <v>1059708.7999999998</v>
      </c>
      <c r="D13" s="204">
        <v>1627036.9156799999</v>
      </c>
    </row>
    <row r="16" spans="1:9">
      <c r="D16" t="s">
        <v>985</v>
      </c>
    </row>
    <row r="17" spans="1:6">
      <c r="A17" s="216" t="s">
        <v>259</v>
      </c>
      <c r="B17" s="209">
        <v>227586.4</v>
      </c>
      <c r="D17" s="215">
        <f>+B17/$B$20</f>
        <v>0.53964697959841801</v>
      </c>
      <c r="F17" s="204">
        <f>+D17*$D$20</f>
        <v>180180.555240788</v>
      </c>
    </row>
    <row r="18" spans="1:6">
      <c r="A18" s="214" t="s">
        <v>308</v>
      </c>
      <c r="B18" s="204">
        <v>128534.79999999999</v>
      </c>
      <c r="D18" s="215">
        <f t="shared" ref="D18:D19" si="2">+B18/$B$20</f>
        <v>0.30477839006762592</v>
      </c>
      <c r="F18" s="204">
        <f t="shared" ref="F18:F19" si="3">+D18*$D$20</f>
        <v>101761.22840276764</v>
      </c>
    </row>
    <row r="19" spans="1:6">
      <c r="A19" s="214" t="s">
        <v>766</v>
      </c>
      <c r="B19" s="204">
        <v>65610.799999999988</v>
      </c>
      <c r="D19" s="215">
        <f t="shared" si="2"/>
        <v>0.15557463033395616</v>
      </c>
      <c r="F19" s="204">
        <f t="shared" si="3"/>
        <v>51944.18635644437</v>
      </c>
    </row>
    <row r="20" spans="1:6">
      <c r="B20" s="204">
        <f>SUM(B17:B19)</f>
        <v>421731.99999999994</v>
      </c>
      <c r="D20" s="204">
        <v>333885.96999999997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F6" sqref="F6"/>
    </sheetView>
  </sheetViews>
  <sheetFormatPr defaultRowHeight="15"/>
  <cols>
    <col min="1" max="1" width="23.28515625" style="217" bestFit="1" customWidth="1"/>
    <col min="2" max="2" width="15.85546875" style="218" bestFit="1" customWidth="1"/>
    <col min="3" max="4" width="9.140625" style="217"/>
    <col min="5" max="5" width="23.28515625" style="217" bestFit="1" customWidth="1"/>
    <col min="6" max="6" width="15.85546875" style="218" bestFit="1" customWidth="1"/>
    <col min="7" max="7" width="20.140625" style="217" bestFit="1" customWidth="1"/>
    <col min="8" max="8" width="10.5703125" style="217" bestFit="1" customWidth="1"/>
    <col min="9" max="10" width="9.140625" style="217"/>
    <col min="11" max="11" width="10.5703125" style="217" bestFit="1" customWidth="1"/>
    <col min="12" max="16384" width="9.140625" style="217"/>
  </cols>
  <sheetData>
    <row r="1" spans="1:7">
      <c r="A1" s="217" t="s">
        <v>319</v>
      </c>
      <c r="B1" s="218" t="s">
        <v>330</v>
      </c>
    </row>
    <row r="2" spans="1:7">
      <c r="A2" s="217" t="s">
        <v>394</v>
      </c>
      <c r="B2" s="218">
        <v>-391000.5</v>
      </c>
      <c r="F2" s="218">
        <v>1000</v>
      </c>
    </row>
    <row r="3" spans="1:7">
      <c r="A3" s="217" t="s">
        <v>394</v>
      </c>
      <c r="B3" s="218">
        <v>-703800.9</v>
      </c>
      <c r="E3" s="217" t="s">
        <v>319</v>
      </c>
      <c r="F3" s="218" t="s">
        <v>330</v>
      </c>
    </row>
    <row r="4" spans="1:7">
      <c r="A4" s="217" t="s">
        <v>394</v>
      </c>
      <c r="B4" s="218">
        <v>-689999.2</v>
      </c>
      <c r="E4" s="217" t="s">
        <v>394</v>
      </c>
      <c r="F4" s="218">
        <v>8912.3493249999992</v>
      </c>
      <c r="G4" s="217" t="s">
        <v>260</v>
      </c>
    </row>
    <row r="5" spans="1:7">
      <c r="A5" s="217" t="s">
        <v>394</v>
      </c>
      <c r="B5" s="218">
        <v>-689999.2</v>
      </c>
      <c r="E5" s="217" t="s">
        <v>398</v>
      </c>
      <c r="F5" s="218">
        <v>5225.596199999999</v>
      </c>
      <c r="G5" s="217" t="s">
        <v>260</v>
      </c>
    </row>
    <row r="6" spans="1:7">
      <c r="A6" s="217" t="s">
        <v>398</v>
      </c>
      <c r="B6" s="218">
        <v>-658351.92500000005</v>
      </c>
      <c r="E6" s="217" t="s">
        <v>433</v>
      </c>
      <c r="F6" s="218">
        <v>-5950.7855967999994</v>
      </c>
      <c r="G6" s="217" t="s">
        <v>260</v>
      </c>
    </row>
    <row r="7" spans="1:7">
      <c r="A7" s="217" t="s">
        <v>398</v>
      </c>
      <c r="B7" s="218">
        <v>-1407601.8</v>
      </c>
      <c r="E7" s="217" t="s">
        <v>455</v>
      </c>
      <c r="F7" s="218">
        <v>30965.68764</v>
      </c>
      <c r="G7" s="217" t="s">
        <v>260</v>
      </c>
    </row>
    <row r="8" spans="1:7">
      <c r="A8" s="217" t="s">
        <v>398</v>
      </c>
      <c r="B8" s="218">
        <v>-344999.6</v>
      </c>
      <c r="E8" s="217" t="s">
        <v>497</v>
      </c>
      <c r="F8" s="218">
        <v>5610.2643849999995</v>
      </c>
      <c r="G8" s="217" t="s">
        <v>260</v>
      </c>
    </row>
    <row r="9" spans="1:7">
      <c r="A9" s="217" t="s">
        <v>433</v>
      </c>
      <c r="B9" s="218">
        <v>-1031371.11</v>
      </c>
      <c r="E9" s="217" t="s">
        <v>504</v>
      </c>
      <c r="F9" s="218">
        <v>28014.033465</v>
      </c>
      <c r="G9" s="217" t="s">
        <v>260</v>
      </c>
    </row>
    <row r="10" spans="1:7">
      <c r="A10" s="217" t="s">
        <v>433</v>
      </c>
      <c r="B10" s="218">
        <v>-442634.48680000001</v>
      </c>
      <c r="E10" s="217" t="s">
        <v>507</v>
      </c>
      <c r="F10" s="218">
        <v>16082.601700000003</v>
      </c>
      <c r="G10" s="217" t="s">
        <v>260</v>
      </c>
    </row>
    <row r="11" spans="1:7">
      <c r="A11" s="217" t="s">
        <v>433</v>
      </c>
      <c r="B11" s="218">
        <v>-658350</v>
      </c>
      <c r="E11" s="217" t="s">
        <v>514</v>
      </c>
      <c r="F11" s="218">
        <v>14921.797</v>
      </c>
      <c r="G11" s="217" t="s">
        <v>260</v>
      </c>
    </row>
    <row r="12" spans="1:7">
      <c r="A12" s="217" t="s">
        <v>433</v>
      </c>
      <c r="B12" s="218">
        <v>-1711710</v>
      </c>
      <c r="E12" s="217" t="s">
        <v>517</v>
      </c>
      <c r="F12" s="218">
        <v>11321.693294999997</v>
      </c>
      <c r="G12" s="217" t="s">
        <v>260</v>
      </c>
    </row>
    <row r="13" spans="1:7">
      <c r="A13" s="217" t="s">
        <v>433</v>
      </c>
      <c r="B13" s="218">
        <v>-131670</v>
      </c>
      <c r="E13" s="217" t="s">
        <v>520</v>
      </c>
      <c r="F13" s="218">
        <v>19950.590990000001</v>
      </c>
      <c r="G13" s="217" t="s">
        <v>260</v>
      </c>
    </row>
    <row r="14" spans="1:7">
      <c r="A14" s="217" t="s">
        <v>433</v>
      </c>
      <c r="B14" s="218">
        <v>-1975050</v>
      </c>
      <c r="E14" s="217" t="s">
        <v>535</v>
      </c>
      <c r="F14" s="218">
        <v>10119.355125</v>
      </c>
      <c r="G14" s="217" t="s">
        <v>260</v>
      </c>
    </row>
    <row r="15" spans="1:7">
      <c r="A15" s="217" t="s">
        <v>394</v>
      </c>
      <c r="B15" s="218">
        <v>-658351.92500000005</v>
      </c>
      <c r="E15" s="217" t="s">
        <v>538</v>
      </c>
      <c r="F15" s="218">
        <v>11894.501849999999</v>
      </c>
      <c r="G15" s="217" t="s">
        <v>260</v>
      </c>
    </row>
    <row r="16" spans="1:7">
      <c r="A16" s="217" t="s">
        <v>394</v>
      </c>
      <c r="B16" s="218">
        <v>-1173001.5</v>
      </c>
      <c r="E16" s="217" t="s">
        <v>581</v>
      </c>
      <c r="F16" s="218">
        <v>5275.0237100000004</v>
      </c>
      <c r="G16" s="217" t="s">
        <v>260</v>
      </c>
    </row>
    <row r="17" spans="1:11">
      <c r="A17" s="217" t="s">
        <v>394</v>
      </c>
      <c r="B17" s="218">
        <v>-689999.2</v>
      </c>
      <c r="E17" s="217" t="s">
        <v>584</v>
      </c>
      <c r="F17" s="218">
        <v>5281.3494249999994</v>
      </c>
      <c r="G17" s="217" t="s">
        <v>260</v>
      </c>
    </row>
    <row r="18" spans="1:11">
      <c r="A18" s="217" t="s">
        <v>394</v>
      </c>
      <c r="B18" s="218">
        <v>-344999.6</v>
      </c>
      <c r="E18" s="217" t="s">
        <v>605</v>
      </c>
      <c r="F18" s="218">
        <v>8221.0094999999983</v>
      </c>
      <c r="G18" s="217" t="s">
        <v>260</v>
      </c>
    </row>
    <row r="19" spans="1:11">
      <c r="A19" s="217" t="s">
        <v>394</v>
      </c>
      <c r="B19" s="218">
        <v>-1103998.5</v>
      </c>
      <c r="E19" s="217" t="s">
        <v>632</v>
      </c>
      <c r="F19" s="218">
        <v>5280.7952999999998</v>
      </c>
      <c r="G19" s="217" t="s">
        <v>260</v>
      </c>
    </row>
    <row r="20" spans="1:11">
      <c r="A20" s="217" t="s">
        <v>394</v>
      </c>
      <c r="B20" s="218">
        <v>-689999.2</v>
      </c>
      <c r="E20" s="217" t="s">
        <v>635</v>
      </c>
      <c r="F20" s="218">
        <v>4553.9944999999998</v>
      </c>
      <c r="G20" s="217" t="s">
        <v>260</v>
      </c>
    </row>
    <row r="21" spans="1:11">
      <c r="A21" s="217" t="s">
        <v>455</v>
      </c>
      <c r="B21" s="218">
        <v>-3005263</v>
      </c>
      <c r="E21" s="217" t="s">
        <v>683</v>
      </c>
      <c r="F21" s="218">
        <v>5263.1975000000002</v>
      </c>
      <c r="G21" s="217" t="s">
        <v>260</v>
      </c>
      <c r="H21" s="219">
        <f>SUM(F4:F21)</f>
        <v>190943.05531319999</v>
      </c>
      <c r="I21" s="217">
        <v>46344.32</v>
      </c>
      <c r="K21" s="219">
        <f>+H21+I21</f>
        <v>237287.3753132</v>
      </c>
    </row>
    <row r="22" spans="1:11">
      <c r="A22" s="217" t="s">
        <v>455</v>
      </c>
      <c r="B22" s="218">
        <v>660000</v>
      </c>
      <c r="E22" s="217" t="s">
        <v>442</v>
      </c>
      <c r="F22" s="218">
        <v>4881.6993499999999</v>
      </c>
      <c r="G22" s="217" t="s">
        <v>255</v>
      </c>
    </row>
    <row r="23" spans="1:11">
      <c r="A23" s="217" t="s">
        <v>455</v>
      </c>
      <c r="B23" s="218">
        <v>990000</v>
      </c>
      <c r="E23" s="217" t="s">
        <v>482</v>
      </c>
      <c r="F23" s="218">
        <v>178575.11473999999</v>
      </c>
      <c r="G23" s="217" t="s">
        <v>255</v>
      </c>
    </row>
    <row r="24" spans="1:11">
      <c r="A24" s="217" t="s">
        <v>455</v>
      </c>
      <c r="B24" s="218">
        <v>660000</v>
      </c>
      <c r="E24" t="s">
        <v>510</v>
      </c>
      <c r="F24" s="218">
        <v>19831.110750000003</v>
      </c>
      <c r="G24" s="217" t="s">
        <v>255</v>
      </c>
    </row>
    <row r="25" spans="1:11">
      <c r="A25" s="217" t="s">
        <v>455</v>
      </c>
      <c r="B25" s="218">
        <v>1173001.5</v>
      </c>
      <c r="E25" s="217" t="s">
        <v>577</v>
      </c>
      <c r="F25" s="218">
        <v>12936.751025</v>
      </c>
      <c r="G25" s="217" t="s">
        <v>255</v>
      </c>
      <c r="H25" s="219">
        <f>SUM(F22:F25)</f>
        <v>216224.675865</v>
      </c>
      <c r="I25" s="217">
        <v>73576.36</v>
      </c>
      <c r="K25" s="219">
        <f>+H25+I25</f>
        <v>289801.03586499998</v>
      </c>
    </row>
    <row r="26" spans="1:11">
      <c r="A26" s="217" t="s">
        <v>455</v>
      </c>
      <c r="B26" s="218">
        <v>990000</v>
      </c>
    </row>
    <row r="27" spans="1:11">
      <c r="A27" s="217" t="s">
        <v>455</v>
      </c>
      <c r="B27" s="218">
        <v>1056000</v>
      </c>
      <c r="I27" s="217">
        <f>+I21+I25</f>
        <v>119920.68</v>
      </c>
    </row>
    <row r="28" spans="1:11">
      <c r="A28" s="217" t="s">
        <v>497</v>
      </c>
      <c r="B28" s="218">
        <v>131670.38500000001</v>
      </c>
    </row>
    <row r="29" spans="1:11">
      <c r="A29" s="217" t="s">
        <v>497</v>
      </c>
      <c r="B29" s="218">
        <v>234600.3</v>
      </c>
    </row>
    <row r="30" spans="1:11">
      <c r="A30" s="217" t="s">
        <v>497</v>
      </c>
      <c r="B30" s="218">
        <v>1379998.4</v>
      </c>
    </row>
    <row r="31" spans="1:11">
      <c r="A31" s="217" t="s">
        <v>497</v>
      </c>
      <c r="B31" s="218">
        <v>1379998.4</v>
      </c>
    </row>
    <row r="32" spans="1:11">
      <c r="A32" s="217" t="s">
        <v>497</v>
      </c>
      <c r="B32" s="218">
        <v>1103998.5</v>
      </c>
    </row>
    <row r="33" spans="1:2">
      <c r="A33" s="217" t="s">
        <v>497</v>
      </c>
      <c r="B33" s="218">
        <v>1379998.4</v>
      </c>
    </row>
    <row r="34" spans="1:2">
      <c r="A34" s="217" t="s">
        <v>394</v>
      </c>
      <c r="B34" s="218">
        <v>658351.92500000005</v>
      </c>
    </row>
    <row r="35" spans="1:2">
      <c r="A35" s="217" t="s">
        <v>394</v>
      </c>
      <c r="B35" s="218">
        <v>1173001.5</v>
      </c>
    </row>
    <row r="36" spans="1:2">
      <c r="A36" s="217" t="s">
        <v>394</v>
      </c>
      <c r="B36" s="218">
        <v>689999.2</v>
      </c>
    </row>
    <row r="37" spans="1:2">
      <c r="A37" s="217" t="s">
        <v>394</v>
      </c>
      <c r="B37" s="218">
        <v>344999.6</v>
      </c>
    </row>
    <row r="38" spans="1:2">
      <c r="A38" s="217" t="s">
        <v>394</v>
      </c>
      <c r="B38" s="218">
        <v>1103998.5</v>
      </c>
    </row>
    <row r="39" spans="1:2">
      <c r="A39" s="217" t="s">
        <v>394</v>
      </c>
      <c r="B39" s="218">
        <v>689999.2</v>
      </c>
    </row>
    <row r="40" spans="1:2">
      <c r="A40" s="217" t="s">
        <v>504</v>
      </c>
      <c r="B40" s="218">
        <v>263340.77</v>
      </c>
    </row>
    <row r="41" spans="1:2">
      <c r="A41" s="217" t="s">
        <v>504</v>
      </c>
      <c r="B41" s="218">
        <v>782001</v>
      </c>
    </row>
    <row r="42" spans="1:2">
      <c r="A42" s="217" t="s">
        <v>504</v>
      </c>
      <c r="B42" s="218">
        <v>1642202.1</v>
      </c>
    </row>
    <row r="43" spans="1:2">
      <c r="A43" s="217" t="s">
        <v>504</v>
      </c>
      <c r="B43" s="218">
        <v>2759996.8</v>
      </c>
    </row>
    <row r="44" spans="1:2">
      <c r="A44" s="217" t="s">
        <v>504</v>
      </c>
      <c r="B44" s="218">
        <v>1379998.4</v>
      </c>
    </row>
    <row r="45" spans="1:2">
      <c r="A45" s="217" t="s">
        <v>504</v>
      </c>
      <c r="B45" s="218">
        <v>1034998.8</v>
      </c>
    </row>
    <row r="46" spans="1:2">
      <c r="A46" s="217" t="s">
        <v>507</v>
      </c>
      <c r="B46" s="218">
        <v>782001</v>
      </c>
    </row>
    <row r="47" spans="1:2">
      <c r="A47" s="217" t="s">
        <v>507</v>
      </c>
      <c r="B47" s="218">
        <v>469200.6</v>
      </c>
    </row>
    <row r="48" spans="1:2">
      <c r="A48" s="217" t="s">
        <v>507</v>
      </c>
      <c r="B48" s="218">
        <v>689999.2</v>
      </c>
    </row>
    <row r="49" spans="1:2">
      <c r="A49" s="217" t="s">
        <v>507</v>
      </c>
      <c r="B49" s="218">
        <v>689999.2</v>
      </c>
    </row>
    <row r="50" spans="1:2">
      <c r="A50" s="217" t="s">
        <v>507</v>
      </c>
      <c r="B50" s="218">
        <v>1839997.5</v>
      </c>
    </row>
    <row r="51" spans="1:2">
      <c r="A51" s="217" t="s">
        <v>507</v>
      </c>
      <c r="B51" s="218">
        <v>1034998.8</v>
      </c>
    </row>
    <row r="52" spans="1:2">
      <c r="A52" s="217" t="s">
        <v>514</v>
      </c>
      <c r="B52" s="218">
        <v>1955002.5</v>
      </c>
    </row>
    <row r="53" spans="1:2">
      <c r="A53" s="217" t="s">
        <v>514</v>
      </c>
      <c r="B53" s="218">
        <v>703800.9</v>
      </c>
    </row>
    <row r="54" spans="1:2">
      <c r="A54" s="217" t="s">
        <v>514</v>
      </c>
      <c r="B54" s="218">
        <v>1034998.8</v>
      </c>
    </row>
    <row r="55" spans="1:2">
      <c r="A55" s="217" t="s">
        <v>514</v>
      </c>
      <c r="B55" s="218">
        <v>1034998.8</v>
      </c>
    </row>
    <row r="56" spans="1:2">
      <c r="A56" s="217" t="s">
        <v>514</v>
      </c>
      <c r="B56" s="218">
        <v>1839997.5</v>
      </c>
    </row>
    <row r="57" spans="1:2">
      <c r="A57" s="217" t="s">
        <v>514</v>
      </c>
      <c r="B57" s="218">
        <v>1724998</v>
      </c>
    </row>
    <row r="58" spans="1:2">
      <c r="A58" s="217" t="s">
        <v>517</v>
      </c>
      <c r="B58" s="218">
        <v>921692.69499999995</v>
      </c>
    </row>
    <row r="59" spans="1:2">
      <c r="A59" s="217" t="s">
        <v>517</v>
      </c>
      <c r="B59" s="218">
        <v>391000.5</v>
      </c>
    </row>
    <row r="60" spans="1:2">
      <c r="A60" s="217" t="s">
        <v>517</v>
      </c>
      <c r="B60" s="218">
        <v>938401.2</v>
      </c>
    </row>
    <row r="61" spans="1:2">
      <c r="A61" s="217" t="s">
        <v>517</v>
      </c>
      <c r="B61" s="218">
        <v>689999.2</v>
      </c>
    </row>
    <row r="62" spans="1:2">
      <c r="A62" s="217" t="s">
        <v>517</v>
      </c>
      <c r="B62" s="218">
        <v>1034998.8</v>
      </c>
    </row>
    <row r="63" spans="1:2">
      <c r="A63" s="217" t="s">
        <v>517</v>
      </c>
      <c r="B63" s="218">
        <v>1103998.5</v>
      </c>
    </row>
    <row r="64" spans="1:2">
      <c r="A64" s="217" t="s">
        <v>517</v>
      </c>
      <c r="B64" s="218">
        <v>689999.2</v>
      </c>
    </row>
    <row r="65" spans="1:2">
      <c r="A65" s="217" t="s">
        <v>520</v>
      </c>
      <c r="B65" s="218">
        <v>2346003</v>
      </c>
    </row>
    <row r="66" spans="1:2">
      <c r="A66" s="217" t="s">
        <v>520</v>
      </c>
      <c r="B66" s="218">
        <v>660000</v>
      </c>
    </row>
    <row r="67" spans="1:2">
      <c r="A67" s="217" t="s">
        <v>520</v>
      </c>
      <c r="B67" s="218">
        <v>703800.9</v>
      </c>
    </row>
    <row r="68" spans="1:2">
      <c r="A68" s="217" t="s">
        <v>520</v>
      </c>
      <c r="B68" s="218">
        <v>3520000</v>
      </c>
    </row>
    <row r="69" spans="1:2">
      <c r="A69" s="217" t="s">
        <v>535</v>
      </c>
      <c r="B69" s="218">
        <v>658351.92500000005</v>
      </c>
    </row>
    <row r="70" spans="1:2">
      <c r="A70" s="217" t="s">
        <v>535</v>
      </c>
      <c r="B70" s="218">
        <v>2346003</v>
      </c>
    </row>
    <row r="71" spans="1:2">
      <c r="A71" s="217" t="s">
        <v>535</v>
      </c>
      <c r="B71" s="218">
        <v>689999.2</v>
      </c>
    </row>
    <row r="72" spans="1:2">
      <c r="A72" s="217" t="s">
        <v>535</v>
      </c>
      <c r="B72" s="218">
        <v>344999.6</v>
      </c>
    </row>
    <row r="73" spans="1:2">
      <c r="A73" s="217" t="s">
        <v>535</v>
      </c>
      <c r="B73" s="218">
        <v>735999</v>
      </c>
    </row>
    <row r="74" spans="1:2">
      <c r="A74" s="217" t="s">
        <v>538</v>
      </c>
      <c r="B74" s="218">
        <v>1316703.8500000001</v>
      </c>
    </row>
    <row r="75" spans="1:2">
      <c r="A75" s="217" t="s">
        <v>538</v>
      </c>
      <c r="B75" s="218">
        <v>1173001.5</v>
      </c>
    </row>
    <row r="76" spans="1:2">
      <c r="A76" s="217" t="s">
        <v>538</v>
      </c>
      <c r="B76" s="218">
        <v>1724998</v>
      </c>
    </row>
    <row r="77" spans="1:2">
      <c r="A77" s="217" t="s">
        <v>538</v>
      </c>
      <c r="B77" s="218">
        <v>1034998.8</v>
      </c>
    </row>
    <row r="78" spans="1:2">
      <c r="A78" s="217" t="s">
        <v>538</v>
      </c>
      <c r="B78" s="218">
        <v>1103998.5</v>
      </c>
    </row>
    <row r="79" spans="1:2">
      <c r="A79" s="217" t="s">
        <v>455</v>
      </c>
      <c r="B79" s="218">
        <v>1265403.7</v>
      </c>
    </row>
    <row r="80" spans="1:2">
      <c r="A80" s="217" t="s">
        <v>455</v>
      </c>
      <c r="B80" s="218">
        <v>660000</v>
      </c>
    </row>
    <row r="81" spans="1:2">
      <c r="A81" s="217" t="s">
        <v>455</v>
      </c>
      <c r="B81" s="218">
        <v>469200.6</v>
      </c>
    </row>
    <row r="82" spans="1:2">
      <c r="A82" s="217" t="s">
        <v>455</v>
      </c>
      <c r="B82" s="218">
        <v>660000</v>
      </c>
    </row>
    <row r="83" spans="1:2">
      <c r="A83" s="217" t="s">
        <v>455</v>
      </c>
      <c r="B83" s="218">
        <v>660000</v>
      </c>
    </row>
    <row r="84" spans="1:2">
      <c r="A84" s="217" t="s">
        <v>455</v>
      </c>
      <c r="B84" s="218">
        <v>469200.6</v>
      </c>
    </row>
    <row r="85" spans="1:2">
      <c r="A85" s="217" t="s">
        <v>455</v>
      </c>
      <c r="B85" s="218">
        <v>704000</v>
      </c>
    </row>
    <row r="86" spans="1:2">
      <c r="A86" s="217" t="s">
        <v>504</v>
      </c>
      <c r="B86" s="218">
        <v>921692.69499999995</v>
      </c>
    </row>
    <row r="87" spans="1:2">
      <c r="A87" s="217" t="s">
        <v>504</v>
      </c>
      <c r="B87" s="218">
        <v>1564002</v>
      </c>
    </row>
    <row r="88" spans="1:2">
      <c r="A88" s="217" t="s">
        <v>504</v>
      </c>
      <c r="B88" s="218">
        <v>1876802.4</v>
      </c>
    </row>
    <row r="89" spans="1:2">
      <c r="A89" s="217" t="s">
        <v>504</v>
      </c>
      <c r="B89" s="218">
        <v>2414997.2000000002</v>
      </c>
    </row>
    <row r="90" spans="1:2">
      <c r="A90" s="217" t="s">
        <v>504</v>
      </c>
      <c r="B90" s="218">
        <v>1724998</v>
      </c>
    </row>
    <row r="91" spans="1:2">
      <c r="A91" s="217" t="s">
        <v>504</v>
      </c>
      <c r="B91" s="218">
        <v>367999.5</v>
      </c>
    </row>
    <row r="92" spans="1:2">
      <c r="A92" s="217" t="s">
        <v>507</v>
      </c>
      <c r="B92" s="218">
        <v>1955002.5</v>
      </c>
    </row>
    <row r="93" spans="1:2">
      <c r="A93" s="217" t="s">
        <v>507</v>
      </c>
      <c r="B93" s="218">
        <v>1642202.1</v>
      </c>
    </row>
    <row r="94" spans="1:2">
      <c r="A94" s="217" t="s">
        <v>507</v>
      </c>
      <c r="B94" s="218">
        <v>1034998.8</v>
      </c>
    </row>
    <row r="95" spans="1:2">
      <c r="A95" s="217" t="s">
        <v>507</v>
      </c>
      <c r="B95" s="218">
        <v>1034998.8</v>
      </c>
    </row>
    <row r="96" spans="1:2">
      <c r="A96" s="217" t="s">
        <v>581</v>
      </c>
      <c r="B96" s="218">
        <v>790022.31</v>
      </c>
    </row>
    <row r="97" spans="1:2">
      <c r="A97" s="217" t="s">
        <v>581</v>
      </c>
      <c r="B97" s="218">
        <v>2737003.5</v>
      </c>
    </row>
    <row r="98" spans="1:2">
      <c r="A98" s="217" t="s">
        <v>581</v>
      </c>
      <c r="B98" s="218">
        <v>1379998.4</v>
      </c>
    </row>
    <row r="99" spans="1:2">
      <c r="A99" s="217" t="s">
        <v>581</v>
      </c>
      <c r="B99" s="218">
        <v>367999.5</v>
      </c>
    </row>
    <row r="100" spans="1:2">
      <c r="A100" s="217" t="s">
        <v>584</v>
      </c>
      <c r="B100" s="218">
        <v>658351.92500000005</v>
      </c>
    </row>
    <row r="101" spans="1:2">
      <c r="A101" s="217" t="s">
        <v>584</v>
      </c>
      <c r="B101" s="218">
        <v>1173001.5</v>
      </c>
    </row>
    <row r="102" spans="1:2">
      <c r="A102" s="217" t="s">
        <v>584</v>
      </c>
      <c r="B102" s="218">
        <v>1724998</v>
      </c>
    </row>
    <row r="103" spans="1:2">
      <c r="A103" s="217" t="s">
        <v>584</v>
      </c>
      <c r="B103" s="218">
        <v>1724998</v>
      </c>
    </row>
    <row r="104" spans="1:2">
      <c r="A104" s="217" t="s">
        <v>398</v>
      </c>
      <c r="B104" s="218">
        <v>782001</v>
      </c>
    </row>
    <row r="105" spans="1:2">
      <c r="A105" s="217" t="s">
        <v>398</v>
      </c>
      <c r="B105" s="218">
        <v>234600.3</v>
      </c>
    </row>
    <row r="106" spans="1:2">
      <c r="A106" s="217" t="s">
        <v>398</v>
      </c>
      <c r="B106" s="218">
        <v>1724998</v>
      </c>
    </row>
    <row r="107" spans="1:2">
      <c r="A107" s="217" t="s">
        <v>398</v>
      </c>
      <c r="B107" s="218">
        <v>1724998</v>
      </c>
    </row>
    <row r="108" spans="1:2">
      <c r="A108" s="217" t="s">
        <v>398</v>
      </c>
      <c r="B108" s="218">
        <v>1103998.5</v>
      </c>
    </row>
    <row r="109" spans="1:2">
      <c r="A109" s="217" t="s">
        <v>605</v>
      </c>
      <c r="B109" s="218">
        <v>2530807.4</v>
      </c>
    </row>
    <row r="110" spans="1:2">
      <c r="A110" s="217" t="s">
        <v>605</v>
      </c>
      <c r="B110" s="218">
        <v>748000</v>
      </c>
    </row>
    <row r="111" spans="1:2">
      <c r="A111" s="217" t="s">
        <v>605</v>
      </c>
      <c r="B111" s="218">
        <v>703800.9</v>
      </c>
    </row>
    <row r="112" spans="1:2">
      <c r="A112" s="217" t="s">
        <v>605</v>
      </c>
      <c r="B112" s="218">
        <v>469200.6</v>
      </c>
    </row>
    <row r="113" spans="1:2">
      <c r="A113" s="217" t="s">
        <v>455</v>
      </c>
      <c r="B113" s="218">
        <v>21764943.640000001</v>
      </c>
    </row>
    <row r="114" spans="1:2">
      <c r="A114" s="217" t="s">
        <v>455</v>
      </c>
      <c r="B114" s="218">
        <v>469200.6</v>
      </c>
    </row>
    <row r="115" spans="1:2">
      <c r="A115" s="217" t="s">
        <v>455</v>
      </c>
      <c r="B115" s="218">
        <v>330000</v>
      </c>
    </row>
    <row r="116" spans="1:2">
      <c r="A116" s="217" t="s">
        <v>455</v>
      </c>
      <c r="B116" s="218">
        <v>990000</v>
      </c>
    </row>
    <row r="117" spans="1:2">
      <c r="A117" s="217" t="s">
        <v>398</v>
      </c>
      <c r="B117" s="218">
        <v>658351.92500000005</v>
      </c>
    </row>
    <row r="118" spans="1:2">
      <c r="A118" s="217" t="s">
        <v>398</v>
      </c>
      <c r="B118" s="218">
        <v>1407601.8</v>
      </c>
    </row>
    <row r="119" spans="1:2">
      <c r="A119" s="217" t="s">
        <v>394</v>
      </c>
      <c r="B119" s="218">
        <v>391000.5</v>
      </c>
    </row>
    <row r="120" spans="1:2">
      <c r="A120" s="217" t="s">
        <v>394</v>
      </c>
      <c r="B120" s="218">
        <v>469200.6</v>
      </c>
    </row>
    <row r="121" spans="1:2">
      <c r="A121" s="217" t="s">
        <v>394</v>
      </c>
      <c r="B121" s="218">
        <v>689999.2</v>
      </c>
    </row>
    <row r="122" spans="1:2">
      <c r="A122" s="217" t="s">
        <v>394</v>
      </c>
      <c r="B122" s="218">
        <v>689999.2</v>
      </c>
    </row>
    <row r="123" spans="1:2">
      <c r="A123" s="217" t="s">
        <v>520</v>
      </c>
      <c r="B123" s="218">
        <v>253080.74</v>
      </c>
    </row>
    <row r="124" spans="1:2">
      <c r="A124" s="217" t="s">
        <v>520</v>
      </c>
      <c r="B124" s="218">
        <v>748000</v>
      </c>
    </row>
    <row r="125" spans="1:2">
      <c r="A125" s="217" t="s">
        <v>520</v>
      </c>
      <c r="B125" s="218">
        <v>703800.9</v>
      </c>
    </row>
    <row r="126" spans="1:2">
      <c r="A126" s="217" t="s">
        <v>520</v>
      </c>
      <c r="B126" s="218">
        <v>990000</v>
      </c>
    </row>
    <row r="127" spans="1:2">
      <c r="A127" s="217" t="s">
        <v>520</v>
      </c>
      <c r="B127" s="218">
        <v>660000</v>
      </c>
    </row>
    <row r="128" spans="1:2">
      <c r="A128" s="217" t="s">
        <v>520</v>
      </c>
      <c r="B128" s="218">
        <v>469200.6</v>
      </c>
    </row>
    <row r="129" spans="1:2">
      <c r="A129" s="217" t="s">
        <v>520</v>
      </c>
      <c r="B129" s="218">
        <v>3520000</v>
      </c>
    </row>
    <row r="130" spans="1:2">
      <c r="A130" s="217" t="s">
        <v>504</v>
      </c>
      <c r="B130" s="218">
        <v>342001</v>
      </c>
    </row>
    <row r="131" spans="1:2">
      <c r="A131" s="217" t="s">
        <v>504</v>
      </c>
      <c r="B131" s="218">
        <v>1173001.5</v>
      </c>
    </row>
    <row r="132" spans="1:2">
      <c r="A132" s="217" t="s">
        <v>504</v>
      </c>
      <c r="B132" s="218">
        <v>2346003</v>
      </c>
    </row>
    <row r="133" spans="1:2">
      <c r="A133" s="217" t="s">
        <v>504</v>
      </c>
      <c r="B133" s="218">
        <v>2759996.8</v>
      </c>
    </row>
    <row r="134" spans="1:2">
      <c r="A134" s="217" t="s">
        <v>504</v>
      </c>
      <c r="B134" s="218">
        <v>1724998</v>
      </c>
    </row>
    <row r="135" spans="1:2">
      <c r="A135" s="217" t="s">
        <v>504</v>
      </c>
      <c r="B135" s="218">
        <v>735999</v>
      </c>
    </row>
    <row r="136" spans="1:2">
      <c r="A136" s="217" t="s">
        <v>507</v>
      </c>
      <c r="B136" s="218">
        <v>1197003.5</v>
      </c>
    </row>
    <row r="137" spans="1:2">
      <c r="A137" s="217" t="s">
        <v>507</v>
      </c>
      <c r="B137" s="218">
        <v>1173001.5</v>
      </c>
    </row>
    <row r="138" spans="1:2">
      <c r="A138" s="217" t="s">
        <v>507</v>
      </c>
      <c r="B138" s="218">
        <v>469200.6</v>
      </c>
    </row>
    <row r="139" spans="1:2">
      <c r="A139" s="217" t="s">
        <v>507</v>
      </c>
      <c r="B139" s="218">
        <v>1034998.8</v>
      </c>
    </row>
    <row r="140" spans="1:2">
      <c r="A140" s="217" t="s">
        <v>507</v>
      </c>
      <c r="B140" s="218">
        <v>1034998.8</v>
      </c>
    </row>
    <row r="141" spans="1:2">
      <c r="A141" s="217" t="s">
        <v>514</v>
      </c>
      <c r="B141" s="218">
        <v>855002.5</v>
      </c>
    </row>
    <row r="142" spans="1:2">
      <c r="A142" s="217" t="s">
        <v>514</v>
      </c>
      <c r="B142" s="218">
        <v>1955002.5</v>
      </c>
    </row>
    <row r="143" spans="1:2">
      <c r="A143" s="217" t="s">
        <v>514</v>
      </c>
      <c r="B143" s="218">
        <v>1724998</v>
      </c>
    </row>
    <row r="144" spans="1:2">
      <c r="A144" s="217" t="s">
        <v>514</v>
      </c>
      <c r="B144" s="218">
        <v>1724998</v>
      </c>
    </row>
    <row r="145" spans="1:2">
      <c r="A145" s="217" t="s">
        <v>514</v>
      </c>
      <c r="B145" s="218">
        <v>367999.5</v>
      </c>
    </row>
    <row r="146" spans="1:2">
      <c r="A146" s="217" t="s">
        <v>632</v>
      </c>
      <c r="B146" s="218">
        <v>703800.9</v>
      </c>
    </row>
    <row r="147" spans="1:2">
      <c r="A147" s="217" t="s">
        <v>632</v>
      </c>
      <c r="B147" s="218">
        <v>1379998.4</v>
      </c>
    </row>
    <row r="148" spans="1:2">
      <c r="A148" s="217" t="s">
        <v>632</v>
      </c>
      <c r="B148" s="218">
        <v>1724998</v>
      </c>
    </row>
    <row r="149" spans="1:2">
      <c r="A149" s="217" t="s">
        <v>632</v>
      </c>
      <c r="B149" s="218">
        <v>1471998</v>
      </c>
    </row>
    <row r="150" spans="1:2">
      <c r="A150" s="217" t="s">
        <v>635</v>
      </c>
      <c r="B150" s="218">
        <v>2069997.6</v>
      </c>
    </row>
    <row r="151" spans="1:2">
      <c r="A151" s="217" t="s">
        <v>635</v>
      </c>
      <c r="B151" s="218">
        <v>1379998.4</v>
      </c>
    </row>
    <row r="152" spans="1:2">
      <c r="A152" s="217" t="s">
        <v>635</v>
      </c>
      <c r="B152" s="218">
        <v>1103998.5</v>
      </c>
    </row>
    <row r="153" spans="1:2">
      <c r="A153" s="217" t="s">
        <v>517</v>
      </c>
      <c r="B153" s="218">
        <v>855002.5</v>
      </c>
    </row>
    <row r="154" spans="1:2">
      <c r="A154" s="217" t="s">
        <v>517</v>
      </c>
      <c r="B154" s="218">
        <v>1173001.5</v>
      </c>
    </row>
    <row r="155" spans="1:2">
      <c r="A155" s="217" t="s">
        <v>517</v>
      </c>
      <c r="B155" s="218">
        <v>1407601.8</v>
      </c>
    </row>
    <row r="156" spans="1:2">
      <c r="A156" s="217" t="s">
        <v>517</v>
      </c>
      <c r="B156" s="218">
        <v>689999.2</v>
      </c>
    </row>
    <row r="157" spans="1:2">
      <c r="A157" s="217" t="s">
        <v>517</v>
      </c>
      <c r="B157" s="218">
        <v>689999.2</v>
      </c>
    </row>
    <row r="158" spans="1:2">
      <c r="A158" s="217" t="s">
        <v>517</v>
      </c>
      <c r="B158" s="218">
        <v>735999</v>
      </c>
    </row>
    <row r="159" spans="1:2">
      <c r="A159" s="217" t="s">
        <v>394</v>
      </c>
      <c r="B159" s="218">
        <v>342001</v>
      </c>
    </row>
    <row r="160" spans="1:2">
      <c r="A160" s="217" t="s">
        <v>394</v>
      </c>
      <c r="B160" s="218">
        <v>1407601.8</v>
      </c>
    </row>
    <row r="161" spans="1:2">
      <c r="A161" s="217" t="s">
        <v>394</v>
      </c>
      <c r="B161" s="218">
        <v>1724998</v>
      </c>
    </row>
    <row r="162" spans="1:2">
      <c r="A162" s="217" t="s">
        <v>394</v>
      </c>
      <c r="B162" s="218">
        <v>1379998.4</v>
      </c>
    </row>
    <row r="163" spans="1:2">
      <c r="A163" s="217" t="s">
        <v>538</v>
      </c>
      <c r="B163" s="218">
        <v>513001.5</v>
      </c>
    </row>
    <row r="164" spans="1:2">
      <c r="A164" s="217" t="s">
        <v>538</v>
      </c>
      <c r="B164" s="218">
        <v>1564002</v>
      </c>
    </row>
    <row r="165" spans="1:2">
      <c r="A165" s="217" t="s">
        <v>538</v>
      </c>
      <c r="B165" s="218">
        <v>703800.9</v>
      </c>
    </row>
    <row r="166" spans="1:2">
      <c r="A166" s="217" t="s">
        <v>538</v>
      </c>
      <c r="B166" s="218">
        <v>1724998</v>
      </c>
    </row>
    <row r="167" spans="1:2">
      <c r="A167" s="217" t="s">
        <v>538</v>
      </c>
      <c r="B167" s="218">
        <v>1034998.8</v>
      </c>
    </row>
    <row r="168" spans="1:2">
      <c r="A168" s="217" t="s">
        <v>520</v>
      </c>
      <c r="B168" s="218">
        <v>632701.85</v>
      </c>
    </row>
    <row r="169" spans="1:2">
      <c r="A169" s="217" t="s">
        <v>520</v>
      </c>
      <c r="B169" s="218">
        <v>748000</v>
      </c>
    </row>
    <row r="170" spans="1:2">
      <c r="A170" s="217" t="s">
        <v>520</v>
      </c>
      <c r="B170" s="218">
        <v>990000</v>
      </c>
    </row>
    <row r="171" spans="1:2">
      <c r="A171" s="217" t="s">
        <v>520</v>
      </c>
      <c r="B171" s="218">
        <v>660000</v>
      </c>
    </row>
    <row r="172" spans="1:2">
      <c r="A172" s="217" t="s">
        <v>520</v>
      </c>
      <c r="B172" s="218">
        <v>2346003</v>
      </c>
    </row>
    <row r="173" spans="1:2">
      <c r="A173" s="217" t="s">
        <v>605</v>
      </c>
      <c r="B173" s="218">
        <v>469200.6</v>
      </c>
    </row>
    <row r="174" spans="1:2">
      <c r="A174" s="217" t="s">
        <v>605</v>
      </c>
      <c r="B174" s="218">
        <v>3300000</v>
      </c>
    </row>
    <row r="175" spans="1:2">
      <c r="A175" s="217" t="s">
        <v>504</v>
      </c>
      <c r="B175" s="218">
        <v>1026003</v>
      </c>
    </row>
    <row r="176" spans="1:2">
      <c r="A176" s="217" t="s">
        <v>504</v>
      </c>
      <c r="B176" s="218">
        <v>1173001.5</v>
      </c>
    </row>
    <row r="177" spans="1:2">
      <c r="A177" s="217" t="s">
        <v>535</v>
      </c>
      <c r="B177" s="218">
        <v>1710005</v>
      </c>
    </row>
    <row r="178" spans="1:2">
      <c r="A178" s="217" t="s">
        <v>535</v>
      </c>
      <c r="B178" s="218">
        <v>782001</v>
      </c>
    </row>
    <row r="179" spans="1:2">
      <c r="A179" s="217" t="s">
        <v>535</v>
      </c>
      <c r="B179" s="218">
        <v>689999.2</v>
      </c>
    </row>
    <row r="180" spans="1:2">
      <c r="A180" s="217" t="s">
        <v>535</v>
      </c>
      <c r="B180" s="218">
        <v>689999.2</v>
      </c>
    </row>
    <row r="181" spans="1:2">
      <c r="A181" s="217" t="s">
        <v>535</v>
      </c>
      <c r="B181" s="218">
        <v>1471998</v>
      </c>
    </row>
    <row r="182" spans="1:2">
      <c r="A182" s="217" t="s">
        <v>683</v>
      </c>
      <c r="B182" s="218">
        <v>171000.5</v>
      </c>
    </row>
    <row r="183" spans="1:2">
      <c r="A183" s="217" t="s">
        <v>683</v>
      </c>
      <c r="B183" s="218">
        <v>782001</v>
      </c>
    </row>
    <row r="184" spans="1:2">
      <c r="A184" s="217" t="s">
        <v>683</v>
      </c>
      <c r="B184" s="218">
        <v>469200.6</v>
      </c>
    </row>
    <row r="185" spans="1:2">
      <c r="A185" s="217" t="s">
        <v>683</v>
      </c>
      <c r="B185" s="218">
        <v>1724998</v>
      </c>
    </row>
    <row r="186" spans="1:2">
      <c r="A186" s="217" t="s">
        <v>683</v>
      </c>
      <c r="B186" s="218">
        <v>1379998.4</v>
      </c>
    </row>
    <row r="187" spans="1:2">
      <c r="A187" s="217" t="s">
        <v>683</v>
      </c>
      <c r="B187" s="218">
        <v>735999</v>
      </c>
    </row>
    <row r="188" spans="1:2">
      <c r="A188" s="217" t="s">
        <v>394</v>
      </c>
      <c r="B188" s="218">
        <v>658351.92500000005</v>
      </c>
    </row>
    <row r="189" spans="1:2">
      <c r="A189" s="217" t="s">
        <v>394</v>
      </c>
      <c r="B189" s="218">
        <v>1173001.5</v>
      </c>
    </row>
    <row r="190" spans="1:2">
      <c r="A190" s="217" t="s">
        <v>394</v>
      </c>
      <c r="B190" s="218">
        <v>689999.2</v>
      </c>
    </row>
    <row r="191" spans="1:2">
      <c r="A191" s="217" t="s">
        <v>394</v>
      </c>
      <c r="B191" s="218">
        <v>344999.6</v>
      </c>
    </row>
    <row r="192" spans="1:2">
      <c r="A192" s="217" t="s">
        <v>394</v>
      </c>
      <c r="B192" s="218">
        <v>735999</v>
      </c>
    </row>
    <row r="193" spans="1:2">
      <c r="A193" s="217" t="s">
        <v>394</v>
      </c>
      <c r="B193" s="218">
        <v>689999.2</v>
      </c>
    </row>
  </sheetData>
  <autoFilter ref="E3:G25"/>
  <dataConsolidate topLabels="1">
    <dataRefs count="1">
      <dataRef ref="A1:B193" sheet="Coop" r:id="rId1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73"/>
  <sheetViews>
    <sheetView showGridLines="0" tabSelected="1" topLeftCell="A40" zoomScale="60" zoomScaleNormal="60" zoomScaleSheetLayoutView="55" workbookViewId="0">
      <selection activeCell="I46" sqref="I46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9" style="23" customWidth="1"/>
    <col min="20" max="16384" width="9.140625" style="40"/>
  </cols>
  <sheetData>
    <row r="1" spans="1:19" s="304" customFormat="1" ht="42" customHeight="1">
      <c r="A1" s="31" t="s">
        <v>248</v>
      </c>
      <c r="B1" s="31"/>
      <c r="C1" s="31"/>
      <c r="D1" s="31"/>
      <c r="E1" s="31"/>
      <c r="F1" s="31"/>
      <c r="G1" s="31"/>
      <c r="H1" s="140"/>
      <c r="I1" s="31"/>
      <c r="J1" s="31"/>
      <c r="K1" s="31"/>
      <c r="L1" s="31"/>
      <c r="M1" s="31"/>
      <c r="N1" s="31"/>
      <c r="O1" s="31"/>
      <c r="P1" s="31"/>
      <c r="Q1" s="1"/>
      <c r="R1" s="1"/>
      <c r="S1" s="1"/>
    </row>
    <row r="2" spans="1:19" s="305" customFormat="1" ht="37.5" customHeight="1">
      <c r="A2" s="28" t="s">
        <v>0</v>
      </c>
      <c r="B2" s="28"/>
      <c r="C2" s="3"/>
      <c r="D2" s="4"/>
      <c r="E2" s="4"/>
      <c r="F2" s="42"/>
      <c r="G2" s="4"/>
      <c r="H2" s="141"/>
      <c r="I2" s="128"/>
      <c r="J2" s="5"/>
      <c r="K2" s="127"/>
      <c r="L2" s="4"/>
      <c r="M2" s="4"/>
      <c r="N2" s="5"/>
      <c r="O2" s="4"/>
      <c r="P2" s="2"/>
      <c r="Q2" s="2"/>
      <c r="R2" s="2"/>
      <c r="S2" s="2"/>
    </row>
    <row r="3" spans="1:19" s="306" customFormat="1" ht="33" customHeight="1">
      <c r="A3" s="94" t="s">
        <v>305</v>
      </c>
      <c r="B3" s="94"/>
      <c r="C3" s="28"/>
      <c r="D3" s="6"/>
      <c r="E3" s="6"/>
      <c r="F3" s="7"/>
      <c r="G3" s="6"/>
      <c r="H3" s="106"/>
      <c r="I3" s="123"/>
      <c r="J3" s="123"/>
      <c r="K3" s="106"/>
      <c r="L3" s="124"/>
      <c r="M3" s="6"/>
      <c r="N3" s="7"/>
      <c r="O3" s="6"/>
      <c r="P3" s="8"/>
      <c r="Q3" s="8"/>
      <c r="R3" s="8"/>
      <c r="S3" s="8"/>
    </row>
    <row r="4" spans="1:19" s="307" customFormat="1" ht="30.75" customHeight="1">
      <c r="A4" s="332" t="s">
        <v>1</v>
      </c>
      <c r="B4" s="332" t="s">
        <v>263</v>
      </c>
      <c r="C4" s="346" t="s">
        <v>19</v>
      </c>
      <c r="D4" s="332" t="s">
        <v>1014</v>
      </c>
      <c r="E4" s="332"/>
      <c r="F4" s="332"/>
      <c r="G4" s="332"/>
      <c r="H4" s="332" t="s">
        <v>21</v>
      </c>
      <c r="I4" s="332"/>
      <c r="J4" s="332"/>
      <c r="K4" s="332"/>
      <c r="L4" s="332"/>
      <c r="M4" s="332" t="s">
        <v>1015</v>
      </c>
      <c r="N4" s="332"/>
      <c r="O4" s="332"/>
      <c r="P4" s="332"/>
      <c r="Q4" s="332" t="s">
        <v>2</v>
      </c>
      <c r="R4" s="332" t="s">
        <v>27</v>
      </c>
      <c r="S4" s="332" t="s">
        <v>1011</v>
      </c>
    </row>
    <row r="5" spans="1:19" s="307" customFormat="1" ht="49.5" customHeight="1">
      <c r="A5" s="332"/>
      <c r="B5" s="332"/>
      <c r="C5" s="346"/>
      <c r="D5" s="10" t="s">
        <v>3</v>
      </c>
      <c r="E5" s="258" t="s">
        <v>4</v>
      </c>
      <c r="F5" s="12" t="s">
        <v>5</v>
      </c>
      <c r="G5" s="258" t="s">
        <v>6</v>
      </c>
      <c r="H5" s="10" t="s">
        <v>3</v>
      </c>
      <c r="I5" s="258" t="s">
        <v>4</v>
      </c>
      <c r="J5" s="12" t="s">
        <v>5</v>
      </c>
      <c r="K5" s="258" t="s">
        <v>6</v>
      </c>
      <c r="L5" s="258" t="s">
        <v>249</v>
      </c>
      <c r="M5" s="10" t="s">
        <v>3</v>
      </c>
      <c r="N5" s="258" t="s">
        <v>4</v>
      </c>
      <c r="O5" s="12" t="s">
        <v>5</v>
      </c>
      <c r="P5" s="258" t="s">
        <v>6</v>
      </c>
      <c r="Q5" s="332"/>
      <c r="R5" s="332"/>
      <c r="S5" s="332"/>
    </row>
    <row r="6" spans="1:19" s="308" customFormat="1" ht="36" customHeight="1">
      <c r="A6" s="344" t="s">
        <v>247</v>
      </c>
      <c r="B6" s="171" t="s">
        <v>280</v>
      </c>
      <c r="C6" s="285" t="s">
        <v>25</v>
      </c>
      <c r="D6" s="44">
        <v>5</v>
      </c>
      <c r="E6" s="44">
        <v>5</v>
      </c>
      <c r="F6" s="173">
        <f t="shared" ref="F6:F17" si="0">+IF(E6=0,0,E6/D6)</f>
        <v>1</v>
      </c>
      <c r="G6" s="44">
        <f>+IF(F6&gt;=100%,1500000,IF(F6&gt;=80%,1000000,0))</f>
        <v>1500000</v>
      </c>
      <c r="H6" s="252">
        <v>204682.14377758416</v>
      </c>
      <c r="I6" s="252">
        <v>223103.53671756657</v>
      </c>
      <c r="J6" s="173">
        <f>+IF(I6=0,0,I6/H6)</f>
        <v>1.0899999999999992</v>
      </c>
      <c r="K6" s="44">
        <f>IF(AND(J6&gt;=90%,J6&lt;95%),1000000,IF(AND(J6&gt;=95%,J6&lt;100%),1300000,IF(J6&gt;=100%,2000000,0)))</f>
        <v>2000000</v>
      </c>
      <c r="L6" s="44">
        <f>IF(J6&gt;=100%,1000000,0)</f>
        <v>1000000</v>
      </c>
      <c r="M6" s="44">
        <v>5</v>
      </c>
      <c r="N6" s="44">
        <v>5</v>
      </c>
      <c r="O6" s="173">
        <f t="shared" ref="O6:O17" si="1">+IF(N6=0,0,N6/M6)</f>
        <v>1</v>
      </c>
      <c r="P6" s="44">
        <f>+IF(O6&gt;=100%,1500000,IF(O6&gt;=80%,1000000,0))</f>
        <v>1500000</v>
      </c>
      <c r="Q6" s="44">
        <f>+SUM(L6,P6,K6,G6)</f>
        <v>6000000</v>
      </c>
      <c r="R6" s="44">
        <f>+Q6</f>
        <v>6000000</v>
      </c>
      <c r="S6" s="313">
        <v>40969</v>
      </c>
    </row>
    <row r="7" spans="1:19" s="308" customFormat="1" ht="36" customHeight="1">
      <c r="A7" s="345"/>
      <c r="B7" s="171" t="s">
        <v>986</v>
      </c>
      <c r="C7" s="285" t="s">
        <v>307</v>
      </c>
      <c r="D7" s="44">
        <v>5</v>
      </c>
      <c r="E7" s="44">
        <v>5</v>
      </c>
      <c r="F7" s="173">
        <f t="shared" si="0"/>
        <v>1</v>
      </c>
      <c r="G7" s="44">
        <f t="shared" ref="G7:G17" si="2">+IF(F7&gt;=100%,1500000,IF(F7&gt;=80%,1000000,0))</f>
        <v>1500000</v>
      </c>
      <c r="H7" s="252">
        <v>185279.02952529705</v>
      </c>
      <c r="I7" s="252">
        <v>198248.56159206785</v>
      </c>
      <c r="J7" s="173">
        <f t="shared" ref="J7:J18" si="3">+IF(I7=0,0,I7/H7)</f>
        <v>1.07</v>
      </c>
      <c r="K7" s="44">
        <f t="shared" ref="K7:K17" si="4">IF(AND(J7&gt;=90%,J7&lt;95%),1000000,IF(AND(J7&gt;=95%,J7&lt;100%),1300000,IF(J7&gt;=100%,2000000,0)))</f>
        <v>2000000</v>
      </c>
      <c r="L7" s="44">
        <f t="shared" ref="L7:L17" si="5">IF(J7&gt;=100%,1000000,0)</f>
        <v>1000000</v>
      </c>
      <c r="M7" s="44">
        <v>5</v>
      </c>
      <c r="N7" s="44">
        <v>5</v>
      </c>
      <c r="O7" s="173">
        <f t="shared" si="1"/>
        <v>1</v>
      </c>
      <c r="P7" s="44">
        <f t="shared" ref="P7:P17" si="6">+IF(O7&gt;=100%,1500000,IF(O7&gt;=80%,1000000,0))</f>
        <v>1500000</v>
      </c>
      <c r="Q7" s="44">
        <f t="shared" ref="Q7:Q17" si="7">+SUM(L7,P7,K7,G7)</f>
        <v>6000000</v>
      </c>
      <c r="R7" s="44">
        <f t="shared" ref="R7:R17" si="8">+Q7</f>
        <v>6000000</v>
      </c>
      <c r="S7" s="313">
        <v>43571</v>
      </c>
    </row>
    <row r="8" spans="1:19" s="308" customFormat="1" ht="36" customHeight="1">
      <c r="A8" s="345"/>
      <c r="B8" s="171" t="s">
        <v>281</v>
      </c>
      <c r="C8" s="285" t="s">
        <v>271</v>
      </c>
      <c r="D8" s="44">
        <v>5</v>
      </c>
      <c r="E8" s="44">
        <v>5</v>
      </c>
      <c r="F8" s="173">
        <f t="shared" si="0"/>
        <v>1</v>
      </c>
      <c r="G8" s="44">
        <f t="shared" si="2"/>
        <v>1500000</v>
      </c>
      <c r="H8" s="252">
        <v>196058.2719381132</v>
      </c>
      <c r="I8" s="252">
        <v>205861.18553501889</v>
      </c>
      <c r="J8" s="173">
        <f t="shared" si="3"/>
        <v>1.05</v>
      </c>
      <c r="K8" s="44">
        <f t="shared" si="4"/>
        <v>2000000</v>
      </c>
      <c r="L8" s="44">
        <f t="shared" si="5"/>
        <v>1000000</v>
      </c>
      <c r="M8" s="44">
        <v>5</v>
      </c>
      <c r="N8" s="44">
        <v>5</v>
      </c>
      <c r="O8" s="173">
        <f t="shared" si="1"/>
        <v>1</v>
      </c>
      <c r="P8" s="44">
        <f t="shared" si="6"/>
        <v>1500000</v>
      </c>
      <c r="Q8" s="44">
        <f t="shared" si="7"/>
        <v>6000000</v>
      </c>
      <c r="R8" s="44">
        <f t="shared" si="8"/>
        <v>6000000</v>
      </c>
      <c r="S8" s="313">
        <v>43282</v>
      </c>
    </row>
    <row r="9" spans="1:19" s="308" customFormat="1" ht="36" customHeight="1">
      <c r="A9" s="345"/>
      <c r="B9" s="171" t="s">
        <v>282</v>
      </c>
      <c r="C9" s="285" t="s">
        <v>268</v>
      </c>
      <c r="D9" s="44">
        <v>5</v>
      </c>
      <c r="E9" s="44">
        <v>5</v>
      </c>
      <c r="F9" s="173">
        <f t="shared" si="0"/>
        <v>1</v>
      </c>
      <c r="G9" s="44">
        <f t="shared" si="2"/>
        <v>1500000</v>
      </c>
      <c r="H9" s="252">
        <v>170191.43551188076</v>
      </c>
      <c r="I9" s="252">
        <v>190614.40777330648</v>
      </c>
      <c r="J9" s="173">
        <f t="shared" si="3"/>
        <v>1.1200000000000001</v>
      </c>
      <c r="K9" s="44">
        <f t="shared" si="4"/>
        <v>2000000</v>
      </c>
      <c r="L9" s="44">
        <f t="shared" si="5"/>
        <v>1000000</v>
      </c>
      <c r="M9" s="44">
        <v>5</v>
      </c>
      <c r="N9" s="44">
        <v>5</v>
      </c>
      <c r="O9" s="173">
        <f t="shared" si="1"/>
        <v>1</v>
      </c>
      <c r="P9" s="44">
        <f t="shared" si="6"/>
        <v>1500000</v>
      </c>
      <c r="Q9" s="44">
        <f t="shared" si="7"/>
        <v>6000000</v>
      </c>
      <c r="R9" s="44">
        <f t="shared" si="8"/>
        <v>6000000</v>
      </c>
      <c r="S9" s="313">
        <v>43192</v>
      </c>
    </row>
    <row r="10" spans="1:19" s="308" customFormat="1" ht="36" customHeight="1">
      <c r="A10" s="345"/>
      <c r="B10" s="171" t="s">
        <v>283</v>
      </c>
      <c r="C10" s="285" t="s">
        <v>254</v>
      </c>
      <c r="D10" s="44">
        <v>5</v>
      </c>
      <c r="E10" s="44">
        <v>5</v>
      </c>
      <c r="F10" s="173">
        <f t="shared" si="0"/>
        <v>1</v>
      </c>
      <c r="G10" s="44">
        <f t="shared" si="2"/>
        <v>1500000</v>
      </c>
      <c r="H10" s="252">
        <v>187435.62782046557</v>
      </c>
      <c r="I10" s="252">
        <v>194933.0529332842</v>
      </c>
      <c r="J10" s="173">
        <f t="shared" si="3"/>
        <v>1.04</v>
      </c>
      <c r="K10" s="44">
        <f t="shared" si="4"/>
        <v>2000000</v>
      </c>
      <c r="L10" s="44">
        <f t="shared" si="5"/>
        <v>1000000</v>
      </c>
      <c r="M10" s="44">
        <v>5</v>
      </c>
      <c r="N10" s="44">
        <v>5</v>
      </c>
      <c r="O10" s="173">
        <f t="shared" si="1"/>
        <v>1</v>
      </c>
      <c r="P10" s="44">
        <f t="shared" si="6"/>
        <v>1500000</v>
      </c>
      <c r="Q10" s="44">
        <f t="shared" si="7"/>
        <v>6000000</v>
      </c>
      <c r="R10" s="44">
        <f t="shared" si="8"/>
        <v>6000000</v>
      </c>
      <c r="S10" s="313">
        <v>42222</v>
      </c>
    </row>
    <row r="11" spans="1:19" s="308" customFormat="1" ht="36" customHeight="1">
      <c r="A11" s="345"/>
      <c r="B11" s="171" t="s">
        <v>298</v>
      </c>
      <c r="C11" s="285" t="s">
        <v>26</v>
      </c>
      <c r="D11" s="44">
        <v>5</v>
      </c>
      <c r="E11" s="44">
        <v>5</v>
      </c>
      <c r="F11" s="173">
        <f t="shared" si="0"/>
        <v>1</v>
      </c>
      <c r="G11" s="44">
        <f t="shared" si="2"/>
        <v>1500000</v>
      </c>
      <c r="H11" s="252">
        <v>204681.00875267384</v>
      </c>
      <c r="I11" s="252">
        <v>221055.48945288776</v>
      </c>
      <c r="J11" s="173">
        <f t="shared" si="3"/>
        <v>1.08</v>
      </c>
      <c r="K11" s="44">
        <f t="shared" si="4"/>
        <v>2000000</v>
      </c>
      <c r="L11" s="44">
        <f t="shared" si="5"/>
        <v>1000000</v>
      </c>
      <c r="M11" s="44">
        <v>5</v>
      </c>
      <c r="N11" s="44">
        <v>5</v>
      </c>
      <c r="O11" s="173">
        <f t="shared" si="1"/>
        <v>1</v>
      </c>
      <c r="P11" s="44">
        <f t="shared" si="6"/>
        <v>1500000</v>
      </c>
      <c r="Q11" s="44">
        <f t="shared" si="7"/>
        <v>6000000</v>
      </c>
      <c r="R11" s="44">
        <f t="shared" si="8"/>
        <v>6000000</v>
      </c>
      <c r="S11" s="313">
        <v>43405</v>
      </c>
    </row>
    <row r="12" spans="1:19" s="308" customFormat="1" ht="36" customHeight="1">
      <c r="A12" s="345"/>
      <c r="B12" s="171" t="s">
        <v>284</v>
      </c>
      <c r="C12" s="285" t="s">
        <v>259</v>
      </c>
      <c r="D12" s="44">
        <v>5</v>
      </c>
      <c r="E12" s="44">
        <v>5</v>
      </c>
      <c r="F12" s="173">
        <f t="shared" si="0"/>
        <v>1</v>
      </c>
      <c r="G12" s="44">
        <f t="shared" si="2"/>
        <v>1500000</v>
      </c>
      <c r="H12" s="252">
        <v>198213.6425114584</v>
      </c>
      <c r="I12" s="252">
        <v>204160.05178680216</v>
      </c>
      <c r="J12" s="173">
        <f t="shared" si="3"/>
        <v>1.03</v>
      </c>
      <c r="K12" s="44">
        <f t="shared" si="4"/>
        <v>2000000</v>
      </c>
      <c r="L12" s="44">
        <f t="shared" si="5"/>
        <v>1000000</v>
      </c>
      <c r="M12" s="44">
        <v>5</v>
      </c>
      <c r="N12" s="44">
        <v>5</v>
      </c>
      <c r="O12" s="173">
        <f t="shared" si="1"/>
        <v>1</v>
      </c>
      <c r="P12" s="44">
        <f t="shared" si="6"/>
        <v>1500000</v>
      </c>
      <c r="Q12" s="44">
        <f t="shared" si="7"/>
        <v>6000000</v>
      </c>
      <c r="R12" s="44">
        <f t="shared" si="8"/>
        <v>6000000</v>
      </c>
      <c r="S12" s="313">
        <v>42675</v>
      </c>
    </row>
    <row r="13" spans="1:19" s="308" customFormat="1" ht="36" customHeight="1">
      <c r="A13" s="345"/>
      <c r="B13" s="171" t="s">
        <v>987</v>
      </c>
      <c r="C13" s="285" t="s">
        <v>308</v>
      </c>
      <c r="D13" s="44">
        <v>5</v>
      </c>
      <c r="E13" s="44">
        <v>5</v>
      </c>
      <c r="F13" s="173">
        <f t="shared" si="0"/>
        <v>1</v>
      </c>
      <c r="G13" s="44">
        <f t="shared" si="2"/>
        <v>1500000</v>
      </c>
      <c r="H13" s="44">
        <v>200369.01308480359</v>
      </c>
      <c r="I13" s="252">
        <v>136250.92889766645</v>
      </c>
      <c r="J13" s="173">
        <f t="shared" si="3"/>
        <v>0.68</v>
      </c>
      <c r="K13" s="44">
        <f t="shared" si="4"/>
        <v>0</v>
      </c>
      <c r="L13" s="44">
        <f t="shared" si="5"/>
        <v>0</v>
      </c>
      <c r="M13" s="44">
        <v>5</v>
      </c>
      <c r="N13" s="44">
        <v>5</v>
      </c>
      <c r="O13" s="173">
        <f t="shared" si="1"/>
        <v>1</v>
      </c>
      <c r="P13" s="44">
        <f t="shared" si="6"/>
        <v>1500000</v>
      </c>
      <c r="Q13" s="44">
        <f t="shared" si="7"/>
        <v>3000000</v>
      </c>
      <c r="R13" s="44">
        <f t="shared" si="8"/>
        <v>3000000</v>
      </c>
      <c r="S13" s="313">
        <v>43540</v>
      </c>
    </row>
    <row r="14" spans="1:19" s="308" customFormat="1" ht="36" customHeight="1">
      <c r="A14" s="345"/>
      <c r="B14" s="171"/>
      <c r="C14" s="285" t="s">
        <v>297</v>
      </c>
      <c r="D14" s="44"/>
      <c r="E14" s="44"/>
      <c r="F14" s="173">
        <f t="shared" si="0"/>
        <v>0</v>
      </c>
      <c r="G14" s="44">
        <v>0</v>
      </c>
      <c r="H14" s="44">
        <v>193902.64567004383</v>
      </c>
      <c r="I14" s="252">
        <v>159000.16944943593</v>
      </c>
      <c r="J14" s="173">
        <f>+IFERROR(IF(I14=0,0,I14/H14),0)</f>
        <v>0.82</v>
      </c>
      <c r="K14" s="44">
        <f t="shared" si="4"/>
        <v>0</v>
      </c>
      <c r="L14" s="44">
        <f t="shared" si="5"/>
        <v>0</v>
      </c>
      <c r="M14" s="44"/>
      <c r="N14" s="44"/>
      <c r="O14" s="173">
        <f t="shared" si="1"/>
        <v>0</v>
      </c>
      <c r="P14" s="44">
        <v>0</v>
      </c>
      <c r="Q14" s="44">
        <f t="shared" si="7"/>
        <v>0</v>
      </c>
      <c r="R14" s="44">
        <f t="shared" si="8"/>
        <v>0</v>
      </c>
      <c r="S14" s="313"/>
    </row>
    <row r="15" spans="1:19" s="308" customFormat="1" ht="36" customHeight="1">
      <c r="A15" s="345"/>
      <c r="B15" s="171"/>
      <c r="C15" s="285" t="s">
        <v>297</v>
      </c>
      <c r="D15" s="44"/>
      <c r="E15" s="44"/>
      <c r="F15" s="173">
        <f t="shared" si="0"/>
        <v>0</v>
      </c>
      <c r="G15" s="44">
        <v>0</v>
      </c>
      <c r="H15" s="44">
        <v>155101.45195237419</v>
      </c>
      <c r="I15" s="252">
        <v>107774.61586196354</v>
      </c>
      <c r="J15" s="173">
        <f>+IFERROR(IF(I15=0,0,I15/H15),0)</f>
        <v>0.69486529304095146</v>
      </c>
      <c r="K15" s="44">
        <f t="shared" si="4"/>
        <v>0</v>
      </c>
      <c r="L15" s="44">
        <f t="shared" si="5"/>
        <v>0</v>
      </c>
      <c r="M15" s="44"/>
      <c r="N15" s="44"/>
      <c r="O15" s="173">
        <f t="shared" si="1"/>
        <v>0</v>
      </c>
      <c r="P15" s="44">
        <v>0</v>
      </c>
      <c r="Q15" s="44">
        <f t="shared" si="7"/>
        <v>0</v>
      </c>
      <c r="R15" s="44">
        <f t="shared" si="8"/>
        <v>0</v>
      </c>
      <c r="S15" s="313"/>
    </row>
    <row r="16" spans="1:19" s="308" customFormat="1" ht="36" customHeight="1">
      <c r="A16" s="345"/>
      <c r="B16" s="171" t="s">
        <v>300</v>
      </c>
      <c r="C16" s="285" t="s">
        <v>301</v>
      </c>
      <c r="D16" s="44">
        <v>5</v>
      </c>
      <c r="E16" s="44">
        <v>5</v>
      </c>
      <c r="F16" s="173">
        <f t="shared" si="0"/>
        <v>1</v>
      </c>
      <c r="G16" s="44">
        <f t="shared" si="2"/>
        <v>1500000</v>
      </c>
      <c r="H16" s="44">
        <v>340398.74852968182</v>
      </c>
      <c r="I16" s="44">
        <v>234777.29085360002</v>
      </c>
      <c r="J16" s="173">
        <f t="shared" si="3"/>
        <v>0.68971255584133884</v>
      </c>
      <c r="K16" s="44">
        <f t="shared" si="4"/>
        <v>0</v>
      </c>
      <c r="L16" s="44">
        <f t="shared" si="5"/>
        <v>0</v>
      </c>
      <c r="M16" s="44">
        <v>5</v>
      </c>
      <c r="N16" s="44">
        <v>5</v>
      </c>
      <c r="O16" s="173">
        <f t="shared" si="1"/>
        <v>1</v>
      </c>
      <c r="P16" s="44">
        <f t="shared" si="6"/>
        <v>1500000</v>
      </c>
      <c r="Q16" s="44">
        <f t="shared" si="7"/>
        <v>3000000</v>
      </c>
      <c r="R16" s="44">
        <f t="shared" si="8"/>
        <v>3000000</v>
      </c>
      <c r="S16" s="313">
        <v>43523</v>
      </c>
    </row>
    <row r="17" spans="1:19" s="308" customFormat="1" ht="36" customHeight="1">
      <c r="A17" s="345"/>
      <c r="B17" s="171" t="s">
        <v>285</v>
      </c>
      <c r="C17" s="285" t="s">
        <v>270</v>
      </c>
      <c r="D17" s="44">
        <v>5</v>
      </c>
      <c r="E17" s="44">
        <v>5</v>
      </c>
      <c r="F17" s="173">
        <f t="shared" si="0"/>
        <v>1</v>
      </c>
      <c r="G17" s="44">
        <f t="shared" si="2"/>
        <v>1500000</v>
      </c>
      <c r="H17" s="44">
        <v>322110.97446116689</v>
      </c>
      <c r="I17" s="44">
        <v>387952.84645500005</v>
      </c>
      <c r="J17" s="173">
        <f t="shared" si="3"/>
        <v>1.2044074161210268</v>
      </c>
      <c r="K17" s="44">
        <f t="shared" si="4"/>
        <v>2000000</v>
      </c>
      <c r="L17" s="44">
        <f t="shared" si="5"/>
        <v>1000000</v>
      </c>
      <c r="M17" s="44">
        <v>5</v>
      </c>
      <c r="N17" s="44">
        <v>5</v>
      </c>
      <c r="O17" s="173">
        <f t="shared" si="1"/>
        <v>1</v>
      </c>
      <c r="P17" s="44">
        <f t="shared" si="6"/>
        <v>1500000</v>
      </c>
      <c r="Q17" s="44">
        <f t="shared" si="7"/>
        <v>6000000</v>
      </c>
      <c r="R17" s="44">
        <f t="shared" si="8"/>
        <v>6000000</v>
      </c>
      <c r="S17" s="313">
        <v>43259</v>
      </c>
    </row>
    <row r="18" spans="1:19" s="309" customFormat="1" ht="36" customHeight="1">
      <c r="A18" s="286"/>
      <c r="B18" s="286"/>
      <c r="C18" s="287" t="s">
        <v>20</v>
      </c>
      <c r="D18" s="288">
        <f>SUM(D6:D17)</f>
        <v>50</v>
      </c>
      <c r="E18" s="288">
        <f>SUM(E6:E17)</f>
        <v>50</v>
      </c>
      <c r="F18" s="289">
        <f>+IF(E18=0,0,E18/D18)</f>
        <v>1</v>
      </c>
      <c r="G18" s="288">
        <f>SUM(G6:G17)</f>
        <v>15000000</v>
      </c>
      <c r="H18" s="290">
        <f>SUM(H6:H17)</f>
        <v>2558423.9935355429</v>
      </c>
      <c r="I18" s="288">
        <f>SUM(I6:I17)</f>
        <v>2463732.1373085999</v>
      </c>
      <c r="J18" s="289">
        <f t="shared" si="3"/>
        <v>0.96298820818355202</v>
      </c>
      <c r="K18" s="288">
        <f>SUM(K6:K17)</f>
        <v>16000000</v>
      </c>
      <c r="L18" s="288">
        <f>SUM(L6:L17)</f>
        <v>8000000</v>
      </c>
      <c r="M18" s="288">
        <f>SUM(M6:M17)</f>
        <v>50</v>
      </c>
      <c r="N18" s="288">
        <f>SUM(N6:N17)</f>
        <v>50</v>
      </c>
      <c r="O18" s="289">
        <f>+IF(N18=0,0,N18/M18)</f>
        <v>1</v>
      </c>
      <c r="P18" s="288">
        <f>SUM(P6:P17)</f>
        <v>15000000</v>
      </c>
      <c r="Q18" s="288">
        <f>SUM(Q6:Q17)</f>
        <v>54000000</v>
      </c>
      <c r="R18" s="290">
        <f>SUM(R6:R17)</f>
        <v>54000000</v>
      </c>
      <c r="S18" s="288"/>
    </row>
    <row r="19" spans="1:19">
      <c r="A19" s="295"/>
      <c r="B19" s="295"/>
      <c r="C19" s="295"/>
      <c r="D19" s="296"/>
      <c r="E19" s="296"/>
      <c r="F19" s="297"/>
      <c r="G19" s="296"/>
      <c r="H19" s="296"/>
      <c r="I19" s="296"/>
      <c r="J19" s="298"/>
      <c r="K19" s="296"/>
      <c r="L19" s="296"/>
      <c r="M19" s="296"/>
      <c r="N19" s="297"/>
      <c r="O19" s="296"/>
      <c r="P19" s="295"/>
      <c r="Q19" s="40"/>
      <c r="R19" s="295"/>
      <c r="S19" s="295"/>
    </row>
    <row r="20" spans="1:19" s="307" customFormat="1" ht="25.5" customHeight="1">
      <c r="A20" s="332" t="s">
        <v>1</v>
      </c>
      <c r="B20" s="332" t="s">
        <v>263</v>
      </c>
      <c r="C20" s="346" t="s">
        <v>19</v>
      </c>
      <c r="D20" s="332" t="s">
        <v>1014</v>
      </c>
      <c r="E20" s="332"/>
      <c r="F20" s="332"/>
      <c r="G20" s="332"/>
      <c r="H20" s="332" t="s">
        <v>22</v>
      </c>
      <c r="I20" s="332"/>
      <c r="J20" s="332"/>
      <c r="K20" s="332"/>
      <c r="L20" s="332"/>
      <c r="M20" s="332" t="s">
        <v>1015</v>
      </c>
      <c r="N20" s="332"/>
      <c r="O20" s="332"/>
      <c r="P20" s="332"/>
      <c r="Q20" s="332" t="s">
        <v>2</v>
      </c>
      <c r="R20" s="332" t="s">
        <v>27</v>
      </c>
      <c r="S20" s="332" t="s">
        <v>1011</v>
      </c>
    </row>
    <row r="21" spans="1:19" s="307" customFormat="1" ht="39" customHeight="1">
      <c r="A21" s="332"/>
      <c r="B21" s="332"/>
      <c r="C21" s="346"/>
      <c r="D21" s="10" t="s">
        <v>3</v>
      </c>
      <c r="E21" s="258" t="s">
        <v>4</v>
      </c>
      <c r="F21" s="12" t="s">
        <v>5</v>
      </c>
      <c r="G21" s="258" t="s">
        <v>6</v>
      </c>
      <c r="H21" s="258" t="s">
        <v>3</v>
      </c>
      <c r="I21" s="258" t="s">
        <v>4</v>
      </c>
      <c r="J21" s="12" t="s">
        <v>5</v>
      </c>
      <c r="K21" s="258" t="s">
        <v>6</v>
      </c>
      <c r="L21" s="258" t="s">
        <v>249</v>
      </c>
      <c r="M21" s="10" t="s">
        <v>3</v>
      </c>
      <c r="N21" s="258" t="s">
        <v>4</v>
      </c>
      <c r="O21" s="12" t="s">
        <v>5</v>
      </c>
      <c r="P21" s="258" t="s">
        <v>6</v>
      </c>
      <c r="Q21" s="332"/>
      <c r="R21" s="332"/>
      <c r="S21" s="332"/>
    </row>
    <row r="22" spans="1:19" s="308" customFormat="1" ht="42.75" customHeight="1">
      <c r="A22" s="344" t="s">
        <v>306</v>
      </c>
      <c r="B22" s="171" t="s">
        <v>302</v>
      </c>
      <c r="C22" s="285" t="s">
        <v>303</v>
      </c>
      <c r="D22" s="44">
        <v>5</v>
      </c>
      <c r="E22" s="44">
        <v>5</v>
      </c>
      <c r="F22" s="173">
        <f t="shared" ref="F22:F29" si="9">+IF(E22=0,0,E22/D22)</f>
        <v>1</v>
      </c>
      <c r="G22" s="44">
        <f t="shared" ref="G22" si="10">+IF(F22&gt;=100%,800000,IF(F22&gt;=80%,500000,0))</f>
        <v>800000</v>
      </c>
      <c r="H22" s="44">
        <v>280915.82497997297</v>
      </c>
      <c r="I22" s="44">
        <v>290615.2</v>
      </c>
      <c r="J22" s="274">
        <f>+IF(I22=0,0,I22/H22)</f>
        <v>1.0345276917764192</v>
      </c>
      <c r="K22" s="44">
        <f>IF(AND(J22&gt;=90%,J22&lt;95%),1200000,IF(AND(J22&gt;=95%,J22&lt;100%),1500000,IF(J22&gt;=100%,2000000,0)))</f>
        <v>2000000</v>
      </c>
      <c r="L22" s="44">
        <f t="shared" ref="L22" si="11">IF(J22&gt;=100%,1000000,0)</f>
        <v>1000000</v>
      </c>
      <c r="M22" s="44">
        <v>5</v>
      </c>
      <c r="N22" s="44">
        <v>5</v>
      </c>
      <c r="O22" s="279">
        <f t="shared" ref="O22:O30" si="12">+IF(N22=0,0,N22/M22)</f>
        <v>1</v>
      </c>
      <c r="P22" s="44">
        <f t="shared" ref="P22" si="13">+IF(O22&gt;=100%,2200000,IF(O22&gt;=80%,1500000,0))</f>
        <v>2200000</v>
      </c>
      <c r="Q22" s="44">
        <f>+SUM(L22,P22,K22,G22)</f>
        <v>6000000</v>
      </c>
      <c r="R22" s="44">
        <f>+Q22</f>
        <v>6000000</v>
      </c>
      <c r="S22" s="313">
        <v>43529</v>
      </c>
    </row>
    <row r="23" spans="1:19" s="308" customFormat="1" ht="42.75" customHeight="1">
      <c r="A23" s="345"/>
      <c r="B23" s="171" t="s">
        <v>277</v>
      </c>
      <c r="C23" s="285" t="s">
        <v>253</v>
      </c>
      <c r="D23" s="44">
        <v>5</v>
      </c>
      <c r="E23" s="44">
        <v>5</v>
      </c>
      <c r="F23" s="173">
        <f t="shared" si="9"/>
        <v>1</v>
      </c>
      <c r="G23" s="44">
        <f>+IF(F23&gt;=100%,800000,IF(F23&gt;=80%,500000,0))/24*10</f>
        <v>333333.33333333337</v>
      </c>
      <c r="H23" s="44">
        <v>280915.82497997297</v>
      </c>
      <c r="I23" s="44">
        <v>290435.39999999997</v>
      </c>
      <c r="J23" s="274">
        <f t="shared" ref="J23:J29" si="14">+IF(I23=0,0,I23/H23)</f>
        <v>1.0338876423950329</v>
      </c>
      <c r="K23" s="44">
        <f>IF(AND(J23&gt;=90%,J23&lt;95%),1200000,IF(AND(J23&gt;=95%,J23&lt;100%),1500000,IF(J23&gt;=100%,2000000,0)))/24*10</f>
        <v>833333.33333333326</v>
      </c>
      <c r="L23" s="44">
        <f>IF(J23&gt;=100%,1000000,0)/24*10</f>
        <v>416666.66666666663</v>
      </c>
      <c r="M23" s="44">
        <v>5</v>
      </c>
      <c r="N23" s="44">
        <v>5</v>
      </c>
      <c r="O23" s="173">
        <f t="shared" si="12"/>
        <v>1</v>
      </c>
      <c r="P23" s="44">
        <f>+IF(O23&gt;=100%,2200000,IF(O23&gt;=80%,1500000,0))/24*10</f>
        <v>916666.66666666674</v>
      </c>
      <c r="Q23" s="44">
        <f t="shared" ref="Q23:Q29" si="15">+SUM(L23,P23,K23,G23)</f>
        <v>2500000.0000000005</v>
      </c>
      <c r="R23" s="44">
        <f t="shared" ref="R23:R29" si="16">+Q23</f>
        <v>2500000.0000000005</v>
      </c>
      <c r="S23" s="313">
        <v>42030</v>
      </c>
    </row>
    <row r="24" spans="1:19" s="308" customFormat="1" ht="42.75" customHeight="1">
      <c r="A24" s="345"/>
      <c r="B24" s="171" t="s">
        <v>278</v>
      </c>
      <c r="C24" s="285" t="s">
        <v>252</v>
      </c>
      <c r="D24" s="44">
        <v>5</v>
      </c>
      <c r="E24" s="44">
        <v>5</v>
      </c>
      <c r="F24" s="173">
        <f t="shared" si="9"/>
        <v>1</v>
      </c>
      <c r="G24" s="44">
        <f t="shared" ref="G24:G29" si="17">+IF(F24&gt;=100%,800000,IF(F24&gt;=80%,500000,0))</f>
        <v>800000</v>
      </c>
      <c r="H24" s="44">
        <v>280915.82497997297</v>
      </c>
      <c r="I24" s="44">
        <v>290309.59999999998</v>
      </c>
      <c r="J24" s="274">
        <f t="shared" si="14"/>
        <v>1.0334398214151757</v>
      </c>
      <c r="K24" s="44">
        <f t="shared" ref="K24:K29" si="18">IF(AND(J24&gt;=90%,J24&lt;95%),1200000,IF(AND(J24&gt;=95%,J24&lt;100%),1500000,IF(J24&gt;=100%,2000000,0)))</f>
        <v>2000000</v>
      </c>
      <c r="L24" s="44">
        <f t="shared" ref="L24:L29" si="19">IF(J24&gt;=100%,1000000,0)</f>
        <v>1000000</v>
      </c>
      <c r="M24" s="44">
        <v>5</v>
      </c>
      <c r="N24" s="44">
        <v>5</v>
      </c>
      <c r="O24" s="173">
        <f t="shared" si="12"/>
        <v>1</v>
      </c>
      <c r="P24" s="44">
        <f t="shared" ref="P24:P29" si="20">+IF(O24&gt;=100%,2200000,IF(O24&gt;=80%,1500000,0))</f>
        <v>2200000</v>
      </c>
      <c r="Q24" s="44">
        <f t="shared" si="15"/>
        <v>6000000</v>
      </c>
      <c r="R24" s="44">
        <f t="shared" si="16"/>
        <v>6000000</v>
      </c>
      <c r="S24" s="313">
        <v>42208</v>
      </c>
    </row>
    <row r="25" spans="1:19" s="308" customFormat="1" ht="39.75" customHeight="1">
      <c r="A25" s="345"/>
      <c r="B25" s="171" t="s">
        <v>988</v>
      </c>
      <c r="C25" s="285" t="s">
        <v>739</v>
      </c>
      <c r="D25" s="44">
        <v>5</v>
      </c>
      <c r="E25" s="44">
        <v>5</v>
      </c>
      <c r="F25" s="173">
        <f t="shared" si="9"/>
        <v>1</v>
      </c>
      <c r="G25" s="44">
        <f t="shared" si="17"/>
        <v>800000</v>
      </c>
      <c r="H25" s="44">
        <v>280915.82497997297</v>
      </c>
      <c r="I25" s="44">
        <v>287886.79999999993</v>
      </c>
      <c r="J25" s="274">
        <f t="shared" si="14"/>
        <v>1.0248151737999236</v>
      </c>
      <c r="K25" s="44">
        <f t="shared" si="18"/>
        <v>2000000</v>
      </c>
      <c r="L25" s="44">
        <f t="shared" si="19"/>
        <v>1000000</v>
      </c>
      <c r="M25" s="44">
        <v>5</v>
      </c>
      <c r="N25" s="44">
        <v>5</v>
      </c>
      <c r="O25" s="173">
        <f t="shared" si="12"/>
        <v>1</v>
      </c>
      <c r="P25" s="44">
        <f t="shared" si="20"/>
        <v>2200000</v>
      </c>
      <c r="Q25" s="44">
        <f t="shared" si="15"/>
        <v>6000000</v>
      </c>
      <c r="R25" s="44">
        <f t="shared" si="16"/>
        <v>6000000</v>
      </c>
      <c r="S25" s="313">
        <v>43556</v>
      </c>
    </row>
    <row r="26" spans="1:19" s="308" customFormat="1" ht="36" customHeight="1">
      <c r="A26" s="345"/>
      <c r="B26" s="314" t="s">
        <v>1017</v>
      </c>
      <c r="C26" s="285" t="s">
        <v>738</v>
      </c>
      <c r="D26" s="44">
        <v>5</v>
      </c>
      <c r="E26" s="44">
        <v>5</v>
      </c>
      <c r="F26" s="173">
        <f t="shared" si="9"/>
        <v>1</v>
      </c>
      <c r="G26" s="44">
        <f t="shared" si="17"/>
        <v>800000</v>
      </c>
      <c r="H26" s="44">
        <v>280915.82497997297</v>
      </c>
      <c r="I26" s="44">
        <v>299061.8</v>
      </c>
      <c r="J26" s="274">
        <f t="shared" si="14"/>
        <v>1.0645957735607123</v>
      </c>
      <c r="K26" s="44">
        <f t="shared" si="18"/>
        <v>2000000</v>
      </c>
      <c r="L26" s="44">
        <f t="shared" si="19"/>
        <v>1000000</v>
      </c>
      <c r="M26" s="44">
        <v>5</v>
      </c>
      <c r="N26" s="44">
        <v>5</v>
      </c>
      <c r="O26" s="173">
        <f>+IF(N26=0,0,N26/M26)</f>
        <v>1</v>
      </c>
      <c r="P26" s="44">
        <f t="shared" si="20"/>
        <v>2200000</v>
      </c>
      <c r="Q26" s="44">
        <f>+SUM(L26,P26,K26,G26)</f>
        <v>6000000</v>
      </c>
      <c r="R26" s="44">
        <f t="shared" si="16"/>
        <v>6000000</v>
      </c>
      <c r="S26" s="313">
        <v>43571</v>
      </c>
    </row>
    <row r="27" spans="1:19" s="308" customFormat="1" ht="36" customHeight="1">
      <c r="A27" s="345"/>
      <c r="B27" s="171" t="s">
        <v>279</v>
      </c>
      <c r="C27" s="285" t="s">
        <v>272</v>
      </c>
      <c r="D27" s="44">
        <v>5</v>
      </c>
      <c r="E27" s="44">
        <v>5</v>
      </c>
      <c r="F27" s="173">
        <f t="shared" si="9"/>
        <v>1</v>
      </c>
      <c r="G27" s="44">
        <f t="shared" si="17"/>
        <v>800000</v>
      </c>
      <c r="H27" s="44">
        <v>240784.9928399768</v>
      </c>
      <c r="I27" s="44">
        <v>252934.80000000002</v>
      </c>
      <c r="J27" s="274">
        <f t="shared" si="14"/>
        <v>1.0504591545208877</v>
      </c>
      <c r="K27" s="44">
        <f t="shared" si="18"/>
        <v>2000000</v>
      </c>
      <c r="L27" s="44">
        <f t="shared" si="19"/>
        <v>1000000</v>
      </c>
      <c r="M27" s="44">
        <v>5</v>
      </c>
      <c r="N27" s="44">
        <v>5</v>
      </c>
      <c r="O27" s="173">
        <f t="shared" ref="O27:O28" si="21">+IF(N27=0,0,N27/M27)</f>
        <v>1</v>
      </c>
      <c r="P27" s="44">
        <f t="shared" si="20"/>
        <v>2200000</v>
      </c>
      <c r="Q27" s="44">
        <f t="shared" ref="Q27:Q28" si="22">+SUM(L27,P27,K27,G27)</f>
        <v>6000000</v>
      </c>
      <c r="R27" s="44">
        <f t="shared" si="16"/>
        <v>6000000</v>
      </c>
      <c r="S27" s="313">
        <v>43276</v>
      </c>
    </row>
    <row r="28" spans="1:19" s="308" customFormat="1" ht="36" customHeight="1">
      <c r="A28" s="345"/>
      <c r="B28" s="171" t="s">
        <v>989</v>
      </c>
      <c r="C28" s="285" t="s">
        <v>740</v>
      </c>
      <c r="D28" s="44">
        <v>5</v>
      </c>
      <c r="E28" s="44">
        <v>5</v>
      </c>
      <c r="F28" s="173">
        <f t="shared" si="9"/>
        <v>1</v>
      </c>
      <c r="G28" s="44">
        <f t="shared" si="17"/>
        <v>800000</v>
      </c>
      <c r="H28" s="44">
        <v>180588.7446299826</v>
      </c>
      <c r="I28" s="44">
        <v>188954.99999999994</v>
      </c>
      <c r="J28" s="274">
        <f t="shared" si="14"/>
        <v>1.046327667802107</v>
      </c>
      <c r="K28" s="44">
        <f t="shared" si="18"/>
        <v>2000000</v>
      </c>
      <c r="L28" s="44">
        <f t="shared" si="19"/>
        <v>1000000</v>
      </c>
      <c r="M28" s="44">
        <v>5</v>
      </c>
      <c r="N28" s="44">
        <v>5</v>
      </c>
      <c r="O28" s="173">
        <f t="shared" si="21"/>
        <v>1</v>
      </c>
      <c r="P28" s="44">
        <f t="shared" si="20"/>
        <v>2200000</v>
      </c>
      <c r="Q28" s="44">
        <f t="shared" si="22"/>
        <v>6000000</v>
      </c>
      <c r="R28" s="44">
        <f t="shared" si="16"/>
        <v>6000000</v>
      </c>
      <c r="S28" s="313">
        <v>43566</v>
      </c>
    </row>
    <row r="29" spans="1:19" s="308" customFormat="1" ht="36" customHeight="1">
      <c r="A29" s="345"/>
      <c r="B29" s="171" t="s">
        <v>990</v>
      </c>
      <c r="C29" s="285" t="s">
        <v>741</v>
      </c>
      <c r="D29" s="44">
        <v>5</v>
      </c>
      <c r="E29" s="44">
        <v>5</v>
      </c>
      <c r="F29" s="173">
        <f t="shared" si="9"/>
        <v>1</v>
      </c>
      <c r="G29" s="44">
        <f t="shared" si="17"/>
        <v>800000</v>
      </c>
      <c r="H29" s="44">
        <v>180588.7446299826</v>
      </c>
      <c r="I29" s="44">
        <v>198549.2</v>
      </c>
      <c r="J29" s="274">
        <f t="shared" si="14"/>
        <v>1.0994550098170155</v>
      </c>
      <c r="K29" s="44">
        <f t="shared" si="18"/>
        <v>2000000</v>
      </c>
      <c r="L29" s="44">
        <f t="shared" si="19"/>
        <v>1000000</v>
      </c>
      <c r="M29" s="44">
        <v>5</v>
      </c>
      <c r="N29" s="44">
        <v>5</v>
      </c>
      <c r="O29" s="173">
        <f t="shared" si="12"/>
        <v>1</v>
      </c>
      <c r="P29" s="44">
        <f t="shared" si="20"/>
        <v>2200000</v>
      </c>
      <c r="Q29" s="44">
        <f t="shared" si="15"/>
        <v>6000000</v>
      </c>
      <c r="R29" s="44">
        <f t="shared" si="16"/>
        <v>6000000</v>
      </c>
      <c r="S29" s="313">
        <v>43568</v>
      </c>
    </row>
    <row r="30" spans="1:19" s="309" customFormat="1" ht="36" customHeight="1">
      <c r="A30" s="286"/>
      <c r="B30" s="286"/>
      <c r="C30" s="287" t="s">
        <v>16</v>
      </c>
      <c r="D30" s="288">
        <f>SUM(D22:D29)</f>
        <v>40</v>
      </c>
      <c r="E30" s="288">
        <f>SUM(E22:E29)</f>
        <v>40</v>
      </c>
      <c r="F30" s="289">
        <f>+IF(E30=0,0,E30/D30)</f>
        <v>1</v>
      </c>
      <c r="G30" s="288">
        <f>SUM(G22:G29)</f>
        <v>5933333.333333334</v>
      </c>
      <c r="H30" s="290">
        <f>+SUM(H22:H29)</f>
        <v>2006541.6069998071</v>
      </c>
      <c r="I30" s="288">
        <f>SUM(I22:I29)</f>
        <v>2098747.8000000003</v>
      </c>
      <c r="J30" s="289">
        <f>+IF(I30=0,0,I30/H30)</f>
        <v>1.0459527939408446</v>
      </c>
      <c r="K30" s="288">
        <f>+SUM(K22:K29)</f>
        <v>14833333.333333332</v>
      </c>
      <c r="L30" s="288">
        <f>+SUM(L22:L29)</f>
        <v>7416666.666666666</v>
      </c>
      <c r="M30" s="288">
        <f>+SUM(M22:M29)</f>
        <v>40</v>
      </c>
      <c r="N30" s="288">
        <f>+SUM(N22:N29)</f>
        <v>40</v>
      </c>
      <c r="O30" s="289">
        <f t="shared" si="12"/>
        <v>1</v>
      </c>
      <c r="P30" s="288">
        <f>+SUM(P22:P29)</f>
        <v>16316666.666666668</v>
      </c>
      <c r="Q30" s="288">
        <f>+SUM(Q22:Q29)</f>
        <v>44500000</v>
      </c>
      <c r="R30" s="290">
        <f>+SUM(R22:R29)</f>
        <v>44500000</v>
      </c>
      <c r="S30" s="288"/>
    </row>
    <row r="31" spans="1:19" s="41" customFormat="1" ht="18">
      <c r="A31" s="299"/>
      <c r="B31" s="299"/>
      <c r="C31" s="299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300"/>
      <c r="O31" s="299"/>
      <c r="P31" s="301"/>
      <c r="R31" s="299"/>
      <c r="S31" s="299"/>
    </row>
    <row r="32" spans="1:19" s="307" customFormat="1" ht="33" customHeight="1">
      <c r="A32" s="332" t="s">
        <v>1</v>
      </c>
      <c r="B32" s="332" t="s">
        <v>263</v>
      </c>
      <c r="C32" s="346" t="s">
        <v>19</v>
      </c>
      <c r="D32" s="332" t="s">
        <v>1014</v>
      </c>
      <c r="E32" s="332"/>
      <c r="F32" s="332"/>
      <c r="G32" s="332"/>
      <c r="H32" s="332" t="s">
        <v>22</v>
      </c>
      <c r="I32" s="332"/>
      <c r="J32" s="332"/>
      <c r="K32" s="332"/>
      <c r="L32" s="332"/>
      <c r="M32" s="332" t="s">
        <v>1015</v>
      </c>
      <c r="N32" s="332"/>
      <c r="O32" s="332"/>
      <c r="P32" s="332"/>
      <c r="Q32" s="332" t="s">
        <v>2</v>
      </c>
      <c r="R32" s="332" t="s">
        <v>27</v>
      </c>
      <c r="S32" s="332" t="s">
        <v>1011</v>
      </c>
    </row>
    <row r="33" spans="1:19" s="307" customFormat="1" ht="39" customHeight="1">
      <c r="A33" s="332"/>
      <c r="B33" s="332"/>
      <c r="C33" s="346"/>
      <c r="D33" s="10" t="s">
        <v>3</v>
      </c>
      <c r="E33" s="258" t="s">
        <v>4</v>
      </c>
      <c r="F33" s="12" t="s">
        <v>5</v>
      </c>
      <c r="G33" s="258" t="s">
        <v>6</v>
      </c>
      <c r="H33" s="258" t="s">
        <v>3</v>
      </c>
      <c r="I33" s="258" t="s">
        <v>4</v>
      </c>
      <c r="J33" s="12" t="s">
        <v>5</v>
      </c>
      <c r="K33" s="258" t="s">
        <v>6</v>
      </c>
      <c r="L33" s="258" t="s">
        <v>249</v>
      </c>
      <c r="M33" s="10" t="s">
        <v>3</v>
      </c>
      <c r="N33" s="258" t="s">
        <v>4</v>
      </c>
      <c r="O33" s="12" t="s">
        <v>5</v>
      </c>
      <c r="P33" s="258" t="s">
        <v>6</v>
      </c>
      <c r="Q33" s="332"/>
      <c r="R33" s="332"/>
      <c r="S33" s="332"/>
    </row>
    <row r="34" spans="1:19" s="308" customFormat="1" ht="42.75" customHeight="1">
      <c r="A34" s="335" t="s">
        <v>246</v>
      </c>
      <c r="B34" s="130" t="s">
        <v>291</v>
      </c>
      <c r="C34" s="285" t="s">
        <v>244</v>
      </c>
      <c r="D34" s="291">
        <v>5</v>
      </c>
      <c r="E34" s="291">
        <v>5</v>
      </c>
      <c r="F34" s="13">
        <f t="shared" ref="F34:F40" si="23">+IF(E34=0,0,E34/D34)</f>
        <v>1</v>
      </c>
      <c r="G34" s="44">
        <f>+IF(F34&gt;=100%,800000,IF(F34&gt;=80%,500000,0))</f>
        <v>800000</v>
      </c>
      <c r="H34" s="44">
        <v>392066.10875016695</v>
      </c>
      <c r="I34" s="44">
        <v>225219.30000000002</v>
      </c>
      <c r="J34" s="13">
        <f>+IF(I34=0,0,I34/H34)</f>
        <v>0.57444215394683518</v>
      </c>
      <c r="K34" s="44">
        <f>IF(AND(J34&gt;=90%,J34&lt;95%),1200000,IF(AND(J34&gt;=95%,J34&lt;100%),1500000,IF(J34&gt;=100%,2000000,0)))</f>
        <v>0</v>
      </c>
      <c r="L34" s="44">
        <f t="shared" ref="L34:L40" si="24">IF(J34&gt;=100%,1000000,0)</f>
        <v>0</v>
      </c>
      <c r="M34" s="291">
        <v>5</v>
      </c>
      <c r="N34" s="291">
        <v>5</v>
      </c>
      <c r="O34" s="90">
        <f t="shared" ref="O34:O41" si="25">+IF(N34=0,0,N34/M34)</f>
        <v>1</v>
      </c>
      <c r="P34" s="44">
        <f>+IF(O34&gt;=100%,2200000,IF(O34&gt;=80%,1500000,0))</f>
        <v>2200000</v>
      </c>
      <c r="Q34" s="291">
        <f>+SUM(L34,P34,K34,G34)</f>
        <v>3000000</v>
      </c>
      <c r="R34" s="44">
        <f>+Q34</f>
        <v>3000000</v>
      </c>
      <c r="S34" s="313">
        <v>41708</v>
      </c>
    </row>
    <row r="35" spans="1:19" s="308" customFormat="1" ht="42.75" customHeight="1">
      <c r="A35" s="335"/>
      <c r="B35" s="130" t="s">
        <v>287</v>
      </c>
      <c r="C35" s="285" t="s">
        <v>265</v>
      </c>
      <c r="D35" s="291">
        <v>5</v>
      </c>
      <c r="E35" s="291">
        <v>5</v>
      </c>
      <c r="F35" s="13">
        <f t="shared" si="23"/>
        <v>1</v>
      </c>
      <c r="G35" s="44">
        <f>+IF(F35&gt;=100%,800000,IF(F35&gt;=80%,500000,0))</f>
        <v>800000</v>
      </c>
      <c r="H35" s="44">
        <v>392066.10875016695</v>
      </c>
      <c r="I35" s="44">
        <v>252499.40000000002</v>
      </c>
      <c r="J35" s="13">
        <f t="shared" ref="J35:J41" si="26">+IF(I35=0,0,I35/H35)</f>
        <v>0.64402251142012923</v>
      </c>
      <c r="K35" s="44">
        <f t="shared" ref="K35:K38" si="27">IF(AND(J35&gt;=90%,J35&lt;95%),1200000,IF(AND(J35&gt;=95%,J35&lt;100%),1500000,IF(J35&gt;=100%,2000000,0)))</f>
        <v>0</v>
      </c>
      <c r="L35" s="44">
        <f t="shared" si="24"/>
        <v>0</v>
      </c>
      <c r="M35" s="291">
        <v>5</v>
      </c>
      <c r="N35" s="291">
        <v>5</v>
      </c>
      <c r="O35" s="90">
        <f>+IF(N35=0,0,N35/M35)</f>
        <v>1</v>
      </c>
      <c r="P35" s="44">
        <f>+IF(O35&gt;=100%,2200000,IF(O35&gt;=80%,1500000,0))</f>
        <v>2200000</v>
      </c>
      <c r="Q35" s="291">
        <f>+SUM(L35,P35,K35,G35)</f>
        <v>3000000</v>
      </c>
      <c r="R35" s="44">
        <f t="shared" ref="R35:R40" si="28">+Q35</f>
        <v>3000000</v>
      </c>
      <c r="S35" s="313">
        <v>43061</v>
      </c>
    </row>
    <row r="36" spans="1:19" s="308" customFormat="1" ht="42.75" customHeight="1">
      <c r="A36" s="335"/>
      <c r="B36" s="130" t="s">
        <v>288</v>
      </c>
      <c r="C36" s="285" t="s">
        <v>267</v>
      </c>
      <c r="D36" s="291">
        <v>5</v>
      </c>
      <c r="E36" s="291">
        <v>5</v>
      </c>
      <c r="F36" s="13">
        <f t="shared" si="23"/>
        <v>1</v>
      </c>
      <c r="G36" s="44">
        <f>+IF(F36&gt;=100%,800000,IF(F36&gt;=80%,500000,0))</f>
        <v>800000</v>
      </c>
      <c r="H36" s="44">
        <v>392066.10875016695</v>
      </c>
      <c r="I36" s="44">
        <v>271325.8</v>
      </c>
      <c r="J36" s="13">
        <f t="shared" si="26"/>
        <v>0.69204094397482008</v>
      </c>
      <c r="K36" s="44">
        <f t="shared" si="27"/>
        <v>0</v>
      </c>
      <c r="L36" s="44">
        <f t="shared" si="24"/>
        <v>0</v>
      </c>
      <c r="M36" s="291">
        <v>5</v>
      </c>
      <c r="N36" s="291">
        <v>5</v>
      </c>
      <c r="O36" s="90">
        <f t="shared" si="25"/>
        <v>1</v>
      </c>
      <c r="P36" s="44">
        <f>+IF(O36&gt;=100%,2200000,IF(O36&gt;=80%,1500000,0))</f>
        <v>2200000</v>
      </c>
      <c r="Q36" s="291">
        <f t="shared" ref="Q36:Q37" si="29">+SUM(L36,P36,K36,G36)</f>
        <v>3000000</v>
      </c>
      <c r="R36" s="44">
        <f t="shared" si="28"/>
        <v>3000000</v>
      </c>
      <c r="S36" s="313">
        <v>42647</v>
      </c>
    </row>
    <row r="37" spans="1:19" s="308" customFormat="1" ht="42.75" customHeight="1">
      <c r="A37" s="335"/>
      <c r="B37" s="130" t="s">
        <v>289</v>
      </c>
      <c r="C37" s="285" t="s">
        <v>266</v>
      </c>
      <c r="D37" s="291">
        <v>5</v>
      </c>
      <c r="E37" s="291">
        <v>5</v>
      </c>
      <c r="F37" s="13">
        <f t="shared" si="23"/>
        <v>1</v>
      </c>
      <c r="G37" s="44">
        <f>+IF(F37&gt;=100%,800000,IF(F37&gt;=80%,500000,0))</f>
        <v>800000</v>
      </c>
      <c r="H37" s="44">
        <v>392066.10875016695</v>
      </c>
      <c r="I37" s="44">
        <v>399200.99999999994</v>
      </c>
      <c r="J37" s="13">
        <f t="shared" si="26"/>
        <v>1.0181981841597523</v>
      </c>
      <c r="K37" s="44">
        <f t="shared" si="27"/>
        <v>2000000</v>
      </c>
      <c r="L37" s="44">
        <f t="shared" si="24"/>
        <v>1000000</v>
      </c>
      <c r="M37" s="291">
        <v>5</v>
      </c>
      <c r="N37" s="291">
        <v>5</v>
      </c>
      <c r="O37" s="13">
        <f t="shared" si="25"/>
        <v>1</v>
      </c>
      <c r="P37" s="44">
        <f>+IF(O37&gt;=100%,2200000,IF(O37&gt;=80%,1500000,0))</f>
        <v>2200000</v>
      </c>
      <c r="Q37" s="291">
        <f t="shared" si="29"/>
        <v>6000000</v>
      </c>
      <c r="R37" s="44">
        <f t="shared" si="28"/>
        <v>6000000</v>
      </c>
      <c r="S37" s="313">
        <v>43160</v>
      </c>
    </row>
    <row r="38" spans="1:19" s="308" customFormat="1" ht="42.75" customHeight="1">
      <c r="A38" s="335"/>
      <c r="B38" s="130" t="s">
        <v>290</v>
      </c>
      <c r="C38" s="285" t="s">
        <v>304</v>
      </c>
      <c r="D38" s="291"/>
      <c r="E38" s="291"/>
      <c r="F38" s="13">
        <f>+IF(E38=0,0,E38/D38)</f>
        <v>0</v>
      </c>
      <c r="G38" s="44">
        <f>+IF(F38&gt;=100%,800000,IF(F38&gt;=80%,500000,0))</f>
        <v>0</v>
      </c>
      <c r="H38" s="44">
        <v>392066.10875016695</v>
      </c>
      <c r="I38" s="44">
        <v>4567.2</v>
      </c>
      <c r="J38" s="13">
        <f t="shared" si="26"/>
        <v>1.1649055855808029E-2</v>
      </c>
      <c r="K38" s="44">
        <f t="shared" si="27"/>
        <v>0</v>
      </c>
      <c r="L38" s="44">
        <f t="shared" si="24"/>
        <v>0</v>
      </c>
      <c r="M38" s="291"/>
      <c r="N38" s="291"/>
      <c r="O38" s="13">
        <f>+IF(N38=0,0,N38/M38)</f>
        <v>0</v>
      </c>
      <c r="P38" s="44">
        <f>+IF(O38&gt;=100%,2200000,IF(O38&gt;=80%,1500000,0))</f>
        <v>0</v>
      </c>
      <c r="Q38" s="291">
        <f>+SUM(L38,P38,K38,G38)</f>
        <v>0</v>
      </c>
      <c r="R38" s="44">
        <f t="shared" si="28"/>
        <v>0</v>
      </c>
      <c r="S38" s="313">
        <v>42891</v>
      </c>
    </row>
    <row r="39" spans="1:19" s="308" customFormat="1" ht="42.75" customHeight="1">
      <c r="A39" s="335" t="s">
        <v>257</v>
      </c>
      <c r="B39" s="130" t="s">
        <v>286</v>
      </c>
      <c r="C39" s="285" t="s">
        <v>260</v>
      </c>
      <c r="D39" s="291">
        <v>5</v>
      </c>
      <c r="E39" s="291">
        <v>5</v>
      </c>
      <c r="F39" s="13">
        <f t="shared" si="23"/>
        <v>1</v>
      </c>
      <c r="G39" s="44">
        <f t="shared" ref="G39:G40" si="30">+IF(F39&gt;=100%,1500000,IF(F39&gt;=80%,1000000,0))</f>
        <v>1500000</v>
      </c>
      <c r="H39" s="44">
        <v>392066.1087501669</v>
      </c>
      <c r="I39" s="44">
        <v>237287.3753132</v>
      </c>
      <c r="J39" s="13">
        <f t="shared" si="26"/>
        <v>0.60522286935136416</v>
      </c>
      <c r="K39" s="44">
        <f t="shared" ref="K39:K40" si="31">IF(AND(J39&gt;=90%,J39&lt;95%),1000000,IF(AND(J39&gt;=95%,J39&lt;100%),1300000,IF(J39&gt;=100%,2000000,0)))</f>
        <v>0</v>
      </c>
      <c r="L39" s="44">
        <f t="shared" si="24"/>
        <v>0</v>
      </c>
      <c r="M39" s="291">
        <v>5</v>
      </c>
      <c r="N39" s="291">
        <v>5</v>
      </c>
      <c r="O39" s="13">
        <f t="shared" si="25"/>
        <v>1</v>
      </c>
      <c r="P39" s="44">
        <f>+IF(O39&gt;=100%,1500000,IF(O39&gt;=80%,1000000,0))</f>
        <v>1500000</v>
      </c>
      <c r="Q39" s="291">
        <f>+SUM(L39,P39,K39,G39)</f>
        <v>3000000</v>
      </c>
      <c r="R39" s="44">
        <f t="shared" si="28"/>
        <v>3000000</v>
      </c>
      <c r="S39" s="313">
        <v>41974</v>
      </c>
    </row>
    <row r="40" spans="1:19" s="308" customFormat="1" ht="42.75" customHeight="1">
      <c r="A40" s="335"/>
      <c r="B40" s="130" t="s">
        <v>292</v>
      </c>
      <c r="C40" s="285" t="s">
        <v>255</v>
      </c>
      <c r="D40" s="291">
        <v>5</v>
      </c>
      <c r="E40" s="291">
        <v>5</v>
      </c>
      <c r="F40" s="13">
        <f t="shared" si="23"/>
        <v>1</v>
      </c>
      <c r="G40" s="44">
        <f t="shared" si="30"/>
        <v>1500000</v>
      </c>
      <c r="H40" s="44">
        <v>261377.40583344462</v>
      </c>
      <c r="I40" s="44">
        <v>289801.03586499998</v>
      </c>
      <c r="J40" s="13">
        <f t="shared" si="26"/>
        <v>1.1087455510583326</v>
      </c>
      <c r="K40" s="44">
        <f t="shared" si="31"/>
        <v>2000000</v>
      </c>
      <c r="L40" s="44">
        <f t="shared" si="24"/>
        <v>1000000</v>
      </c>
      <c r="M40" s="291">
        <v>5</v>
      </c>
      <c r="N40" s="291">
        <v>5</v>
      </c>
      <c r="O40" s="13">
        <f t="shared" si="25"/>
        <v>1</v>
      </c>
      <c r="P40" s="44">
        <f>+IF(O40&gt;=100%,1500000,IF(O40&gt;=80%,1000000,0))</f>
        <v>1500000</v>
      </c>
      <c r="Q40" s="291">
        <f>+SUM(L40,P40,K40,G40)</f>
        <v>6000000</v>
      </c>
      <c r="R40" s="44">
        <f t="shared" si="28"/>
        <v>6000000</v>
      </c>
      <c r="S40" s="313">
        <v>42475</v>
      </c>
    </row>
    <row r="41" spans="1:19" s="309" customFormat="1" ht="36" customHeight="1">
      <c r="A41" s="286"/>
      <c r="B41" s="286"/>
      <c r="C41" s="287" t="s">
        <v>258</v>
      </c>
      <c r="D41" s="288">
        <f>SUM(D34:D40)</f>
        <v>30</v>
      </c>
      <c r="E41" s="288">
        <f>SUM(E34:E40)</f>
        <v>30</v>
      </c>
      <c r="F41" s="289">
        <f>+IF(E41=0,0,E41/D41)</f>
        <v>1</v>
      </c>
      <c r="G41" s="288">
        <f>SUM(G34:G40)</f>
        <v>6200000</v>
      </c>
      <c r="H41" s="290">
        <f>SUM(H34:H40)</f>
        <v>2613774.058334446</v>
      </c>
      <c r="I41" s="288">
        <f>SUM(I34:I40)</f>
        <v>1679901.1111782</v>
      </c>
      <c r="J41" s="289">
        <f t="shared" si="26"/>
        <v>0.64271091291213966</v>
      </c>
      <c r="K41" s="288">
        <f>+SUM(K34:K40)</f>
        <v>4000000</v>
      </c>
      <c r="L41" s="288">
        <f>+SUM(L34:L40)</f>
        <v>2000000</v>
      </c>
      <c r="M41" s="288">
        <f>+SUM(M34:M40)</f>
        <v>30</v>
      </c>
      <c r="N41" s="288">
        <f>+SUM(N34:N40)</f>
        <v>30</v>
      </c>
      <c r="O41" s="289">
        <f t="shared" si="25"/>
        <v>1</v>
      </c>
      <c r="P41" s="288">
        <f>+SUM(P34:P40)</f>
        <v>11800000</v>
      </c>
      <c r="Q41" s="288">
        <f>+SUM(Q34:Q40)</f>
        <v>24000000</v>
      </c>
      <c r="R41" s="290">
        <f>+SUM(R34:R40)</f>
        <v>24000000</v>
      </c>
      <c r="S41" s="288"/>
    </row>
    <row r="42" spans="1:19">
      <c r="A42" s="40"/>
      <c r="B42" s="40"/>
      <c r="C42" s="40"/>
      <c r="D42" s="302"/>
      <c r="E42" s="302"/>
      <c r="F42" s="303"/>
      <c r="G42" s="302"/>
      <c r="H42" s="302"/>
      <c r="I42" s="302"/>
      <c r="J42" s="303"/>
      <c r="K42" s="302"/>
      <c r="L42" s="302"/>
      <c r="M42" s="302"/>
      <c r="N42" s="303"/>
      <c r="O42" s="302"/>
      <c r="P42" s="40"/>
      <c r="Q42" s="40"/>
      <c r="R42" s="40"/>
      <c r="S42" s="40"/>
    </row>
    <row r="43" spans="1:19" s="307" customFormat="1" ht="41.25" customHeight="1">
      <c r="A43" s="332" t="s">
        <v>1</v>
      </c>
      <c r="B43" s="332" t="s">
        <v>263</v>
      </c>
      <c r="C43" s="346" t="s">
        <v>18</v>
      </c>
      <c r="D43" s="332" t="s">
        <v>1013</v>
      </c>
      <c r="E43" s="332"/>
      <c r="F43" s="332"/>
      <c r="G43" s="332"/>
      <c r="H43" s="332" t="s">
        <v>12</v>
      </c>
      <c r="I43" s="332"/>
      <c r="J43" s="332"/>
      <c r="K43" s="332"/>
      <c r="L43" s="332"/>
      <c r="M43" s="332" t="s">
        <v>23</v>
      </c>
      <c r="N43" s="332"/>
      <c r="O43" s="332"/>
      <c r="P43" s="332"/>
      <c r="Q43" s="332"/>
      <c r="R43" s="332" t="s">
        <v>27</v>
      </c>
      <c r="S43" s="332" t="s">
        <v>1011</v>
      </c>
    </row>
    <row r="44" spans="1:19" s="307" customFormat="1" ht="43.5" customHeight="1">
      <c r="A44" s="332"/>
      <c r="B44" s="332"/>
      <c r="C44" s="346"/>
      <c r="D44" s="10" t="s">
        <v>3</v>
      </c>
      <c r="E44" s="258" t="s">
        <v>4</v>
      </c>
      <c r="F44" s="12" t="s">
        <v>5</v>
      </c>
      <c r="G44" s="258" t="s">
        <v>6</v>
      </c>
      <c r="H44" s="10" t="s">
        <v>3</v>
      </c>
      <c r="I44" s="258" t="s">
        <v>4</v>
      </c>
      <c r="J44" s="12" t="s">
        <v>5</v>
      </c>
      <c r="K44" s="258" t="s">
        <v>6</v>
      </c>
      <c r="L44" s="258" t="s">
        <v>249</v>
      </c>
      <c r="M44" s="258" t="s">
        <v>3</v>
      </c>
      <c r="N44" s="258" t="s">
        <v>4</v>
      </c>
      <c r="O44" s="12" t="s">
        <v>5</v>
      </c>
      <c r="P44" s="258" t="s">
        <v>6</v>
      </c>
      <c r="Q44" s="258" t="s">
        <v>249</v>
      </c>
      <c r="R44" s="332"/>
      <c r="S44" s="332"/>
    </row>
    <row r="45" spans="1:19" s="309" customFormat="1" ht="36" customHeight="1">
      <c r="A45" s="292" t="s">
        <v>17</v>
      </c>
      <c r="B45" s="171" t="s">
        <v>991</v>
      </c>
      <c r="C45" s="293" t="s">
        <v>742</v>
      </c>
      <c r="D45" s="37">
        <f>SUM(D16:D17)+SUM(M16:M17)</f>
        <v>20</v>
      </c>
      <c r="E45" s="37">
        <f>SUM(E16:E17)+SUM(N16:N17)</f>
        <v>20</v>
      </c>
      <c r="F45" s="38">
        <f>+IF(E45=0,0,E45/D45)</f>
        <v>1</v>
      </c>
      <c r="G45" s="37">
        <f>+IF(F45&gt;=100%,1500000,IF(F45&gt;=95%,1200000,0))</f>
        <v>1500000</v>
      </c>
      <c r="H45" s="107">
        <f>+SUM(H16:H17)</f>
        <v>662509.72299084871</v>
      </c>
      <c r="I45" s="107">
        <f>(+SUM(I16:I17))+58427.6991364</f>
        <v>681157.83644500014</v>
      </c>
      <c r="J45" s="91">
        <f>+IF(I45=0,0,I45/H45)</f>
        <v>1.0281476826784759</v>
      </c>
      <c r="K45" s="37">
        <f>(+IF(AND(J45&gt;=90%,J45&lt;95%),500000,IF(AND(J45&gt;=95%,J45&lt;100%),700000,IF(J45&gt;=100%,1000000,0))))</f>
        <v>1000000</v>
      </c>
      <c r="L45" s="37">
        <f>IF(J45&gt;=100%,1500000,0)</f>
        <v>1500000</v>
      </c>
      <c r="M45" s="37">
        <f>H45</f>
        <v>662509.72299084871</v>
      </c>
      <c r="N45" s="37">
        <f>+I16+I17</f>
        <v>622730.13730860013</v>
      </c>
      <c r="O45" s="38">
        <f>+IF(N45=0,0,N45/M45)</f>
        <v>0.93995622358164532</v>
      </c>
      <c r="P45" s="37">
        <f>(+IF(AND(O45&gt;=90%,O45&lt;95%),960000,IF(AND(O45&gt;=95%,O45&lt;100%),1260000,IF(O45&gt;=100%,1920000,0))))</f>
        <v>960000</v>
      </c>
      <c r="Q45" s="37">
        <f>IF(O45&gt;=100%,1280000,0)</f>
        <v>0</v>
      </c>
      <c r="R45" s="37">
        <f>SUM(G45,K45,L45,P45,Q45)</f>
        <v>4960000</v>
      </c>
      <c r="S45" s="313">
        <v>42551</v>
      </c>
    </row>
    <row r="46" spans="1:19" s="309" customFormat="1" ht="36" customHeight="1">
      <c r="A46" s="292" t="s">
        <v>17</v>
      </c>
      <c r="B46" s="171" t="str">
        <f>VLOOKUP(C46,'[1]HCM 1'!$B$3:$G$171,2,0)</f>
        <v>NBTS00605</v>
      </c>
      <c r="C46" s="293" t="s">
        <v>26</v>
      </c>
      <c r="D46" s="37">
        <f>+SUM(D6:D15)+SUM(M6:M15)</f>
        <v>80</v>
      </c>
      <c r="E46" s="37">
        <f>+SUM(E6:E15)+SUM(N6:N15)</f>
        <v>80</v>
      </c>
      <c r="F46" s="38">
        <f t="shared" ref="F46:F51" si="32">+IF(E46=0,0,E46/D46)</f>
        <v>1</v>
      </c>
      <c r="G46" s="37">
        <f t="shared" ref="G46:G48" si="33">+IF(F46&gt;=100%,1500000,IF(F46&gt;=95%,1200000,0))</f>
        <v>1500000</v>
      </c>
      <c r="H46" s="107">
        <f>+SUM(H6:H15)</f>
        <v>1895914.2705446943</v>
      </c>
      <c r="I46" s="107">
        <f>+SUM(I6:I15)</f>
        <v>1841002</v>
      </c>
      <c r="J46" s="91">
        <f t="shared" ref="J46:J50" si="34">+IF(I46=0,0,I46/H46)</f>
        <v>0.97103652237982363</v>
      </c>
      <c r="K46" s="37">
        <f t="shared" ref="K46:K48" si="35">(+IF(AND(J46&gt;=90%,J46&lt;95%),500000,IF(AND(J46&gt;=95%,J46&lt;100%),700000,IF(J46&gt;=100%,1000000,0))))</f>
        <v>700000</v>
      </c>
      <c r="L46" s="44">
        <f t="shared" ref="L46:L48" si="36">IF(J46&gt;=100%,1500000,0)</f>
        <v>0</v>
      </c>
      <c r="M46" s="37">
        <f>H46</f>
        <v>1895914.2705446943</v>
      </c>
      <c r="N46" s="37">
        <f>I46</f>
        <v>1841002</v>
      </c>
      <c r="O46" s="38">
        <f t="shared" ref="O46:O51" si="37">+IF(N46=0,0,N46/M46)</f>
        <v>0.97103652237982363</v>
      </c>
      <c r="P46" s="37">
        <f t="shared" ref="P46:P48" si="38">(+IF(AND(O46&gt;=90%,O46&lt;95%),960000,IF(AND(O46&gt;=95%,O46&lt;100%),1260000,IF(O46&gt;=100%,1920000,0))))</f>
        <v>1260000</v>
      </c>
      <c r="Q46" s="37">
        <f t="shared" ref="Q46:Q48" si="39">IF(O46&gt;=100%,1280000,0)</f>
        <v>0</v>
      </c>
      <c r="R46" s="37">
        <f t="shared" ref="R46:R50" si="40">SUM(G46,K46,L46,P46,Q46)</f>
        <v>3460000</v>
      </c>
      <c r="S46" s="313">
        <v>41354</v>
      </c>
    </row>
    <row r="47" spans="1:19" s="309" customFormat="1" ht="36" customHeight="1">
      <c r="A47" s="292" t="s">
        <v>17</v>
      </c>
      <c r="B47" s="171" t="s">
        <v>277</v>
      </c>
      <c r="C47" s="293" t="s">
        <v>253</v>
      </c>
      <c r="D47" s="37">
        <f>+D30+M30</f>
        <v>80</v>
      </c>
      <c r="E47" s="37">
        <f>+E30+N30</f>
        <v>80</v>
      </c>
      <c r="F47" s="38">
        <f t="shared" si="32"/>
        <v>1</v>
      </c>
      <c r="G47" s="37">
        <f>+IF(F47&gt;=100%,1500000,IF(F47&gt;=95%,1200000,0))/24*14</f>
        <v>875000</v>
      </c>
      <c r="H47" s="107">
        <f>+H30</f>
        <v>2006541.6069998071</v>
      </c>
      <c r="I47" s="107">
        <f>+I30</f>
        <v>2098747.8000000003</v>
      </c>
      <c r="J47" s="91">
        <f t="shared" si="34"/>
        <v>1.0459527939408446</v>
      </c>
      <c r="K47" s="37">
        <f>(+IF(AND(J47&gt;=90%,J47&lt;95%),500000,IF(AND(J47&gt;=95%,J47&lt;100%),700000,IF(J47&gt;=100%,1000000,0))))/24*14</f>
        <v>583333.33333333326</v>
      </c>
      <c r="L47" s="37">
        <f>IF(J47&gt;=100%,1500000,0)/24*14</f>
        <v>875000</v>
      </c>
      <c r="M47" s="37">
        <v>1789162.2926886</v>
      </c>
      <c r="N47" s="37">
        <v>2144149.2828833</v>
      </c>
      <c r="O47" s="38">
        <f t="shared" si="37"/>
        <v>1.1984096085890876</v>
      </c>
      <c r="P47" s="37">
        <f>(+IF(AND(O47&gt;=90%,O47&lt;95%),960000,IF(AND(O47&gt;=95%,O47&lt;100%),1260000,IF(O47&gt;=100%,1920000,0))))/24*14</f>
        <v>1120000</v>
      </c>
      <c r="Q47" s="37">
        <f>IF(O47&gt;=100%,1280000,0)/24*14</f>
        <v>746666.66666666674</v>
      </c>
      <c r="R47" s="37">
        <f t="shared" si="40"/>
        <v>4200000</v>
      </c>
      <c r="S47" s="313">
        <v>43567</v>
      </c>
    </row>
    <row r="48" spans="1:19" s="309" customFormat="1" ht="36" customHeight="1">
      <c r="A48" s="292" t="s">
        <v>17</v>
      </c>
      <c r="B48" s="171" t="str">
        <f>VLOOKUP(C48,'[1]HCM 1'!$B$3:$G$171,2,0)</f>
        <v>NBTS00611</v>
      </c>
      <c r="C48" s="293" t="s">
        <v>256</v>
      </c>
      <c r="D48" s="37">
        <f>D41+M41</f>
        <v>60</v>
      </c>
      <c r="E48" s="37">
        <f>E41+N41</f>
        <v>60</v>
      </c>
      <c r="F48" s="38">
        <f t="shared" si="32"/>
        <v>1</v>
      </c>
      <c r="G48" s="37">
        <f t="shared" si="33"/>
        <v>1500000</v>
      </c>
      <c r="H48" s="107">
        <f>H41</f>
        <v>2613774.058334446</v>
      </c>
      <c r="I48" s="107">
        <f>I41+5951</f>
        <v>1685852.1111782</v>
      </c>
      <c r="J48" s="91">
        <f t="shared" si="34"/>
        <v>0.64498769731170325</v>
      </c>
      <c r="K48" s="37">
        <f t="shared" si="35"/>
        <v>0</v>
      </c>
      <c r="L48" s="44">
        <f t="shared" si="36"/>
        <v>0</v>
      </c>
      <c r="M48" s="37">
        <v>2489308.6269851867</v>
      </c>
      <c r="N48" s="37">
        <f>1860033.33945+I39+I40</f>
        <v>2387121.7506281999</v>
      </c>
      <c r="O48" s="38">
        <f t="shared" si="37"/>
        <v>0.95894969581142464</v>
      </c>
      <c r="P48" s="37">
        <f t="shared" si="38"/>
        <v>1260000</v>
      </c>
      <c r="Q48" s="37">
        <f t="shared" si="39"/>
        <v>0</v>
      </c>
      <c r="R48" s="37">
        <f t="shared" si="40"/>
        <v>2760000</v>
      </c>
      <c r="S48" s="313">
        <v>41708</v>
      </c>
    </row>
    <row r="49" spans="1:19" s="309" customFormat="1" ht="36" customHeight="1">
      <c r="A49" s="292" t="s">
        <v>245</v>
      </c>
      <c r="B49" s="280" t="s">
        <v>992</v>
      </c>
      <c r="C49" s="294" t="s">
        <v>743</v>
      </c>
      <c r="D49" s="37"/>
      <c r="E49" s="37"/>
      <c r="F49" s="38"/>
      <c r="G49" s="37"/>
      <c r="H49" s="37">
        <f>H48</f>
        <v>2613774.058334446</v>
      </c>
      <c r="I49" s="37">
        <f>I48</f>
        <v>1685852.1111782</v>
      </c>
      <c r="J49" s="91">
        <f t="shared" si="34"/>
        <v>0.64498769731170325</v>
      </c>
      <c r="K49" s="37">
        <f>(+IF(AND(J49&gt;=90%,J49&lt;95%),1200000,IF(AND(J49&gt;=95%,J49&lt;100%),1500000,IF(J49&gt;=100%,1700000,0))))</f>
        <v>0</v>
      </c>
      <c r="L49" s="37">
        <f>IF(J49&gt;=100%,2500000,0)</f>
        <v>0</v>
      </c>
      <c r="M49" s="37">
        <f>M48</f>
        <v>2489308.6269851867</v>
      </c>
      <c r="N49" s="37">
        <f>N48</f>
        <v>2387121.7506281999</v>
      </c>
      <c r="O49" s="38">
        <f t="shared" si="37"/>
        <v>0.95894969581142464</v>
      </c>
      <c r="P49" s="37">
        <f>(+IF(AND(O49&gt;=90%,O49&lt;95%),2700000,IF(AND(O49&gt;=95%,O49&lt;100%),4500000,IF(O49&gt;=100%,6000000,0))))</f>
        <v>4500000</v>
      </c>
      <c r="Q49" s="37"/>
      <c r="R49" s="37">
        <f t="shared" si="40"/>
        <v>4500000</v>
      </c>
      <c r="S49" s="313" t="s">
        <v>1012</v>
      </c>
    </row>
    <row r="50" spans="1:19" s="309" customFormat="1" ht="36" customHeight="1">
      <c r="A50" s="292" t="s">
        <v>245</v>
      </c>
      <c r="B50" s="280" t="s">
        <v>993</v>
      </c>
      <c r="C50" s="294" t="s">
        <v>744</v>
      </c>
      <c r="D50" s="37"/>
      <c r="E50" s="37"/>
      <c r="F50" s="38"/>
      <c r="G50" s="37"/>
      <c r="H50" s="37">
        <f>SUM(H45:H47)</f>
        <v>4564965.6005353499</v>
      </c>
      <c r="I50" s="37">
        <f>SUM(I45:I47)</f>
        <v>4620907.6364450008</v>
      </c>
      <c r="J50" s="91">
        <f t="shared" si="34"/>
        <v>1.0122546456654766</v>
      </c>
      <c r="K50" s="37">
        <f>(+IF(AND(J50&gt;=90%,J50&lt;95%),1200000,IF(AND(J50&gt;=95%,J50&lt;100%),1500000,IF(J50&gt;=100%,1700000,0))))</f>
        <v>1700000</v>
      </c>
      <c r="L50" s="37">
        <f>IF(J50&gt;=100%,2500000,0)</f>
        <v>2500000</v>
      </c>
      <c r="M50" s="37">
        <f>SUM(M45:M47)</f>
        <v>4347586.2862241426</v>
      </c>
      <c r="N50" s="37">
        <f>SUM(N45:N47)</f>
        <v>4607881.4201919008</v>
      </c>
      <c r="O50" s="38">
        <f t="shared" si="37"/>
        <v>1.0598711829578944</v>
      </c>
      <c r="P50" s="37">
        <f>(+IF(AND(O50&gt;=90%,O50&lt;95%),2700000,IF(AND(O50&gt;=95%,O50&lt;100%),4500000,IF(O50&gt;=100%,6000000,0))))</f>
        <v>6000000</v>
      </c>
      <c r="Q50" s="37"/>
      <c r="R50" s="37">
        <f t="shared" si="40"/>
        <v>10200000</v>
      </c>
      <c r="S50" s="313"/>
    </row>
    <row r="51" spans="1:19" s="310" customFormat="1" ht="36" customHeight="1">
      <c r="A51" s="281"/>
      <c r="B51" s="281"/>
      <c r="C51" s="282" t="s">
        <v>1009</v>
      </c>
      <c r="D51" s="111">
        <f>SUM(D45:D48)</f>
        <v>240</v>
      </c>
      <c r="E51" s="111">
        <f>SUM(E45:E48)</f>
        <v>240</v>
      </c>
      <c r="F51" s="283">
        <f t="shared" si="32"/>
        <v>1</v>
      </c>
      <c r="G51" s="111">
        <f>SUM(G45:G50)</f>
        <v>5375000</v>
      </c>
      <c r="H51" s="111">
        <f>SUM(H49:H50)</f>
        <v>7178739.6588697955</v>
      </c>
      <c r="I51" s="111">
        <f>SUM(I49:I50)</f>
        <v>6306759.7476232005</v>
      </c>
      <c r="J51" s="283">
        <f>+IF(I51=0,0,I51/H51)</f>
        <v>0.8785330082044126</v>
      </c>
      <c r="K51" s="111">
        <f t="shared" ref="K51:L51" si="41">SUM(K45:K50)</f>
        <v>3983333.333333333</v>
      </c>
      <c r="L51" s="109">
        <f t="shared" si="41"/>
        <v>4875000</v>
      </c>
      <c r="M51" s="111">
        <f>SUM(M49:M50)</f>
        <v>6836894.9132093294</v>
      </c>
      <c r="N51" s="111">
        <f>SUM(N49:N50)</f>
        <v>6995003.1708201002</v>
      </c>
      <c r="O51" s="284">
        <f t="shared" si="37"/>
        <v>1.0231257405032357</v>
      </c>
      <c r="P51" s="111">
        <f t="shared" ref="P51:R51" si="42">SUM(P45:P50)</f>
        <v>15100000</v>
      </c>
      <c r="Q51" s="111">
        <f t="shared" si="42"/>
        <v>746666.66666666674</v>
      </c>
      <c r="R51" s="111">
        <f t="shared" si="42"/>
        <v>30080000</v>
      </c>
      <c r="S51" s="111">
        <v>0</v>
      </c>
    </row>
    <row r="52" spans="1:19" s="41" customFormat="1" ht="18">
      <c r="A52" s="19"/>
      <c r="B52" s="19"/>
      <c r="C52" s="19"/>
      <c r="D52" s="19"/>
      <c r="E52" s="93"/>
      <c r="F52" s="19"/>
      <c r="G52" s="116"/>
      <c r="H52"/>
      <c r="I52"/>
      <c r="J52" s="19"/>
      <c r="K52" s="116"/>
      <c r="L52" s="116"/>
      <c r="M52" s="116"/>
      <c r="N52" s="116"/>
      <c r="O52"/>
      <c r="P52" s="116"/>
      <c r="Q52" s="19"/>
      <c r="R52" s="19"/>
      <c r="S52" s="19"/>
    </row>
    <row r="53" spans="1:19" s="41" customFormat="1" ht="18">
      <c r="A53" s="19"/>
      <c r="B53" s="19"/>
      <c r="C53" s="19"/>
      <c r="D53" s="19"/>
      <c r="E53" s="19"/>
      <c r="F53" s="19"/>
      <c r="G53" s="116"/>
      <c r="H53" s="19"/>
      <c r="I53" s="19">
        <v>6242381.048486799</v>
      </c>
      <c r="J53" s="19"/>
      <c r="K53" s="116"/>
      <c r="L53" s="116"/>
      <c r="M53"/>
      <c r="N53"/>
      <c r="O53"/>
      <c r="P53" s="116"/>
      <c r="Q53" s="19"/>
      <c r="R53" s="19"/>
      <c r="S53" s="19"/>
    </row>
    <row r="54" spans="1:19" s="311" customFormat="1" ht="18">
      <c r="A54" s="24"/>
      <c r="B54" s="24"/>
      <c r="C54" s="35" t="s">
        <v>7</v>
      </c>
      <c r="D54" s="24"/>
      <c r="E54" s="24"/>
      <c r="F54" s="35" t="s">
        <v>8</v>
      </c>
      <c r="G54" s="35"/>
      <c r="H54" s="24"/>
      <c r="I54" s="360">
        <f>+I51-I53</f>
        <v>64378.699136401527</v>
      </c>
      <c r="J54" s="25"/>
      <c r="K54" s="35"/>
      <c r="L54" s="35"/>
      <c r="M54" s="95"/>
      <c r="N54" s="35" t="s">
        <v>8</v>
      </c>
      <c r="O54" s="24"/>
      <c r="P54" s="35"/>
      <c r="Q54" s="24"/>
      <c r="R54" s="35" t="s">
        <v>9</v>
      </c>
      <c r="S54" s="24"/>
    </row>
    <row r="55" spans="1:19" s="41" customFormat="1" ht="18">
      <c r="A55" s="19"/>
      <c r="B55" s="19"/>
      <c r="C55" s="18"/>
      <c r="D55" s="19"/>
      <c r="E55" s="19"/>
      <c r="F55" s="18"/>
      <c r="G55" s="18"/>
      <c r="H55" s="19"/>
      <c r="I55" s="160"/>
      <c r="J55" s="20"/>
      <c r="K55" s="18"/>
      <c r="L55" s="18"/>
      <c r="M55" s="19"/>
      <c r="N55" s="21"/>
      <c r="O55" s="19"/>
      <c r="P55" s="21"/>
      <c r="Q55" s="19"/>
      <c r="R55" s="21"/>
      <c r="S55" s="19"/>
    </row>
    <row r="56" spans="1:19" s="41" customFormat="1" ht="18">
      <c r="A56" s="19"/>
      <c r="B56" s="19"/>
      <c r="C56" s="18"/>
      <c r="D56" s="19"/>
      <c r="E56" s="19"/>
      <c r="F56" s="18"/>
      <c r="G56" s="18"/>
      <c r="H56" s="19"/>
      <c r="I56" s="160"/>
      <c r="J56" s="20"/>
      <c r="K56" s="18"/>
      <c r="L56" s="18"/>
      <c r="M56" s="19"/>
      <c r="N56" s="21"/>
      <c r="O56" s="19"/>
      <c r="P56" s="21"/>
      <c r="Q56" s="19"/>
      <c r="R56" s="21"/>
      <c r="S56" s="19"/>
    </row>
    <row r="57" spans="1:19" s="41" customFormat="1" ht="18">
      <c r="A57" s="19"/>
      <c r="B57" s="19"/>
      <c r="C57" s="18"/>
      <c r="D57" s="19"/>
      <c r="E57" s="19"/>
      <c r="F57" s="18"/>
      <c r="G57" s="18"/>
      <c r="H57" s="19"/>
      <c r="I57" s="160"/>
      <c r="J57" s="20"/>
      <c r="K57" s="18"/>
      <c r="L57" s="18"/>
      <c r="M57" s="19"/>
      <c r="N57" s="21"/>
      <c r="O57" s="19"/>
      <c r="P57" s="21"/>
      <c r="Q57" s="19"/>
      <c r="R57" s="21"/>
      <c r="S57" s="19"/>
    </row>
    <row r="58" spans="1:19" s="41" customFormat="1" ht="18">
      <c r="A58" s="19"/>
      <c r="B58" s="19"/>
      <c r="C58" s="18"/>
      <c r="D58" s="19"/>
      <c r="E58" s="19"/>
      <c r="F58" s="18"/>
      <c r="G58" s="18"/>
      <c r="H58" s="19"/>
      <c r="I58" s="160"/>
      <c r="J58" s="20"/>
      <c r="K58" s="18"/>
      <c r="L58" s="18"/>
      <c r="M58" s="19"/>
      <c r="N58" s="21"/>
      <c r="O58" s="19"/>
      <c r="P58" s="21"/>
      <c r="Q58" s="19"/>
      <c r="R58" s="21"/>
      <c r="S58" s="19"/>
    </row>
    <row r="59" spans="1:19" s="41" customFormat="1" ht="18">
      <c r="A59" s="19"/>
      <c r="B59" s="19"/>
      <c r="C59" s="18"/>
      <c r="D59" s="19"/>
      <c r="E59" s="19"/>
      <c r="F59" s="18"/>
      <c r="G59" s="18"/>
      <c r="H59" s="19"/>
      <c r="I59" s="160"/>
      <c r="J59" s="20"/>
      <c r="K59" s="18"/>
      <c r="L59" s="18"/>
      <c r="M59" s="19"/>
      <c r="N59" s="21"/>
      <c r="O59" s="19"/>
      <c r="P59" s="21"/>
      <c r="Q59" s="19"/>
      <c r="R59" s="21"/>
      <c r="S59" s="19"/>
    </row>
    <row r="60" spans="1:19" s="41" customFormat="1" ht="18">
      <c r="A60" s="19"/>
      <c r="B60" s="19"/>
      <c r="C60" s="18"/>
      <c r="D60" s="19"/>
      <c r="E60" s="19"/>
      <c r="F60" s="18"/>
      <c r="G60" s="18"/>
      <c r="H60" s="19"/>
      <c r="I60" s="160"/>
      <c r="J60" s="20"/>
      <c r="K60" s="18"/>
      <c r="L60" s="18"/>
      <c r="M60" s="19"/>
      <c r="N60" s="21"/>
      <c r="O60" s="19"/>
      <c r="P60" s="21"/>
      <c r="Q60" s="19"/>
      <c r="R60" s="21"/>
      <c r="S60" s="19"/>
    </row>
    <row r="61" spans="1:19" ht="18">
      <c r="C61" s="18"/>
      <c r="D61" s="19"/>
      <c r="E61" s="19"/>
      <c r="F61" s="18"/>
      <c r="G61" s="18"/>
      <c r="H61" s="23"/>
      <c r="I61" s="160"/>
      <c r="J61" s="20"/>
      <c r="K61" s="18"/>
      <c r="L61" s="18"/>
      <c r="M61" s="23"/>
      <c r="N61" s="21"/>
      <c r="P61" s="21"/>
      <c r="R61" s="21"/>
    </row>
    <row r="62" spans="1:19" s="312" customFormat="1" ht="18">
      <c r="A62" s="27"/>
      <c r="B62" s="27"/>
      <c r="C62" s="35" t="s">
        <v>1010</v>
      </c>
      <c r="D62" s="24"/>
      <c r="E62" s="24"/>
      <c r="F62" s="35" t="s">
        <v>1016</v>
      </c>
      <c r="G62" s="35"/>
      <c r="H62" s="27"/>
      <c r="I62" s="159" t="s">
        <v>299</v>
      </c>
      <c r="J62" s="25"/>
      <c r="K62" s="35"/>
      <c r="L62" s="35"/>
      <c r="M62" s="27"/>
      <c r="N62" s="35" t="s">
        <v>10</v>
      </c>
      <c r="O62" s="26"/>
      <c r="P62" s="35"/>
      <c r="Q62" s="27"/>
      <c r="R62" s="35" t="s">
        <v>11</v>
      </c>
      <c r="S62" s="27"/>
    </row>
    <row r="72" spans="1:3" hidden="1">
      <c r="A72" s="23" t="s">
        <v>24</v>
      </c>
      <c r="C72" s="23" t="s">
        <v>275</v>
      </c>
    </row>
    <row r="73" spans="1:3" hidden="1">
      <c r="A73" s="23" t="s">
        <v>256</v>
      </c>
      <c r="C73" s="23" t="s">
        <v>274</v>
      </c>
    </row>
  </sheetData>
  <autoFilter ref="A5:S19"/>
  <mergeCells count="39">
    <mergeCell ref="S4:S5"/>
    <mergeCell ref="A6:A17"/>
    <mergeCell ref="A4:A5"/>
    <mergeCell ref="B4:B5"/>
    <mergeCell ref="C4:C5"/>
    <mergeCell ref="D4:G4"/>
    <mergeCell ref="H4:L4"/>
    <mergeCell ref="M4:P4"/>
    <mergeCell ref="A20:A21"/>
    <mergeCell ref="C20:C21"/>
    <mergeCell ref="B20:B21"/>
    <mergeCell ref="Q4:Q5"/>
    <mergeCell ref="R4:R5"/>
    <mergeCell ref="A22:A29"/>
    <mergeCell ref="A32:A33"/>
    <mergeCell ref="B32:B33"/>
    <mergeCell ref="C32:C33"/>
    <mergeCell ref="D32:G32"/>
    <mergeCell ref="S43:S44"/>
    <mergeCell ref="Q32:Q33"/>
    <mergeCell ref="R32:R33"/>
    <mergeCell ref="S32:S33"/>
    <mergeCell ref="S20:S21"/>
    <mergeCell ref="A34:A38"/>
    <mergeCell ref="A39:A40"/>
    <mergeCell ref="A43:A44"/>
    <mergeCell ref="B43:B44"/>
    <mergeCell ref="C43:C44"/>
    <mergeCell ref="D43:G43"/>
    <mergeCell ref="H43:L43"/>
    <mergeCell ref="Q20:Q21"/>
    <mergeCell ref="R20:R21"/>
    <mergeCell ref="M20:P20"/>
    <mergeCell ref="H20:L20"/>
    <mergeCell ref="D20:G20"/>
    <mergeCell ref="M43:Q43"/>
    <mergeCell ref="R43:R44"/>
    <mergeCell ref="H32:L32"/>
    <mergeCell ref="M32:P32"/>
  </mergeCells>
  <printOptions horizontalCentered="1"/>
  <pageMargins left="0" right="0" top="0.25" bottom="0" header="0.17" footer="0"/>
  <pageSetup paperSize="9" scale="37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A16" workbookViewId="0">
      <selection activeCell="G23" sqref="G23"/>
    </sheetView>
  </sheetViews>
  <sheetFormatPr defaultRowHeight="15"/>
  <cols>
    <col min="1" max="1" width="45.85546875" bestFit="1" customWidth="1"/>
    <col min="2" max="2" width="26.28515625" bestFit="1" customWidth="1"/>
    <col min="4" max="4" width="32" style="204" bestFit="1" customWidth="1"/>
    <col min="6" max="6" width="19" bestFit="1" customWidth="1"/>
    <col min="7" max="7" width="25" bestFit="1" customWidth="1"/>
    <col min="8" max="8" width="20.5703125" bestFit="1" customWidth="1"/>
    <col min="9" max="9" width="25.5703125" bestFit="1" customWidth="1"/>
    <col min="10" max="10" width="16.28515625" bestFit="1" customWidth="1"/>
    <col min="11" max="11" width="12.42578125" bestFit="1" customWidth="1"/>
    <col min="12" max="12" width="16.85546875" bestFit="1" customWidth="1"/>
    <col min="13" max="13" width="13.5703125" bestFit="1" customWidth="1"/>
    <col min="14" max="14" width="16" bestFit="1" customWidth="1"/>
    <col min="15" max="15" width="18.85546875" bestFit="1" customWidth="1"/>
    <col min="16" max="17" width="15.140625" bestFit="1" customWidth="1"/>
    <col min="18" max="18" width="14" bestFit="1" customWidth="1"/>
    <col min="19" max="19" width="13.7109375" bestFit="1" customWidth="1"/>
  </cols>
  <sheetData>
    <row r="1" spans="1:22" ht="18">
      <c r="A1" s="235" t="s">
        <v>742</v>
      </c>
      <c r="B1" s="257">
        <v>681157.83644500014</v>
      </c>
    </row>
    <row r="3" spans="1:22">
      <c r="A3" t="s">
        <v>300</v>
      </c>
      <c r="B3" t="s">
        <v>301</v>
      </c>
      <c r="D3" s="204">
        <v>293205</v>
      </c>
      <c r="G3" s="272" t="s">
        <v>348</v>
      </c>
      <c r="H3" s="272" t="s">
        <v>418</v>
      </c>
      <c r="I3" s="272" t="s">
        <v>436</v>
      </c>
      <c r="J3" s="272" t="s">
        <v>464</v>
      </c>
      <c r="K3" s="272" t="s">
        <v>470</v>
      </c>
      <c r="L3" s="272" t="s">
        <v>478</v>
      </c>
      <c r="M3" s="272" t="s">
        <v>485</v>
      </c>
      <c r="N3" s="272" t="s">
        <v>523</v>
      </c>
      <c r="O3" s="272" t="s">
        <v>529</v>
      </c>
      <c r="P3" s="272" t="s">
        <v>542</v>
      </c>
      <c r="Q3" s="272" t="s">
        <v>557</v>
      </c>
      <c r="R3" s="272" t="s">
        <v>560</v>
      </c>
      <c r="S3" s="272" t="s">
        <v>601</v>
      </c>
    </row>
    <row r="4" spans="1:22">
      <c r="A4" t="s">
        <v>285</v>
      </c>
      <c r="B4" t="s">
        <v>270</v>
      </c>
      <c r="D4" s="204">
        <v>387952.84645500005</v>
      </c>
      <c r="G4" s="272" t="s">
        <v>422</v>
      </c>
      <c r="H4" s="272" t="s">
        <v>439</v>
      </c>
      <c r="I4" s="272" t="s">
        <v>451</v>
      </c>
      <c r="J4" s="272" t="s">
        <v>460</v>
      </c>
      <c r="K4" s="272" t="s">
        <v>467</v>
      </c>
      <c r="L4" s="272" t="s">
        <v>473</v>
      </c>
      <c r="M4" s="272" t="s">
        <v>500</v>
      </c>
      <c r="N4" s="272" t="s">
        <v>526</v>
      </c>
      <c r="O4" s="272" t="s">
        <v>532</v>
      </c>
      <c r="P4" s="272" t="s">
        <v>551</v>
      </c>
      <c r="Q4" s="272" t="s">
        <v>554</v>
      </c>
      <c r="R4" s="272" t="s">
        <v>597</v>
      </c>
      <c r="S4" s="272"/>
      <c r="T4" s="272"/>
      <c r="U4" s="272"/>
      <c r="V4" s="272"/>
    </row>
    <row r="5" spans="1:22">
      <c r="B5" t="s">
        <v>998</v>
      </c>
      <c r="E5" s="204">
        <v>-58427.699136399999</v>
      </c>
    </row>
    <row r="7" spans="1:22">
      <c r="A7" s="271" t="s">
        <v>999</v>
      </c>
    </row>
    <row r="8" spans="1:22">
      <c r="B8" t="s">
        <v>301</v>
      </c>
      <c r="D8" s="204">
        <f>+D3+E5</f>
        <v>234777.30086359999</v>
      </c>
    </row>
    <row r="9" spans="1:22">
      <c r="B9" t="s">
        <v>270</v>
      </c>
      <c r="D9" s="204">
        <f>+D4</f>
        <v>387952.84645500005</v>
      </c>
    </row>
    <row r="10" spans="1:22" ht="15.75">
      <c r="A10" s="269"/>
      <c r="B10" s="269" t="s">
        <v>742</v>
      </c>
      <c r="C10" s="269"/>
      <c r="D10" s="270">
        <f>+D8+D9</f>
        <v>622730.14731859998</v>
      </c>
    </row>
    <row r="12" spans="1:22">
      <c r="A12" s="271" t="s">
        <v>1000</v>
      </c>
    </row>
    <row r="13" spans="1:22">
      <c r="B13" t="s">
        <v>301</v>
      </c>
      <c r="D13" s="204">
        <f>+D3</f>
        <v>293205</v>
      </c>
    </row>
    <row r="14" spans="1:22">
      <c r="B14" t="s">
        <v>270</v>
      </c>
      <c r="D14" s="204">
        <f>+D9</f>
        <v>387952.84645500005</v>
      </c>
    </row>
    <row r="15" spans="1:22" ht="15.75">
      <c r="A15" s="269"/>
      <c r="B15" s="269" t="s">
        <v>742</v>
      </c>
      <c r="C15" s="269"/>
      <c r="D15" s="270">
        <f>+D13+D14</f>
        <v>681157.84645500011</v>
      </c>
    </row>
    <row r="17" spans="1:10">
      <c r="D17" s="268" t="s">
        <v>1001</v>
      </c>
    </row>
    <row r="18" spans="1:10">
      <c r="D18" s="268"/>
    </row>
    <row r="19" spans="1:10" ht="18">
      <c r="A19" s="267" t="s">
        <v>253</v>
      </c>
      <c r="D19" s="255">
        <v>1789162.2926886</v>
      </c>
    </row>
    <row r="20" spans="1:10" ht="18">
      <c r="A20" s="267" t="s">
        <v>256</v>
      </c>
      <c r="D20" s="255">
        <v>2489308.6269851867</v>
      </c>
    </row>
    <row r="22" spans="1:10">
      <c r="F22" s="267" t="s">
        <v>1002</v>
      </c>
      <c r="G22" s="267" t="s">
        <v>1003</v>
      </c>
      <c r="I22" s="267" t="s">
        <v>1004</v>
      </c>
    </row>
    <row r="23" spans="1:10" ht="18">
      <c r="A23" s="267" t="s">
        <v>253</v>
      </c>
      <c r="D23" s="256">
        <v>2144149.2828833</v>
      </c>
      <c r="F23" s="204">
        <v>2200675.0260000001</v>
      </c>
      <c r="G23" s="204">
        <v>-56525.743116700003</v>
      </c>
      <c r="I23" s="273">
        <f>+F23+G23</f>
        <v>2144149.2828833</v>
      </c>
    </row>
    <row r="26" spans="1:10">
      <c r="F26" s="267" t="s">
        <v>1005</v>
      </c>
      <c r="G26" s="267" t="s">
        <v>1007</v>
      </c>
      <c r="H26" s="267" t="s">
        <v>1006</v>
      </c>
      <c r="I26" s="267" t="s">
        <v>1008</v>
      </c>
      <c r="J26" s="267" t="s">
        <v>1004</v>
      </c>
    </row>
    <row r="27" spans="1:10" ht="18">
      <c r="A27" s="267" t="s">
        <v>256</v>
      </c>
      <c r="D27" s="256">
        <v>2387121.7506281999</v>
      </c>
      <c r="F27" s="268">
        <v>1860033.3394500001</v>
      </c>
      <c r="G27" s="268">
        <v>413118.51677499997</v>
      </c>
      <c r="H27" s="268">
        <v>119920.68</v>
      </c>
      <c r="I27" s="268">
        <v>-5950.7855967999994</v>
      </c>
      <c r="J27" s="273">
        <f>+F27+G27+H27+I27</f>
        <v>2387121.7506282004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AI52"/>
  <sheetViews>
    <sheetView zoomScale="82" zoomScaleNormal="82" workbookViewId="0">
      <pane xSplit="7" ySplit="3" topLeftCell="J13" activePane="bottomRight" state="frozen"/>
      <selection activeCell="H37" sqref="H37:H38"/>
      <selection pane="topRight" activeCell="H37" sqref="H37:H38"/>
      <selection pane="bottomLeft" activeCell="H37" sqref="H37:H38"/>
      <selection pane="bottomRight" activeCell="M56" sqref="M56"/>
    </sheetView>
  </sheetViews>
  <sheetFormatPr defaultColWidth="15.5703125" defaultRowHeight="15"/>
  <cols>
    <col min="1" max="1" width="8.85546875" style="181" customWidth="1"/>
    <col min="2" max="2" width="12.7109375" style="181" customWidth="1"/>
    <col min="3" max="3" width="15.85546875" style="181" hidden="1" customWidth="1"/>
    <col min="4" max="5" width="15.5703125" style="181" hidden="1" customWidth="1"/>
    <col min="6" max="6" width="15.5703125" style="181"/>
    <col min="7" max="7" width="19.140625" style="181" customWidth="1"/>
    <col min="8" max="8" width="23.7109375" style="181" customWidth="1"/>
    <col min="9" max="9" width="15.140625" style="181" hidden="1" customWidth="1"/>
    <col min="10" max="10" width="20.85546875" style="181" bestFit="1" customWidth="1"/>
    <col min="11" max="11" width="15.5703125" style="181" customWidth="1"/>
    <col min="12" max="12" width="15.5703125" style="181" hidden="1" customWidth="1"/>
    <col min="13" max="13" width="15.5703125" style="181" customWidth="1"/>
    <col min="14" max="14" width="15.5703125" style="181"/>
    <col min="15" max="15" width="40" style="181" bestFit="1" customWidth="1"/>
    <col min="16" max="16" width="15.5703125" style="181"/>
    <col min="17" max="17" width="15.5703125" style="181" customWidth="1"/>
    <col min="18" max="19" width="15.5703125" style="181" hidden="1" customWidth="1"/>
    <col min="20" max="20" width="18.5703125" style="181" customWidth="1"/>
    <col min="21" max="21" width="16.85546875" style="181" hidden="1" customWidth="1"/>
    <col min="22" max="25" width="15.5703125" style="181" hidden="1" customWidth="1"/>
    <col min="26" max="26" width="19.7109375" style="181" hidden="1" customWidth="1"/>
    <col min="27" max="27" width="16.85546875" style="181" hidden="1" customWidth="1"/>
    <col min="28" max="32" width="14.85546875" style="181" hidden="1" customWidth="1"/>
    <col min="33" max="34" width="15.5703125" style="181" hidden="1" customWidth="1"/>
    <col min="35" max="16384" width="15.5703125" style="181"/>
  </cols>
  <sheetData>
    <row r="1" spans="1:35" ht="20.25" customHeight="1">
      <c r="A1" s="176" t="s">
        <v>309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8">
        <f>+'[2]Daily 1st Report tách kênh'!H367</f>
        <v>39591468.352593102</v>
      </c>
      <c r="U1" s="259">
        <f>+T2-T1</f>
        <v>-39712372.580443002</v>
      </c>
      <c r="V1" s="180"/>
      <c r="W1" s="180" t="s">
        <v>310</v>
      </c>
      <c r="X1" s="180" t="s">
        <v>310</v>
      </c>
      <c r="Y1" s="180" t="s">
        <v>310</v>
      </c>
    </row>
    <row r="2" spans="1:35" ht="15.75" customHeight="1">
      <c r="A2" s="182"/>
      <c r="B2" s="183"/>
      <c r="C2" s="183" t="s">
        <v>311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4">
        <f>+SUM(P4:P49)-SUMIFS(P4:P49,$G$4:$G$49,"NABATI")</f>
        <v>-591.45699999999999</v>
      </c>
      <c r="Q2" s="183"/>
      <c r="R2" s="183"/>
      <c r="S2" s="183"/>
      <c r="T2" s="185">
        <f>+SUM(T4:T49)/1000-SUMIFS(T4:T49,$G$4:$G$49,"NABATI")/1000</f>
        <v>-120904.22784990002</v>
      </c>
      <c r="U2" s="186"/>
      <c r="V2" s="186"/>
      <c r="W2" s="186" t="s">
        <v>310</v>
      </c>
      <c r="X2" s="186" t="s">
        <v>310</v>
      </c>
      <c r="Y2" s="186" t="s">
        <v>310</v>
      </c>
      <c r="AB2" s="181" t="s">
        <v>312</v>
      </c>
    </row>
    <row r="3" spans="1:35" s="189" customFormat="1" ht="18" customHeight="1">
      <c r="A3" s="187" t="s">
        <v>313</v>
      </c>
      <c r="B3" s="187" t="s">
        <v>314</v>
      </c>
      <c r="C3" s="187" t="s">
        <v>315</v>
      </c>
      <c r="D3" s="187" t="s">
        <v>316</v>
      </c>
      <c r="E3" s="187" t="s">
        <v>317</v>
      </c>
      <c r="F3" s="187" t="s">
        <v>318</v>
      </c>
      <c r="G3" s="260" t="s">
        <v>319</v>
      </c>
      <c r="H3" s="260" t="s">
        <v>19</v>
      </c>
      <c r="I3" s="187" t="s">
        <v>320</v>
      </c>
      <c r="J3" s="187" t="s">
        <v>17</v>
      </c>
      <c r="K3" s="187" t="s">
        <v>321</v>
      </c>
      <c r="L3" s="187" t="s">
        <v>322</v>
      </c>
      <c r="M3" s="187" t="s">
        <v>323</v>
      </c>
      <c r="N3" s="187" t="s">
        <v>324</v>
      </c>
      <c r="O3" s="188" t="s">
        <v>325</v>
      </c>
      <c r="P3" s="188" t="s">
        <v>326</v>
      </c>
      <c r="Q3" s="187" t="s">
        <v>327</v>
      </c>
      <c r="R3" s="187" t="s">
        <v>328</v>
      </c>
      <c r="S3" s="187" t="s">
        <v>329</v>
      </c>
      <c r="T3" s="187" t="s">
        <v>330</v>
      </c>
      <c r="U3" s="187" t="s">
        <v>331</v>
      </c>
      <c r="V3" s="187" t="s">
        <v>332</v>
      </c>
      <c r="W3" s="187" t="s">
        <v>333</v>
      </c>
      <c r="X3" s="187" t="s">
        <v>334</v>
      </c>
      <c r="Y3" s="187" t="s">
        <v>335</v>
      </c>
      <c r="Z3" s="187" t="s">
        <v>336</v>
      </c>
      <c r="AA3" s="187" t="s">
        <v>337</v>
      </c>
      <c r="AB3" s="187" t="s">
        <v>338</v>
      </c>
      <c r="AC3" s="187" t="s">
        <v>339</v>
      </c>
      <c r="AD3" s="187" t="s">
        <v>340</v>
      </c>
      <c r="AE3" s="187" t="s">
        <v>341</v>
      </c>
      <c r="AF3" s="187" t="s">
        <v>342</v>
      </c>
      <c r="AG3" s="187" t="s">
        <v>343</v>
      </c>
      <c r="AH3" s="187" t="s">
        <v>344</v>
      </c>
    </row>
    <row r="4" spans="1:35" ht="12.95" customHeight="1">
      <c r="A4" s="261">
        <v>1</v>
      </c>
      <c r="B4" s="262">
        <v>43573</v>
      </c>
      <c r="C4" s="261" t="s">
        <v>311</v>
      </c>
      <c r="D4" s="261" t="s">
        <v>310</v>
      </c>
      <c r="E4" s="261"/>
      <c r="F4" s="261" t="s">
        <v>423</v>
      </c>
      <c r="G4" s="263" t="s">
        <v>424</v>
      </c>
      <c r="H4" s="263"/>
      <c r="I4" s="263" t="s">
        <v>296</v>
      </c>
      <c r="J4" s="263" t="s">
        <v>996</v>
      </c>
      <c r="K4" s="263" t="s">
        <v>391</v>
      </c>
      <c r="L4" s="263" t="s">
        <v>350</v>
      </c>
      <c r="M4" s="261" t="s">
        <v>368</v>
      </c>
      <c r="N4" s="261" t="s">
        <v>352</v>
      </c>
      <c r="O4" s="263" t="s">
        <v>353</v>
      </c>
      <c r="P4" s="264">
        <v>-6.5</v>
      </c>
      <c r="Q4" s="264">
        <v>138982</v>
      </c>
      <c r="R4" s="265">
        <v>-903383</v>
      </c>
      <c r="S4" s="265">
        <v>-90338.3</v>
      </c>
      <c r="T4" s="265">
        <v>-993721.3</v>
      </c>
      <c r="U4" s="263"/>
      <c r="V4" s="263" t="s">
        <v>310</v>
      </c>
      <c r="W4" s="261">
        <v>0</v>
      </c>
      <c r="X4" s="261"/>
      <c r="Y4" s="266" t="s">
        <v>369</v>
      </c>
      <c r="Z4" s="196" t="str">
        <f>+IFERROR(VLOOKUP($F4,'[2]Chuyển đổi mã'!$A$1:$C$91,3,0),$F4)&amp;AE4</f>
        <v>NPP00000084320463</v>
      </c>
      <c r="AA4" s="196" t="str">
        <f>IFERROR(VLOOKUP($F4,'[2]Chuyển đổi mã'!$A$1:$C$184,3,0),F4)</f>
        <v>NPP00000084</v>
      </c>
      <c r="AB4" s="196" t="str">
        <f>VLOOKUP($G4,'[2]Thông tin NPP'!$B:$D,3,0)</f>
        <v>THANH LIÊM</v>
      </c>
      <c r="AC4" s="196" t="str">
        <f t="shared" ref="AC4:AC49" si="0">LEFT($O4,10)</f>
        <v>Na 8,5g</v>
      </c>
      <c r="AD4" s="196" t="str">
        <f>IFERROR(VLOOKUP(DAY(B4),'[2]Chuyển đổi mã'!$F$1:$G$32,2,0),0)</f>
        <v>W3</v>
      </c>
      <c r="AE4" s="196" t="str">
        <f t="shared" ref="AE4:AE49" si="1">LEFT(N4,6)</f>
        <v>320463</v>
      </c>
      <c r="AF4" s="196" t="str">
        <f t="shared" ref="AF4:AF49" si="2">LEFT(F4,3)</f>
        <v>NPP</v>
      </c>
      <c r="AG4" s="196" t="str">
        <f t="shared" ref="AG4:AG49" si="3">AF4&amp;AE4</f>
        <v>NPP320463</v>
      </c>
      <c r="AH4" s="196">
        <f t="shared" ref="AH4:AH49" si="4">IF(RIGHT(N4,1)="P","P",0)</f>
        <v>0</v>
      </c>
      <c r="AI4" s="181" t="s">
        <v>997</v>
      </c>
    </row>
    <row r="5" spans="1:35" ht="12.95" customHeight="1">
      <c r="A5" s="261">
        <f t="shared" ref="A5:A49" si="5">+A4+1</f>
        <v>2</v>
      </c>
      <c r="B5" s="262">
        <v>43573</v>
      </c>
      <c r="C5" s="261" t="s">
        <v>311</v>
      </c>
      <c r="D5" s="261" t="s">
        <v>310</v>
      </c>
      <c r="E5" s="261"/>
      <c r="F5" s="261" t="s">
        <v>423</v>
      </c>
      <c r="G5" s="263" t="s">
        <v>424</v>
      </c>
      <c r="H5" s="263"/>
      <c r="I5" s="263" t="s">
        <v>296</v>
      </c>
      <c r="J5" s="263" t="s">
        <v>996</v>
      </c>
      <c r="K5" s="263" t="s">
        <v>391</v>
      </c>
      <c r="L5" s="263" t="s">
        <v>350</v>
      </c>
      <c r="M5" s="261" t="s">
        <v>368</v>
      </c>
      <c r="N5" s="261" t="s">
        <v>357</v>
      </c>
      <c r="O5" s="263" t="s">
        <v>358</v>
      </c>
      <c r="P5" s="264">
        <v>-10.667</v>
      </c>
      <c r="Q5" s="264">
        <v>185640</v>
      </c>
      <c r="R5" s="265">
        <v>-1980221.88</v>
      </c>
      <c r="S5" s="265">
        <v>-198022.18799999999</v>
      </c>
      <c r="T5" s="265">
        <v>-2178244.068</v>
      </c>
      <c r="U5" s="263"/>
      <c r="V5" s="263" t="s">
        <v>310</v>
      </c>
      <c r="W5" s="261">
        <v>0</v>
      </c>
      <c r="X5" s="261"/>
      <c r="Y5" s="266" t="s">
        <v>369</v>
      </c>
      <c r="Z5" s="196" t="str">
        <f>+IFERROR(VLOOKUP($F5,'[2]Chuyển đổi mã'!$A$1:$C$91,3,0),$F5)&amp;AE5</f>
        <v>NPP00000084323555</v>
      </c>
      <c r="AA5" s="196" t="str">
        <f>IFERROR(VLOOKUP($F5,'[2]Chuyển đổi mã'!$A$1:$C$184,3,0),F5)</f>
        <v>NPP00000084</v>
      </c>
      <c r="AB5" s="196" t="str">
        <f>VLOOKUP($G5,'[2]Thông tin NPP'!$B:$D,3,0)</f>
        <v>THANH LIÊM</v>
      </c>
      <c r="AC5" s="196" t="str">
        <f t="shared" si="0"/>
        <v>Na 17g - M</v>
      </c>
      <c r="AD5" s="196" t="str">
        <f>IFERROR(VLOOKUP(DAY(B5),'[2]Chuyển đổi mã'!$F$1:$G$32,2,0),0)</f>
        <v>W3</v>
      </c>
      <c r="AE5" s="196" t="str">
        <f t="shared" si="1"/>
        <v>323555</v>
      </c>
      <c r="AF5" s="196" t="str">
        <f t="shared" si="2"/>
        <v>NPP</v>
      </c>
      <c r="AG5" s="196" t="str">
        <f t="shared" si="3"/>
        <v>NPP323555</v>
      </c>
      <c r="AH5" s="196">
        <f t="shared" si="4"/>
        <v>0</v>
      </c>
      <c r="AI5" s="181" t="s">
        <v>997</v>
      </c>
    </row>
    <row r="6" spans="1:35" ht="12.95" customHeight="1">
      <c r="A6" s="261">
        <f t="shared" si="5"/>
        <v>3</v>
      </c>
      <c r="B6" s="262">
        <v>43573</v>
      </c>
      <c r="C6" s="261" t="s">
        <v>311</v>
      </c>
      <c r="D6" s="261" t="s">
        <v>310</v>
      </c>
      <c r="E6" s="261"/>
      <c r="F6" s="261" t="s">
        <v>423</v>
      </c>
      <c r="G6" s="263" t="s">
        <v>424</v>
      </c>
      <c r="H6" s="263"/>
      <c r="I6" s="263" t="s">
        <v>296</v>
      </c>
      <c r="J6" s="263" t="s">
        <v>996</v>
      </c>
      <c r="K6" s="263" t="s">
        <v>391</v>
      </c>
      <c r="L6" s="263" t="s">
        <v>350</v>
      </c>
      <c r="M6" s="261" t="s">
        <v>368</v>
      </c>
      <c r="N6" s="261" t="s">
        <v>385</v>
      </c>
      <c r="O6" s="263" t="s">
        <v>386</v>
      </c>
      <c r="P6" s="264">
        <v>-4.3330000000000002</v>
      </c>
      <c r="Q6" s="264">
        <v>185640</v>
      </c>
      <c r="R6" s="265">
        <v>-804378.12</v>
      </c>
      <c r="S6" s="265">
        <v>-80437.812000000005</v>
      </c>
      <c r="T6" s="265">
        <v>-884815.93200000003</v>
      </c>
      <c r="U6" s="263"/>
      <c r="V6" s="263" t="s">
        <v>310</v>
      </c>
      <c r="W6" s="261">
        <v>0</v>
      </c>
      <c r="X6" s="261"/>
      <c r="Y6" s="266" t="s">
        <v>369</v>
      </c>
      <c r="Z6" s="196" t="str">
        <f>+IFERROR(VLOOKUP($F6,'[2]Chuyển đổi mã'!$A$1:$C$91,3,0),$F6)&amp;AE6</f>
        <v>NPP00000084323545</v>
      </c>
      <c r="AA6" s="196" t="str">
        <f>IFERROR(VLOOKUP($F6,'[2]Chuyển đổi mã'!$A$1:$C$184,3,0),F6)</f>
        <v>NPP00000084</v>
      </c>
      <c r="AB6" s="196" t="str">
        <f>VLOOKUP($G6,'[2]Thông tin NPP'!$B:$D,3,0)</f>
        <v>THANH LIÊM</v>
      </c>
      <c r="AC6" s="196" t="str">
        <f t="shared" si="0"/>
        <v>Na 17g - T</v>
      </c>
      <c r="AD6" s="196" t="str">
        <f>IFERROR(VLOOKUP(DAY(B6),'[2]Chuyển đổi mã'!$F$1:$G$32,2,0),0)</f>
        <v>W3</v>
      </c>
      <c r="AE6" s="196" t="str">
        <f t="shared" si="1"/>
        <v>323545</v>
      </c>
      <c r="AF6" s="196" t="str">
        <f t="shared" si="2"/>
        <v>NPP</v>
      </c>
      <c r="AG6" s="196" t="str">
        <f t="shared" si="3"/>
        <v>NPP323545</v>
      </c>
      <c r="AH6" s="196">
        <f t="shared" si="4"/>
        <v>0</v>
      </c>
      <c r="AI6" s="181" t="s">
        <v>997</v>
      </c>
    </row>
    <row r="7" spans="1:35" ht="12.95" customHeight="1">
      <c r="A7" s="261">
        <f t="shared" si="5"/>
        <v>4</v>
      </c>
      <c r="B7" s="262">
        <v>43573</v>
      </c>
      <c r="C7" s="261" t="s">
        <v>311</v>
      </c>
      <c r="D7" s="261" t="s">
        <v>310</v>
      </c>
      <c r="E7" s="261"/>
      <c r="F7" s="261" t="s">
        <v>423</v>
      </c>
      <c r="G7" s="263" t="s">
        <v>424</v>
      </c>
      <c r="H7" s="263"/>
      <c r="I7" s="263" t="s">
        <v>296</v>
      </c>
      <c r="J7" s="263" t="s">
        <v>996</v>
      </c>
      <c r="K7" s="263" t="s">
        <v>391</v>
      </c>
      <c r="L7" s="263" t="s">
        <v>350</v>
      </c>
      <c r="M7" s="261" t="s">
        <v>368</v>
      </c>
      <c r="N7" s="261" t="s">
        <v>425</v>
      </c>
      <c r="O7" s="263" t="s">
        <v>426</v>
      </c>
      <c r="P7" s="264">
        <v>-0.217</v>
      </c>
      <c r="Q7" s="264">
        <v>273000</v>
      </c>
      <c r="R7" s="265">
        <v>-59241</v>
      </c>
      <c r="S7" s="265">
        <v>-5924.1</v>
      </c>
      <c r="T7" s="265">
        <v>-65165.1</v>
      </c>
      <c r="U7" s="263"/>
      <c r="V7" s="263" t="s">
        <v>310</v>
      </c>
      <c r="W7" s="261">
        <v>0</v>
      </c>
      <c r="X7" s="261"/>
      <c r="Y7" s="266" t="s">
        <v>369</v>
      </c>
      <c r="Z7" s="196" t="str">
        <f>+IFERROR(VLOOKUP($F7,'[2]Chuyển đổi mã'!$A$1:$C$91,3,0),$F7)&amp;AE7</f>
        <v>NPP00000084323510</v>
      </c>
      <c r="AA7" s="196" t="str">
        <f>IFERROR(VLOOKUP($F7,'[2]Chuyển đổi mã'!$A$1:$C$184,3,0),F7)</f>
        <v>NPP00000084</v>
      </c>
      <c r="AB7" s="196" t="str">
        <f>VLOOKUP($G7,'[2]Thông tin NPP'!$B:$D,3,0)</f>
        <v>THANH LIÊM</v>
      </c>
      <c r="AC7" s="196" t="str">
        <f t="shared" si="0"/>
        <v>Na 52g *60</v>
      </c>
      <c r="AD7" s="196" t="str">
        <f>IFERROR(VLOOKUP(DAY(B7),'[2]Chuyển đổi mã'!$F$1:$G$32,2,0),0)</f>
        <v>W3</v>
      </c>
      <c r="AE7" s="196" t="str">
        <f t="shared" si="1"/>
        <v>323510</v>
      </c>
      <c r="AF7" s="196" t="str">
        <f t="shared" si="2"/>
        <v>NPP</v>
      </c>
      <c r="AG7" s="196" t="str">
        <f t="shared" si="3"/>
        <v>NPP323510</v>
      </c>
      <c r="AH7" s="196">
        <f t="shared" si="4"/>
        <v>0</v>
      </c>
      <c r="AI7" s="181" t="s">
        <v>997</v>
      </c>
    </row>
    <row r="8" spans="1:35" ht="12.95" customHeight="1">
      <c r="A8" s="261">
        <f t="shared" si="5"/>
        <v>5</v>
      </c>
      <c r="B8" s="262">
        <v>43573</v>
      </c>
      <c r="C8" s="261" t="s">
        <v>311</v>
      </c>
      <c r="D8" s="261" t="s">
        <v>310</v>
      </c>
      <c r="E8" s="261"/>
      <c r="F8" s="261" t="s">
        <v>423</v>
      </c>
      <c r="G8" s="263" t="s">
        <v>424</v>
      </c>
      <c r="H8" s="263"/>
      <c r="I8" s="263" t="s">
        <v>296</v>
      </c>
      <c r="J8" s="263" t="s">
        <v>996</v>
      </c>
      <c r="K8" s="263" t="s">
        <v>391</v>
      </c>
      <c r="L8" s="263" t="s">
        <v>350</v>
      </c>
      <c r="M8" s="261" t="s">
        <v>368</v>
      </c>
      <c r="N8" s="261" t="s">
        <v>359</v>
      </c>
      <c r="O8" s="263" t="s">
        <v>360</v>
      </c>
      <c r="P8" s="264">
        <v>-2.5</v>
      </c>
      <c r="Q8" s="264">
        <v>273000</v>
      </c>
      <c r="R8" s="265">
        <v>-682500</v>
      </c>
      <c r="S8" s="265">
        <v>-68250</v>
      </c>
      <c r="T8" s="265">
        <v>-750750</v>
      </c>
      <c r="U8" s="263"/>
      <c r="V8" s="263" t="s">
        <v>310</v>
      </c>
      <c r="W8" s="261">
        <v>0</v>
      </c>
      <c r="X8" s="261"/>
      <c r="Y8" s="266" t="s">
        <v>369</v>
      </c>
      <c r="Z8" s="196" t="str">
        <f>+IFERROR(VLOOKUP($F8,'[2]Chuyển đổi mã'!$A$1:$C$91,3,0),$F8)&amp;AE8</f>
        <v>NPP00000084320445</v>
      </c>
      <c r="AA8" s="196" t="str">
        <f>IFERROR(VLOOKUP($F8,'[2]Chuyển đổi mã'!$A$1:$C$184,3,0),F8)</f>
        <v>NPP00000084</v>
      </c>
      <c r="AB8" s="196" t="str">
        <f>VLOOKUP($G8,'[2]Thông tin NPP'!$B:$D,3,0)</f>
        <v>THANH LIÊM</v>
      </c>
      <c r="AC8" s="196" t="str">
        <f t="shared" si="0"/>
        <v>Na 58g</v>
      </c>
      <c r="AD8" s="196" t="str">
        <f>IFERROR(VLOOKUP(DAY(B8),'[2]Chuyển đổi mã'!$F$1:$G$32,2,0),0)</f>
        <v>W3</v>
      </c>
      <c r="AE8" s="196" t="str">
        <f t="shared" si="1"/>
        <v>320445</v>
      </c>
      <c r="AF8" s="196" t="str">
        <f t="shared" si="2"/>
        <v>NPP</v>
      </c>
      <c r="AG8" s="196" t="str">
        <f t="shared" si="3"/>
        <v>NPP320445</v>
      </c>
      <c r="AH8" s="196">
        <f t="shared" si="4"/>
        <v>0</v>
      </c>
      <c r="AI8" s="181" t="s">
        <v>997</v>
      </c>
    </row>
    <row r="9" spans="1:35" ht="12.95" customHeight="1">
      <c r="A9" s="261">
        <f t="shared" si="5"/>
        <v>6</v>
      </c>
      <c r="B9" s="262">
        <v>43573</v>
      </c>
      <c r="C9" s="261" t="s">
        <v>311</v>
      </c>
      <c r="D9" s="261" t="s">
        <v>310</v>
      </c>
      <c r="E9" s="261"/>
      <c r="F9" s="261" t="s">
        <v>423</v>
      </c>
      <c r="G9" s="263" t="s">
        <v>424</v>
      </c>
      <c r="H9" s="263"/>
      <c r="I9" s="263" t="s">
        <v>296</v>
      </c>
      <c r="J9" s="263" t="s">
        <v>996</v>
      </c>
      <c r="K9" s="263" t="s">
        <v>391</v>
      </c>
      <c r="L9" s="263" t="s">
        <v>350</v>
      </c>
      <c r="M9" s="261" t="s">
        <v>368</v>
      </c>
      <c r="N9" s="261" t="s">
        <v>374</v>
      </c>
      <c r="O9" s="263" t="s">
        <v>375</v>
      </c>
      <c r="P9" s="264">
        <v>-1.6</v>
      </c>
      <c r="Q9" s="264">
        <v>273000</v>
      </c>
      <c r="R9" s="265">
        <v>-436800</v>
      </c>
      <c r="S9" s="265">
        <v>-43680</v>
      </c>
      <c r="T9" s="265">
        <v>-480480</v>
      </c>
      <c r="U9" s="263"/>
      <c r="V9" s="263" t="s">
        <v>310</v>
      </c>
      <c r="W9" s="261">
        <v>0</v>
      </c>
      <c r="X9" s="261"/>
      <c r="Y9" s="266" t="s">
        <v>369</v>
      </c>
      <c r="Z9" s="196" t="str">
        <f>+IFERROR(VLOOKUP($F9,'[2]Chuyển đổi mã'!$A$1:$C$91,3,0),$F9)&amp;AE9</f>
        <v>NPP00000084342159</v>
      </c>
      <c r="AA9" s="196" t="str">
        <f>IFERROR(VLOOKUP($F9,'[2]Chuyển đổi mã'!$A$1:$C$184,3,0),F9)</f>
        <v>NPP00000084</v>
      </c>
      <c r="AB9" s="196" t="str">
        <f>VLOOKUP($G9,'[2]Thông tin NPP'!$B:$D,3,0)</f>
        <v>THANH LIÊM</v>
      </c>
      <c r="AC9" s="196" t="str">
        <f t="shared" si="0"/>
        <v>Na 58g - T</v>
      </c>
      <c r="AD9" s="196" t="str">
        <f>IFERROR(VLOOKUP(DAY(B9),'[2]Chuyển đổi mã'!$F$1:$G$32,2,0),0)</f>
        <v>W3</v>
      </c>
      <c r="AE9" s="196" t="str">
        <f t="shared" si="1"/>
        <v>342159</v>
      </c>
      <c r="AF9" s="196" t="str">
        <f t="shared" si="2"/>
        <v>NPP</v>
      </c>
      <c r="AG9" s="196" t="str">
        <f t="shared" si="3"/>
        <v>NPP342159</v>
      </c>
      <c r="AH9" s="196">
        <f t="shared" si="4"/>
        <v>0</v>
      </c>
      <c r="AI9" s="181" t="s">
        <v>997</v>
      </c>
    </row>
    <row r="10" spans="1:35" ht="12.95" customHeight="1">
      <c r="A10" s="261">
        <f t="shared" si="5"/>
        <v>7</v>
      </c>
      <c r="B10" s="262">
        <v>43573</v>
      </c>
      <c r="C10" s="261" t="s">
        <v>311</v>
      </c>
      <c r="D10" s="261" t="s">
        <v>310</v>
      </c>
      <c r="E10" s="261"/>
      <c r="F10" s="261" t="s">
        <v>423</v>
      </c>
      <c r="G10" s="263" t="s">
        <v>424</v>
      </c>
      <c r="H10" s="263"/>
      <c r="I10" s="263" t="s">
        <v>296</v>
      </c>
      <c r="J10" s="263" t="s">
        <v>996</v>
      </c>
      <c r="K10" s="263" t="s">
        <v>391</v>
      </c>
      <c r="L10" s="263" t="s">
        <v>350</v>
      </c>
      <c r="M10" s="261" t="s">
        <v>368</v>
      </c>
      <c r="N10" s="261" t="s">
        <v>404</v>
      </c>
      <c r="O10" s="263" t="s">
        <v>405</v>
      </c>
      <c r="P10" s="264">
        <v>-2.5830000000000002</v>
      </c>
      <c r="Q10" s="264">
        <v>316680</v>
      </c>
      <c r="R10" s="265">
        <v>-817984.44</v>
      </c>
      <c r="S10" s="265">
        <v>-81798.444000000003</v>
      </c>
      <c r="T10" s="265">
        <v>-899782.88399999996</v>
      </c>
      <c r="U10" s="263"/>
      <c r="V10" s="263" t="s">
        <v>310</v>
      </c>
      <c r="W10" s="261">
        <v>0</v>
      </c>
      <c r="X10" s="261"/>
      <c r="Y10" s="266" t="s">
        <v>369</v>
      </c>
      <c r="Z10" s="196" t="str">
        <f>+IFERROR(VLOOKUP($F10,'[2]Chuyển đổi mã'!$A$1:$C$91,3,0),$F10)&amp;AE10</f>
        <v>NPP00000084320458</v>
      </c>
      <c r="AA10" s="196" t="str">
        <f>IFERROR(VLOOKUP($F10,'[2]Chuyển đổi mã'!$A$1:$C$184,3,0),F10)</f>
        <v>NPP00000084</v>
      </c>
      <c r="AB10" s="196" t="str">
        <f>VLOOKUP($G10,'[2]Thông tin NPP'!$B:$D,3,0)</f>
        <v>THANH LIÊM</v>
      </c>
      <c r="AC10" s="196" t="str">
        <f t="shared" si="0"/>
        <v>Na 150g</v>
      </c>
      <c r="AD10" s="196" t="str">
        <f>IFERROR(VLOOKUP(DAY(B10),'[2]Chuyển đổi mã'!$F$1:$G$32,2,0),0)</f>
        <v>W3</v>
      </c>
      <c r="AE10" s="196" t="str">
        <f t="shared" si="1"/>
        <v>320458</v>
      </c>
      <c r="AF10" s="196" t="str">
        <f t="shared" si="2"/>
        <v>NPP</v>
      </c>
      <c r="AG10" s="196" t="str">
        <f t="shared" si="3"/>
        <v>NPP320458</v>
      </c>
      <c r="AH10" s="196">
        <f t="shared" si="4"/>
        <v>0</v>
      </c>
      <c r="AI10" s="181" t="s">
        <v>997</v>
      </c>
    </row>
    <row r="11" spans="1:35" ht="12.95" customHeight="1">
      <c r="A11" s="261">
        <f t="shared" si="5"/>
        <v>8</v>
      </c>
      <c r="B11" s="262">
        <v>43573</v>
      </c>
      <c r="C11" s="261" t="s">
        <v>311</v>
      </c>
      <c r="D11" s="261" t="s">
        <v>310</v>
      </c>
      <c r="E11" s="261"/>
      <c r="F11" s="261" t="s">
        <v>423</v>
      </c>
      <c r="G11" s="263" t="s">
        <v>424</v>
      </c>
      <c r="H11" s="263"/>
      <c r="I11" s="263" t="s">
        <v>296</v>
      </c>
      <c r="J11" s="263" t="s">
        <v>996</v>
      </c>
      <c r="K11" s="263" t="s">
        <v>391</v>
      </c>
      <c r="L11" s="263" t="s">
        <v>350</v>
      </c>
      <c r="M11" s="261" t="s">
        <v>368</v>
      </c>
      <c r="N11" s="261" t="s">
        <v>381</v>
      </c>
      <c r="O11" s="263" t="s">
        <v>382</v>
      </c>
      <c r="P11" s="264">
        <v>-15.167</v>
      </c>
      <c r="Q11" s="264">
        <v>297322</v>
      </c>
      <c r="R11" s="265">
        <v>-4509482.7740000002</v>
      </c>
      <c r="S11" s="265">
        <v>-450948.27740000002</v>
      </c>
      <c r="T11" s="265">
        <v>-4960431.0514000002</v>
      </c>
      <c r="U11" s="263"/>
      <c r="V11" s="263" t="s">
        <v>310</v>
      </c>
      <c r="W11" s="261">
        <v>0</v>
      </c>
      <c r="X11" s="261"/>
      <c r="Y11" s="266" t="s">
        <v>369</v>
      </c>
      <c r="Z11" s="196" t="str">
        <f>+IFERROR(VLOOKUP($F11,'[2]Chuyển đổi mã'!$A$1:$C$91,3,0),$F11)&amp;AE11</f>
        <v>NPP00000084320429</v>
      </c>
      <c r="AA11" s="196" t="str">
        <f>IFERROR(VLOOKUP($F11,'[2]Chuyển đổi mã'!$A$1:$C$184,3,0),F11)</f>
        <v>NPP00000084</v>
      </c>
      <c r="AB11" s="196" t="str">
        <f>VLOOKUP($G11,'[2]Thông tin NPP'!$B:$D,3,0)</f>
        <v>THANH LIÊM</v>
      </c>
      <c r="AC11" s="196" t="str">
        <f t="shared" si="0"/>
        <v>Tin Can 35</v>
      </c>
      <c r="AD11" s="196" t="str">
        <f>IFERROR(VLOOKUP(DAY(B11),'[2]Chuyển đổi mã'!$F$1:$G$32,2,0),0)</f>
        <v>W3</v>
      </c>
      <c r="AE11" s="196" t="str">
        <f t="shared" si="1"/>
        <v>320429</v>
      </c>
      <c r="AF11" s="196" t="str">
        <f t="shared" si="2"/>
        <v>NPP</v>
      </c>
      <c r="AG11" s="196" t="str">
        <f t="shared" si="3"/>
        <v>NPP320429</v>
      </c>
      <c r="AH11" s="196">
        <f t="shared" si="4"/>
        <v>0</v>
      </c>
      <c r="AI11" s="181" t="s">
        <v>997</v>
      </c>
    </row>
    <row r="12" spans="1:35" ht="12.95" customHeight="1">
      <c r="A12" s="261">
        <f t="shared" si="5"/>
        <v>9</v>
      </c>
      <c r="B12" s="262">
        <v>43573</v>
      </c>
      <c r="C12" s="261" t="s">
        <v>311</v>
      </c>
      <c r="D12" s="261" t="s">
        <v>310</v>
      </c>
      <c r="E12" s="261"/>
      <c r="F12" s="261" t="s">
        <v>423</v>
      </c>
      <c r="G12" s="263" t="s">
        <v>424</v>
      </c>
      <c r="H12" s="263"/>
      <c r="I12" s="263" t="s">
        <v>296</v>
      </c>
      <c r="J12" s="263" t="s">
        <v>996</v>
      </c>
      <c r="K12" s="263" t="s">
        <v>391</v>
      </c>
      <c r="L12" s="263" t="s">
        <v>350</v>
      </c>
      <c r="M12" s="261" t="s">
        <v>368</v>
      </c>
      <c r="N12" s="261" t="s">
        <v>410</v>
      </c>
      <c r="O12" s="263" t="s">
        <v>411</v>
      </c>
      <c r="P12" s="264">
        <v>-2.8330000000000002</v>
      </c>
      <c r="Q12" s="264">
        <v>91331</v>
      </c>
      <c r="R12" s="265">
        <v>-258740.723</v>
      </c>
      <c r="S12" s="265">
        <v>-25874.0723</v>
      </c>
      <c r="T12" s="265">
        <v>-284614.7953</v>
      </c>
      <c r="U12" s="263"/>
      <c r="V12" s="263" t="s">
        <v>310</v>
      </c>
      <c r="W12" s="261">
        <v>0</v>
      </c>
      <c r="X12" s="261"/>
      <c r="Y12" s="266" t="s">
        <v>369</v>
      </c>
      <c r="Z12" s="196" t="str">
        <f>+IFERROR(VLOOKUP($F12,'[2]Chuyển đổi mã'!$A$1:$C$91,3,0),$F12)&amp;AE12</f>
        <v>NPP00000084320566</v>
      </c>
      <c r="AA12" s="196" t="str">
        <f>IFERROR(VLOOKUP($F12,'[2]Chuyển đổi mã'!$A$1:$C$184,3,0),F12)</f>
        <v>NPP00000084</v>
      </c>
      <c r="AB12" s="196" t="str">
        <f>VLOOKUP($G12,'[2]Thông tin NPP'!$B:$D,3,0)</f>
        <v>THANH LIÊM</v>
      </c>
      <c r="AC12" s="196" t="str">
        <f t="shared" si="0"/>
        <v>Rolls 8g</v>
      </c>
      <c r="AD12" s="196" t="str">
        <f>IFERROR(VLOOKUP(DAY(B12),'[2]Chuyển đổi mã'!$F$1:$G$32,2,0),0)</f>
        <v>W3</v>
      </c>
      <c r="AE12" s="196" t="str">
        <f t="shared" si="1"/>
        <v>320566</v>
      </c>
      <c r="AF12" s="196" t="str">
        <f t="shared" si="2"/>
        <v>NPP</v>
      </c>
      <c r="AG12" s="196" t="str">
        <f t="shared" si="3"/>
        <v>NPP320566</v>
      </c>
      <c r="AH12" s="196">
        <f t="shared" si="4"/>
        <v>0</v>
      </c>
      <c r="AI12" s="181" t="s">
        <v>997</v>
      </c>
    </row>
    <row r="13" spans="1:35" ht="12.95" customHeight="1">
      <c r="A13" s="261">
        <f t="shared" si="5"/>
        <v>10</v>
      </c>
      <c r="B13" s="262">
        <v>43573</v>
      </c>
      <c r="C13" s="261" t="s">
        <v>311</v>
      </c>
      <c r="D13" s="261" t="s">
        <v>310</v>
      </c>
      <c r="E13" s="261"/>
      <c r="F13" s="261" t="s">
        <v>423</v>
      </c>
      <c r="G13" s="263" t="s">
        <v>424</v>
      </c>
      <c r="H13" s="263"/>
      <c r="I13" s="263" t="s">
        <v>296</v>
      </c>
      <c r="J13" s="263" t="s">
        <v>996</v>
      </c>
      <c r="K13" s="263" t="s">
        <v>391</v>
      </c>
      <c r="L13" s="263" t="s">
        <v>350</v>
      </c>
      <c r="M13" s="261" t="s">
        <v>368</v>
      </c>
      <c r="N13" s="261" t="s">
        <v>383</v>
      </c>
      <c r="O13" s="263" t="s">
        <v>384</v>
      </c>
      <c r="P13" s="264">
        <v>-3.367</v>
      </c>
      <c r="Q13" s="264">
        <v>273000</v>
      </c>
      <c r="R13" s="265">
        <v>-919191</v>
      </c>
      <c r="S13" s="265">
        <v>-91919.1</v>
      </c>
      <c r="T13" s="265">
        <v>-1011110.1</v>
      </c>
      <c r="U13" s="263"/>
      <c r="V13" s="263" t="s">
        <v>310</v>
      </c>
      <c r="W13" s="261">
        <v>0</v>
      </c>
      <c r="X13" s="261"/>
      <c r="Y13" s="266" t="s">
        <v>369</v>
      </c>
      <c r="Z13" s="196" t="str">
        <f>+IFERROR(VLOOKUP($F13,'[2]Chuyển đổi mã'!$A$1:$C$91,3,0),$F13)&amp;AE13</f>
        <v>NPP00000084320524</v>
      </c>
      <c r="AA13" s="196" t="str">
        <f>IFERROR(VLOOKUP($F13,'[2]Chuyển đổi mã'!$A$1:$C$184,3,0),F13)</f>
        <v>NPP00000084</v>
      </c>
      <c r="AB13" s="196" t="str">
        <f>VLOOKUP($G13,'[2]Thông tin NPP'!$B:$D,3,0)</f>
        <v>THANH LIÊM</v>
      </c>
      <c r="AC13" s="196" t="str">
        <f t="shared" si="0"/>
        <v>Rolls 140g</v>
      </c>
      <c r="AD13" s="196" t="str">
        <f>IFERROR(VLOOKUP(DAY(B13),'[2]Chuyển đổi mã'!$F$1:$G$32,2,0),0)</f>
        <v>W3</v>
      </c>
      <c r="AE13" s="196" t="str">
        <f t="shared" si="1"/>
        <v>320524</v>
      </c>
      <c r="AF13" s="196" t="str">
        <f t="shared" si="2"/>
        <v>NPP</v>
      </c>
      <c r="AG13" s="196" t="str">
        <f t="shared" si="3"/>
        <v>NPP320524</v>
      </c>
      <c r="AH13" s="196">
        <f t="shared" si="4"/>
        <v>0</v>
      </c>
      <c r="AI13" s="181" t="s">
        <v>997</v>
      </c>
    </row>
    <row r="14" spans="1:35" ht="12.95" customHeight="1">
      <c r="A14" s="261">
        <f t="shared" si="5"/>
        <v>11</v>
      </c>
      <c r="B14" s="262">
        <v>43573</v>
      </c>
      <c r="C14" s="261" t="s">
        <v>311</v>
      </c>
      <c r="D14" s="261" t="s">
        <v>310</v>
      </c>
      <c r="E14" s="261"/>
      <c r="F14" s="261" t="s">
        <v>423</v>
      </c>
      <c r="G14" s="263" t="s">
        <v>424</v>
      </c>
      <c r="H14" s="263"/>
      <c r="I14" s="263" t="s">
        <v>296</v>
      </c>
      <c r="J14" s="263" t="s">
        <v>996</v>
      </c>
      <c r="K14" s="263" t="s">
        <v>391</v>
      </c>
      <c r="L14" s="263" t="s">
        <v>350</v>
      </c>
      <c r="M14" s="261" t="s">
        <v>368</v>
      </c>
      <c r="N14" s="261" t="s">
        <v>400</v>
      </c>
      <c r="O14" s="263" t="s">
        <v>401</v>
      </c>
      <c r="P14" s="264">
        <v>-0.25</v>
      </c>
      <c r="Q14" s="264">
        <v>152218</v>
      </c>
      <c r="R14" s="265">
        <v>-38054.5</v>
      </c>
      <c r="S14" s="265">
        <v>-3805.45</v>
      </c>
      <c r="T14" s="265">
        <v>-41859.949999999997</v>
      </c>
      <c r="U14" s="263"/>
      <c r="V14" s="263" t="s">
        <v>310</v>
      </c>
      <c r="W14" s="261">
        <v>0</v>
      </c>
      <c r="X14" s="261"/>
      <c r="Y14" s="266" t="s">
        <v>369</v>
      </c>
      <c r="Z14" s="196" t="str">
        <f>+IFERROR(VLOOKUP($F14,'[2]Chuyển đổi mã'!$A$1:$C$91,3,0),$F14)&amp;AE14</f>
        <v>NPP00000084320384</v>
      </c>
      <c r="AA14" s="196" t="str">
        <f>IFERROR(VLOOKUP($F14,'[2]Chuyển đổi mã'!$A$1:$C$184,3,0),F14)</f>
        <v>NPP00000084</v>
      </c>
      <c r="AB14" s="196" t="str">
        <f>VLOOKUP($G14,'[2]Thông tin NPP'!$B:$D,3,0)</f>
        <v>THANH LIÊM</v>
      </c>
      <c r="AC14" s="196" t="str">
        <f t="shared" si="0"/>
        <v>Ahh 5,5g</v>
      </c>
      <c r="AD14" s="196" t="str">
        <f>IFERROR(VLOOKUP(DAY(B14),'[2]Chuyển đổi mã'!$F$1:$G$32,2,0),0)</f>
        <v>W3</v>
      </c>
      <c r="AE14" s="196" t="str">
        <f t="shared" si="1"/>
        <v>320384</v>
      </c>
      <c r="AF14" s="196" t="str">
        <f t="shared" si="2"/>
        <v>NPP</v>
      </c>
      <c r="AG14" s="196" t="str">
        <f t="shared" si="3"/>
        <v>NPP320384</v>
      </c>
      <c r="AH14" s="196">
        <f t="shared" si="4"/>
        <v>0</v>
      </c>
      <c r="AI14" s="181" t="s">
        <v>997</v>
      </c>
    </row>
    <row r="15" spans="1:35" ht="12.95" customHeight="1">
      <c r="A15" s="261">
        <f t="shared" si="5"/>
        <v>12</v>
      </c>
      <c r="B15" s="262">
        <v>43573</v>
      </c>
      <c r="C15" s="261" t="s">
        <v>311</v>
      </c>
      <c r="D15" s="261" t="s">
        <v>310</v>
      </c>
      <c r="E15" s="261"/>
      <c r="F15" s="261" t="s">
        <v>423</v>
      </c>
      <c r="G15" s="263" t="s">
        <v>424</v>
      </c>
      <c r="H15" s="263"/>
      <c r="I15" s="263" t="s">
        <v>296</v>
      </c>
      <c r="J15" s="263" t="s">
        <v>996</v>
      </c>
      <c r="K15" s="263" t="s">
        <v>391</v>
      </c>
      <c r="L15" s="263" t="s">
        <v>350</v>
      </c>
      <c r="M15" s="261" t="s">
        <v>368</v>
      </c>
      <c r="N15" s="261" t="s">
        <v>387</v>
      </c>
      <c r="O15" s="263" t="s">
        <v>388</v>
      </c>
      <c r="P15" s="264">
        <v>-2.35</v>
      </c>
      <c r="Q15" s="264">
        <v>309400</v>
      </c>
      <c r="R15" s="265">
        <v>-727090</v>
      </c>
      <c r="S15" s="265">
        <v>-72709</v>
      </c>
      <c r="T15" s="265">
        <v>-799799</v>
      </c>
      <c r="U15" s="263"/>
      <c r="V15" s="263" t="s">
        <v>310</v>
      </c>
      <c r="W15" s="261">
        <v>0</v>
      </c>
      <c r="X15" s="261"/>
      <c r="Y15" s="266" t="s">
        <v>369</v>
      </c>
      <c r="Z15" s="196" t="str">
        <f>+IFERROR(VLOOKUP($F15,'[2]Chuyển đổi mã'!$A$1:$C$91,3,0),$F15)&amp;AE15</f>
        <v>NPP00000084323620</v>
      </c>
      <c r="AA15" s="196" t="str">
        <f>IFERROR(VLOOKUP($F15,'[2]Chuyển đổi mã'!$A$1:$C$184,3,0),F15)</f>
        <v>NPP00000084</v>
      </c>
      <c r="AB15" s="196" t="str">
        <f>VLOOKUP($G15,'[2]Thông tin NPP'!$B:$D,3,0)</f>
        <v>THANH LIÊM</v>
      </c>
      <c r="AC15" s="196" t="str">
        <f t="shared" si="0"/>
        <v>Ahh 16g</v>
      </c>
      <c r="AD15" s="196" t="str">
        <f>IFERROR(VLOOKUP(DAY(B15),'[2]Chuyển đổi mã'!$F$1:$G$32,2,0),0)</f>
        <v>W3</v>
      </c>
      <c r="AE15" s="196" t="str">
        <f t="shared" si="1"/>
        <v>323620</v>
      </c>
      <c r="AF15" s="196" t="str">
        <f t="shared" si="2"/>
        <v>NPP</v>
      </c>
      <c r="AG15" s="196" t="str">
        <f t="shared" si="3"/>
        <v>NPP323620</v>
      </c>
      <c r="AH15" s="196">
        <f t="shared" si="4"/>
        <v>0</v>
      </c>
      <c r="AI15" s="181" t="s">
        <v>997</v>
      </c>
    </row>
    <row r="16" spans="1:35" ht="12.95" customHeight="1">
      <c r="A16" s="261">
        <f t="shared" si="5"/>
        <v>13</v>
      </c>
      <c r="B16" s="262">
        <v>43573</v>
      </c>
      <c r="C16" s="261" t="s">
        <v>311</v>
      </c>
      <c r="D16" s="261" t="s">
        <v>310</v>
      </c>
      <c r="E16" s="261"/>
      <c r="F16" s="261" t="s">
        <v>423</v>
      </c>
      <c r="G16" s="263" t="s">
        <v>424</v>
      </c>
      <c r="H16" s="263"/>
      <c r="I16" s="263" t="s">
        <v>296</v>
      </c>
      <c r="J16" s="263" t="s">
        <v>996</v>
      </c>
      <c r="K16" s="263" t="s">
        <v>391</v>
      </c>
      <c r="L16" s="263" t="s">
        <v>350</v>
      </c>
      <c r="M16" s="261" t="s">
        <v>368</v>
      </c>
      <c r="N16" s="261" t="s">
        <v>372</v>
      </c>
      <c r="O16" s="263" t="s">
        <v>373</v>
      </c>
      <c r="P16" s="264">
        <v>-0.48299999999999998</v>
      </c>
      <c r="Q16" s="264">
        <v>273000</v>
      </c>
      <c r="R16" s="265">
        <v>-131859</v>
      </c>
      <c r="S16" s="265">
        <v>-13185.9</v>
      </c>
      <c r="T16" s="265">
        <v>-145044.9</v>
      </c>
      <c r="U16" s="263"/>
      <c r="V16" s="263" t="s">
        <v>310</v>
      </c>
      <c r="W16" s="261">
        <v>0</v>
      </c>
      <c r="X16" s="261"/>
      <c r="Y16" s="266" t="s">
        <v>369</v>
      </c>
      <c r="Z16" s="196" t="str">
        <f>+IFERROR(VLOOKUP($F16,'[2]Chuyển đổi mã'!$A$1:$C$91,3,0),$F16)&amp;AE16</f>
        <v>NPP00000084321285</v>
      </c>
      <c r="AA16" s="196" t="str">
        <f>IFERROR(VLOOKUP($F16,'[2]Chuyển đổi mã'!$A$1:$C$184,3,0),F16)</f>
        <v>NPP00000084</v>
      </c>
      <c r="AB16" s="196" t="str">
        <f>VLOOKUP($G16,'[2]Thông tin NPP'!$B:$D,3,0)</f>
        <v>THANH LIÊM</v>
      </c>
      <c r="AC16" s="196" t="str">
        <f t="shared" si="0"/>
        <v>White 52g</v>
      </c>
      <c r="AD16" s="196" t="str">
        <f>IFERROR(VLOOKUP(DAY(B16),'[2]Chuyển đổi mã'!$F$1:$G$32,2,0),0)</f>
        <v>W3</v>
      </c>
      <c r="AE16" s="196" t="str">
        <f t="shared" si="1"/>
        <v>321285</v>
      </c>
      <c r="AF16" s="196" t="str">
        <f t="shared" si="2"/>
        <v>NPP</v>
      </c>
      <c r="AG16" s="196" t="str">
        <f t="shared" si="3"/>
        <v>NPP321285</v>
      </c>
      <c r="AH16" s="196">
        <f t="shared" si="4"/>
        <v>0</v>
      </c>
      <c r="AI16" s="181" t="s">
        <v>997</v>
      </c>
    </row>
    <row r="17" spans="1:35" ht="12.95" customHeight="1">
      <c r="A17" s="261">
        <f t="shared" si="5"/>
        <v>14</v>
      </c>
      <c r="B17" s="262">
        <v>43573</v>
      </c>
      <c r="C17" s="261" t="s">
        <v>311</v>
      </c>
      <c r="D17" s="261" t="s">
        <v>310</v>
      </c>
      <c r="E17" s="261"/>
      <c r="F17" s="261" t="s">
        <v>423</v>
      </c>
      <c r="G17" s="263" t="s">
        <v>424</v>
      </c>
      <c r="H17" s="263"/>
      <c r="I17" s="263" t="s">
        <v>296</v>
      </c>
      <c r="J17" s="263" t="s">
        <v>996</v>
      </c>
      <c r="K17" s="263" t="s">
        <v>391</v>
      </c>
      <c r="L17" s="263" t="s">
        <v>350</v>
      </c>
      <c r="M17" s="261" t="s">
        <v>368</v>
      </c>
      <c r="N17" s="261" t="s">
        <v>376</v>
      </c>
      <c r="O17" s="263" t="s">
        <v>377</v>
      </c>
      <c r="P17" s="264">
        <v>-1.7000000000000001E-2</v>
      </c>
      <c r="Q17" s="264">
        <v>273000</v>
      </c>
      <c r="R17" s="265">
        <v>-4641</v>
      </c>
      <c r="S17" s="265">
        <v>-464.1</v>
      </c>
      <c r="T17" s="265">
        <v>-5105.1000000000004</v>
      </c>
      <c r="U17" s="263"/>
      <c r="V17" s="263" t="s">
        <v>310</v>
      </c>
      <c r="W17" s="261">
        <v>0</v>
      </c>
      <c r="X17" s="261"/>
      <c r="Y17" s="266" t="s">
        <v>369</v>
      </c>
      <c r="Z17" s="196" t="str">
        <f>+IFERROR(VLOOKUP($F17,'[2]Chuyển đổi mã'!$A$1:$C$91,3,0),$F17)&amp;AE17</f>
        <v>NPP00000084331014</v>
      </c>
      <c r="AA17" s="196" t="str">
        <f>IFERROR(VLOOKUP($F17,'[2]Chuyển đổi mã'!$A$1:$C$184,3,0),F17)</f>
        <v>NPP00000084</v>
      </c>
      <c r="AB17" s="196" t="str">
        <f>VLOOKUP($G17,'[2]Thông tin NPP'!$B:$D,3,0)</f>
        <v>THANH LIÊM</v>
      </c>
      <c r="AC17" s="196" t="str">
        <f t="shared" si="0"/>
        <v>White 58g</v>
      </c>
      <c r="AD17" s="196" t="str">
        <f>IFERROR(VLOOKUP(DAY(B17),'[2]Chuyển đổi mã'!$F$1:$G$32,2,0),0)</f>
        <v>W3</v>
      </c>
      <c r="AE17" s="196" t="str">
        <f t="shared" si="1"/>
        <v>331014</v>
      </c>
      <c r="AF17" s="196" t="str">
        <f t="shared" si="2"/>
        <v>NPP</v>
      </c>
      <c r="AG17" s="196" t="str">
        <f t="shared" si="3"/>
        <v>NPP331014</v>
      </c>
      <c r="AH17" s="196">
        <f t="shared" si="4"/>
        <v>0</v>
      </c>
      <c r="AI17" s="181" t="s">
        <v>997</v>
      </c>
    </row>
    <row r="18" spans="1:35" ht="12.95" customHeight="1">
      <c r="A18" s="261">
        <f t="shared" si="5"/>
        <v>15</v>
      </c>
      <c r="B18" s="262">
        <v>43573</v>
      </c>
      <c r="C18" s="261" t="s">
        <v>311</v>
      </c>
      <c r="D18" s="261" t="s">
        <v>310</v>
      </c>
      <c r="E18" s="261"/>
      <c r="F18" s="261" t="s">
        <v>423</v>
      </c>
      <c r="G18" s="263" t="s">
        <v>424</v>
      </c>
      <c r="H18" s="263"/>
      <c r="I18" s="263" t="s">
        <v>296</v>
      </c>
      <c r="J18" s="263" t="s">
        <v>996</v>
      </c>
      <c r="K18" s="263" t="s">
        <v>391</v>
      </c>
      <c r="L18" s="263" t="s">
        <v>350</v>
      </c>
      <c r="M18" s="261" t="s">
        <v>368</v>
      </c>
      <c r="N18" s="261" t="s">
        <v>378</v>
      </c>
      <c r="O18" s="263" t="s">
        <v>379</v>
      </c>
      <c r="P18" s="264">
        <v>-53.167000000000002</v>
      </c>
      <c r="Q18" s="264">
        <v>185640</v>
      </c>
      <c r="R18" s="265">
        <v>-9869921.8800000008</v>
      </c>
      <c r="S18" s="265">
        <v>-986992.18799999997</v>
      </c>
      <c r="T18" s="265">
        <v>-10856914.068</v>
      </c>
      <c r="U18" s="263"/>
      <c r="V18" s="263" t="s">
        <v>310</v>
      </c>
      <c r="W18" s="261">
        <v>0</v>
      </c>
      <c r="X18" s="261"/>
      <c r="Y18" s="266" t="s">
        <v>369</v>
      </c>
      <c r="Z18" s="196" t="str">
        <f>+IFERROR(VLOOKUP($F18,'[2]Chuyển đổi mã'!$A$1:$C$91,3,0),$F18)&amp;AE18</f>
        <v>NPP00000084321238</v>
      </c>
      <c r="AA18" s="196" t="str">
        <f>IFERROR(VLOOKUP($F18,'[2]Chuyển đổi mã'!$A$1:$C$184,3,0),F18)</f>
        <v>NPP00000084</v>
      </c>
      <c r="AB18" s="196" t="str">
        <f>VLOOKUP($G18,'[2]Thông tin NPP'!$B:$D,3,0)</f>
        <v>THANH LIÊM</v>
      </c>
      <c r="AC18" s="196" t="str">
        <f t="shared" si="0"/>
        <v>Richoco Wf</v>
      </c>
      <c r="AD18" s="196" t="str">
        <f>IFERROR(VLOOKUP(DAY(B18),'[2]Chuyển đổi mã'!$F$1:$G$32,2,0),0)</f>
        <v>W3</v>
      </c>
      <c r="AE18" s="196" t="str">
        <f t="shared" si="1"/>
        <v>321238</v>
      </c>
      <c r="AF18" s="196" t="str">
        <f t="shared" si="2"/>
        <v>NPP</v>
      </c>
      <c r="AG18" s="196" t="str">
        <f t="shared" si="3"/>
        <v>NPP321238</v>
      </c>
      <c r="AH18" s="196">
        <f t="shared" si="4"/>
        <v>0</v>
      </c>
      <c r="AI18" s="181" t="s">
        <v>997</v>
      </c>
    </row>
    <row r="19" spans="1:35" ht="12.95" customHeight="1">
      <c r="A19" s="261">
        <f t="shared" si="5"/>
        <v>16</v>
      </c>
      <c r="B19" s="262">
        <v>43573</v>
      </c>
      <c r="C19" s="261" t="s">
        <v>311</v>
      </c>
      <c r="D19" s="261" t="s">
        <v>310</v>
      </c>
      <c r="E19" s="261"/>
      <c r="F19" s="261" t="s">
        <v>423</v>
      </c>
      <c r="G19" s="263" t="s">
        <v>424</v>
      </c>
      <c r="H19" s="263"/>
      <c r="I19" s="263" t="s">
        <v>296</v>
      </c>
      <c r="J19" s="263" t="s">
        <v>996</v>
      </c>
      <c r="K19" s="263" t="s">
        <v>391</v>
      </c>
      <c r="L19" s="263" t="s">
        <v>350</v>
      </c>
      <c r="M19" s="261" t="s">
        <v>368</v>
      </c>
      <c r="N19" s="261" t="s">
        <v>370</v>
      </c>
      <c r="O19" s="263" t="s">
        <v>371</v>
      </c>
      <c r="P19" s="264">
        <v>-21.167000000000002</v>
      </c>
      <c r="Q19" s="264">
        <v>185640</v>
      </c>
      <c r="R19" s="265">
        <v>-3929441.88</v>
      </c>
      <c r="S19" s="265">
        <v>-392944.18800000002</v>
      </c>
      <c r="T19" s="265">
        <v>-4322386.068</v>
      </c>
      <c r="U19" s="263"/>
      <c r="V19" s="263" t="s">
        <v>310</v>
      </c>
      <c r="W19" s="261">
        <v>0</v>
      </c>
      <c r="X19" s="261"/>
      <c r="Y19" s="266" t="s">
        <v>369</v>
      </c>
      <c r="Z19" s="196" t="str">
        <f>+IFERROR(VLOOKUP($F19,'[2]Chuyển đổi mã'!$A$1:$C$91,3,0),$F19)&amp;AE19</f>
        <v>NPP00000084321268</v>
      </c>
      <c r="AA19" s="196" t="str">
        <f>IFERROR(VLOOKUP($F19,'[2]Chuyển đổi mã'!$A$1:$C$184,3,0),F19)</f>
        <v>NPP00000084</v>
      </c>
      <c r="AB19" s="196" t="str">
        <f>VLOOKUP($G19,'[2]Thông tin NPP'!$B:$D,3,0)</f>
        <v>THANH LIÊM</v>
      </c>
      <c r="AC19" s="196" t="str">
        <f t="shared" si="0"/>
        <v>Richoco Wf</v>
      </c>
      <c r="AD19" s="196" t="str">
        <f>IFERROR(VLOOKUP(DAY(B19),'[2]Chuyển đổi mã'!$F$1:$G$32,2,0),0)</f>
        <v>W3</v>
      </c>
      <c r="AE19" s="196" t="str">
        <f t="shared" si="1"/>
        <v>321268</v>
      </c>
      <c r="AF19" s="196" t="str">
        <f t="shared" si="2"/>
        <v>NPP</v>
      </c>
      <c r="AG19" s="196" t="str">
        <f t="shared" si="3"/>
        <v>NPP321268</v>
      </c>
      <c r="AH19" s="196">
        <f t="shared" si="4"/>
        <v>0</v>
      </c>
      <c r="AI19" s="181" t="s">
        <v>997</v>
      </c>
    </row>
    <row r="20" spans="1:35" ht="12.95" customHeight="1">
      <c r="A20" s="261">
        <f t="shared" si="5"/>
        <v>17</v>
      </c>
      <c r="B20" s="262">
        <v>43573</v>
      </c>
      <c r="C20" s="261" t="s">
        <v>311</v>
      </c>
      <c r="D20" s="261" t="s">
        <v>310</v>
      </c>
      <c r="E20" s="261"/>
      <c r="F20" s="261" t="s">
        <v>423</v>
      </c>
      <c r="G20" s="263" t="s">
        <v>424</v>
      </c>
      <c r="H20" s="263"/>
      <c r="I20" s="263" t="s">
        <v>296</v>
      </c>
      <c r="J20" s="263" t="s">
        <v>996</v>
      </c>
      <c r="K20" s="263" t="s">
        <v>391</v>
      </c>
      <c r="L20" s="263" t="s">
        <v>350</v>
      </c>
      <c r="M20" s="261" t="s">
        <v>368</v>
      </c>
      <c r="N20" s="261" t="s">
        <v>361</v>
      </c>
      <c r="O20" s="263" t="s">
        <v>362</v>
      </c>
      <c r="P20" s="264">
        <v>-2.4329999999999998</v>
      </c>
      <c r="Q20" s="264">
        <v>273000</v>
      </c>
      <c r="R20" s="265">
        <v>-664209</v>
      </c>
      <c r="S20" s="265">
        <v>-66420.899999999994</v>
      </c>
      <c r="T20" s="265">
        <v>-730629.9</v>
      </c>
      <c r="U20" s="263"/>
      <c r="V20" s="263" t="s">
        <v>310</v>
      </c>
      <c r="W20" s="261">
        <v>0</v>
      </c>
      <c r="X20" s="261"/>
      <c r="Y20" s="266" t="s">
        <v>369</v>
      </c>
      <c r="Z20" s="196" t="str">
        <f>+IFERROR(VLOOKUP($F20,'[2]Chuyển đổi mã'!$A$1:$C$91,3,0),$F20)&amp;AE20</f>
        <v>NPP00000084331017</v>
      </c>
      <c r="AA20" s="196" t="str">
        <f>IFERROR(VLOOKUP($F20,'[2]Chuyển đổi mã'!$A$1:$C$184,3,0),F20)</f>
        <v>NPP00000084</v>
      </c>
      <c r="AB20" s="196" t="str">
        <f>VLOOKUP($G20,'[2]Thông tin NPP'!$B:$D,3,0)</f>
        <v>THANH LIÊM</v>
      </c>
      <c r="AC20" s="196" t="str">
        <f t="shared" si="0"/>
        <v>Richoco Wf</v>
      </c>
      <c r="AD20" s="196" t="str">
        <f>IFERROR(VLOOKUP(DAY(B20),'[2]Chuyển đổi mã'!$F$1:$G$32,2,0),0)</f>
        <v>W3</v>
      </c>
      <c r="AE20" s="196" t="str">
        <f t="shared" si="1"/>
        <v>331017</v>
      </c>
      <c r="AF20" s="196" t="str">
        <f t="shared" si="2"/>
        <v>NPP</v>
      </c>
      <c r="AG20" s="196" t="str">
        <f t="shared" si="3"/>
        <v>NPP331017</v>
      </c>
      <c r="AH20" s="196">
        <f t="shared" si="4"/>
        <v>0</v>
      </c>
      <c r="AI20" s="181" t="s">
        <v>997</v>
      </c>
    </row>
    <row r="21" spans="1:35" ht="12.95" customHeight="1">
      <c r="A21" s="261">
        <f t="shared" si="5"/>
        <v>18</v>
      </c>
      <c r="B21" s="262">
        <v>43573</v>
      </c>
      <c r="C21" s="261" t="s">
        <v>311</v>
      </c>
      <c r="D21" s="261" t="s">
        <v>310</v>
      </c>
      <c r="E21" s="261"/>
      <c r="F21" s="261" t="s">
        <v>423</v>
      </c>
      <c r="G21" s="263" t="s">
        <v>424</v>
      </c>
      <c r="H21" s="263"/>
      <c r="I21" s="263" t="s">
        <v>296</v>
      </c>
      <c r="J21" s="263" t="s">
        <v>996</v>
      </c>
      <c r="K21" s="263" t="s">
        <v>391</v>
      </c>
      <c r="L21" s="263" t="s">
        <v>350</v>
      </c>
      <c r="M21" s="261" t="s">
        <v>368</v>
      </c>
      <c r="N21" s="261" t="s">
        <v>427</v>
      </c>
      <c r="O21" s="263" t="s">
        <v>428</v>
      </c>
      <c r="P21" s="264">
        <v>-3.1</v>
      </c>
      <c r="Q21" s="264">
        <v>273000</v>
      </c>
      <c r="R21" s="265">
        <v>-846300</v>
      </c>
      <c r="S21" s="265">
        <v>-84630</v>
      </c>
      <c r="T21" s="265">
        <v>-930930</v>
      </c>
      <c r="U21" s="263"/>
      <c r="V21" s="263" t="s">
        <v>310</v>
      </c>
      <c r="W21" s="261">
        <v>0</v>
      </c>
      <c r="X21" s="261"/>
      <c r="Y21" s="266" t="s">
        <v>369</v>
      </c>
      <c r="Z21" s="196" t="str">
        <f>+IFERROR(VLOOKUP($F21,'[2]Chuyển đổi mã'!$A$1:$C$91,3,0),$F21)&amp;AE21</f>
        <v>NPP00000084331050</v>
      </c>
      <c r="AA21" s="196" t="str">
        <f>IFERROR(VLOOKUP($F21,'[2]Chuyển đổi mã'!$A$1:$C$184,3,0),F21)</f>
        <v>NPP00000084</v>
      </c>
      <c r="AB21" s="196" t="str">
        <f>VLOOKUP($G21,'[2]Thông tin NPP'!$B:$D,3,0)</f>
        <v>THANH LIÊM</v>
      </c>
      <c r="AC21" s="196" t="str">
        <f t="shared" si="0"/>
        <v>Richoco Wf</v>
      </c>
      <c r="AD21" s="196" t="str">
        <f>IFERROR(VLOOKUP(DAY(B21),'[2]Chuyển đổi mã'!$F$1:$G$32,2,0),0)</f>
        <v>W3</v>
      </c>
      <c r="AE21" s="196" t="str">
        <f t="shared" si="1"/>
        <v>331050</v>
      </c>
      <c r="AF21" s="196" t="str">
        <f t="shared" si="2"/>
        <v>NPP</v>
      </c>
      <c r="AG21" s="196" t="str">
        <f t="shared" si="3"/>
        <v>NPP331050</v>
      </c>
      <c r="AH21" s="196">
        <f t="shared" si="4"/>
        <v>0</v>
      </c>
      <c r="AI21" s="181" t="s">
        <v>997</v>
      </c>
    </row>
    <row r="22" spans="1:35" ht="12.95" customHeight="1">
      <c r="A22" s="261">
        <f t="shared" si="5"/>
        <v>19</v>
      </c>
      <c r="B22" s="262">
        <v>43573</v>
      </c>
      <c r="C22" s="261" t="s">
        <v>311</v>
      </c>
      <c r="D22" s="261" t="s">
        <v>310</v>
      </c>
      <c r="E22" s="261"/>
      <c r="F22" s="261" t="s">
        <v>423</v>
      </c>
      <c r="G22" s="263" t="s">
        <v>424</v>
      </c>
      <c r="H22" s="263"/>
      <c r="I22" s="263" t="s">
        <v>296</v>
      </c>
      <c r="J22" s="263" t="s">
        <v>996</v>
      </c>
      <c r="K22" s="263" t="s">
        <v>391</v>
      </c>
      <c r="L22" s="263" t="s">
        <v>350</v>
      </c>
      <c r="M22" s="261" t="s">
        <v>368</v>
      </c>
      <c r="N22" s="261" t="s">
        <v>402</v>
      </c>
      <c r="O22" s="263" t="s">
        <v>403</v>
      </c>
      <c r="P22" s="264">
        <v>-1.5</v>
      </c>
      <c r="Q22" s="264">
        <v>297322</v>
      </c>
      <c r="R22" s="265">
        <v>-445983</v>
      </c>
      <c r="S22" s="265">
        <v>-44598.3</v>
      </c>
      <c r="T22" s="265">
        <v>-490581.3</v>
      </c>
      <c r="U22" s="263"/>
      <c r="V22" s="263" t="s">
        <v>310</v>
      </c>
      <c r="W22" s="261">
        <v>0</v>
      </c>
      <c r="X22" s="261"/>
      <c r="Y22" s="266" t="s">
        <v>369</v>
      </c>
      <c r="Z22" s="196" t="str">
        <f>+IFERROR(VLOOKUP($F22,'[2]Chuyển đổi mã'!$A$1:$C$91,3,0),$F22)&amp;AE22</f>
        <v>NPP00000084321258</v>
      </c>
      <c r="AA22" s="196" t="str">
        <f>IFERROR(VLOOKUP($F22,'[2]Chuyển đổi mã'!$A$1:$C$184,3,0),F22)</f>
        <v>NPP00000084</v>
      </c>
      <c r="AB22" s="196" t="str">
        <f>VLOOKUP($G22,'[2]Thông tin NPP'!$B:$D,3,0)</f>
        <v>THANH LIÊM</v>
      </c>
      <c r="AC22" s="196" t="str">
        <f t="shared" si="0"/>
        <v>Richoco Ti</v>
      </c>
      <c r="AD22" s="196" t="str">
        <f>IFERROR(VLOOKUP(DAY(B22),'[2]Chuyển đổi mã'!$F$1:$G$32,2,0),0)</f>
        <v>W3</v>
      </c>
      <c r="AE22" s="196" t="str">
        <f t="shared" si="1"/>
        <v>321258</v>
      </c>
      <c r="AF22" s="196" t="str">
        <f t="shared" si="2"/>
        <v>NPP</v>
      </c>
      <c r="AG22" s="196" t="str">
        <f t="shared" si="3"/>
        <v>NPP321258</v>
      </c>
      <c r="AH22" s="196">
        <f t="shared" si="4"/>
        <v>0</v>
      </c>
      <c r="AI22" s="181" t="s">
        <v>997</v>
      </c>
    </row>
    <row r="23" spans="1:35" ht="12.95" customHeight="1">
      <c r="A23" s="261">
        <f t="shared" si="5"/>
        <v>20</v>
      </c>
      <c r="B23" s="262">
        <v>43573</v>
      </c>
      <c r="C23" s="261" t="s">
        <v>311</v>
      </c>
      <c r="D23" s="261" t="s">
        <v>310</v>
      </c>
      <c r="E23" s="261"/>
      <c r="F23" s="261" t="s">
        <v>423</v>
      </c>
      <c r="G23" s="263" t="s">
        <v>424</v>
      </c>
      <c r="H23" s="263"/>
      <c r="I23" s="263" t="s">
        <v>296</v>
      </c>
      <c r="J23" s="263" t="s">
        <v>996</v>
      </c>
      <c r="K23" s="263" t="s">
        <v>391</v>
      </c>
      <c r="L23" s="263" t="s">
        <v>350</v>
      </c>
      <c r="M23" s="261" t="s">
        <v>368</v>
      </c>
      <c r="N23" s="261" t="s">
        <v>412</v>
      </c>
      <c r="O23" s="263" t="s">
        <v>413</v>
      </c>
      <c r="P23" s="264">
        <v>-8</v>
      </c>
      <c r="Q23" s="264">
        <v>91331</v>
      </c>
      <c r="R23" s="265">
        <v>-730648</v>
      </c>
      <c r="S23" s="265">
        <v>-73064.800000000003</v>
      </c>
      <c r="T23" s="265">
        <v>-803712.8</v>
      </c>
      <c r="U23" s="263"/>
      <c r="V23" s="263" t="s">
        <v>310</v>
      </c>
      <c r="W23" s="261">
        <v>0</v>
      </c>
      <c r="X23" s="261"/>
      <c r="Y23" s="266" t="s">
        <v>369</v>
      </c>
      <c r="Z23" s="196" t="str">
        <f>+IFERROR(VLOOKUP($F23,'[2]Chuyển đổi mã'!$A$1:$C$91,3,0),$F23)&amp;AE23</f>
        <v>NPP00000084322206</v>
      </c>
      <c r="AA23" s="196" t="str">
        <f>IFERROR(VLOOKUP($F23,'[2]Chuyển đổi mã'!$A$1:$C$184,3,0),F23)</f>
        <v>NPP00000084</v>
      </c>
      <c r="AB23" s="196" t="str">
        <f>VLOOKUP($G23,'[2]Thông tin NPP'!$B:$D,3,0)</f>
        <v>THANH LIÊM</v>
      </c>
      <c r="AC23" s="196" t="str">
        <f t="shared" si="0"/>
        <v>Richoco Ro</v>
      </c>
      <c r="AD23" s="196" t="str">
        <f>IFERROR(VLOOKUP(DAY(B23),'[2]Chuyển đổi mã'!$F$1:$G$32,2,0),0)</f>
        <v>W3</v>
      </c>
      <c r="AE23" s="196" t="str">
        <f t="shared" si="1"/>
        <v>322206</v>
      </c>
      <c r="AF23" s="196" t="str">
        <f t="shared" si="2"/>
        <v>NPP</v>
      </c>
      <c r="AG23" s="196" t="str">
        <f t="shared" si="3"/>
        <v>NPP322206</v>
      </c>
      <c r="AH23" s="196">
        <f t="shared" si="4"/>
        <v>0</v>
      </c>
      <c r="AI23" s="181" t="s">
        <v>997</v>
      </c>
    </row>
    <row r="24" spans="1:35" ht="12.95" customHeight="1">
      <c r="A24" s="261">
        <f t="shared" si="5"/>
        <v>21</v>
      </c>
      <c r="B24" s="262">
        <v>43573</v>
      </c>
      <c r="C24" s="261" t="s">
        <v>311</v>
      </c>
      <c r="D24" s="261" t="s">
        <v>310</v>
      </c>
      <c r="E24" s="261"/>
      <c r="F24" s="261" t="s">
        <v>423</v>
      </c>
      <c r="G24" s="263" t="s">
        <v>424</v>
      </c>
      <c r="H24" s="263"/>
      <c r="I24" s="263" t="s">
        <v>296</v>
      </c>
      <c r="J24" s="263" t="s">
        <v>996</v>
      </c>
      <c r="K24" s="263" t="s">
        <v>391</v>
      </c>
      <c r="L24" s="263" t="s">
        <v>350</v>
      </c>
      <c r="M24" s="261" t="s">
        <v>368</v>
      </c>
      <c r="N24" s="261" t="s">
        <v>429</v>
      </c>
      <c r="O24" s="263" t="s">
        <v>430</v>
      </c>
      <c r="P24" s="264">
        <v>-0.183</v>
      </c>
      <c r="Q24" s="264">
        <v>273000</v>
      </c>
      <c r="R24" s="265">
        <v>-49959</v>
      </c>
      <c r="S24" s="265">
        <v>-4995.8999999999996</v>
      </c>
      <c r="T24" s="265">
        <v>-54954.9</v>
      </c>
      <c r="U24" s="263"/>
      <c r="V24" s="263" t="s">
        <v>310</v>
      </c>
      <c r="W24" s="261">
        <v>0</v>
      </c>
      <c r="X24" s="261"/>
      <c r="Y24" s="266" t="s">
        <v>369</v>
      </c>
      <c r="Z24" s="196" t="str">
        <f>+IFERROR(VLOOKUP($F24,'[2]Chuyển đổi mã'!$A$1:$C$91,3,0),$F24)&amp;AE24</f>
        <v>NPP00000084322207</v>
      </c>
      <c r="AA24" s="196" t="str">
        <f>IFERROR(VLOOKUP($F24,'[2]Chuyển đổi mã'!$A$1:$C$184,3,0),F24)</f>
        <v>NPP00000084</v>
      </c>
      <c r="AB24" s="196" t="str">
        <f>VLOOKUP($G24,'[2]Thông tin NPP'!$B:$D,3,0)</f>
        <v>THANH LIÊM</v>
      </c>
      <c r="AC24" s="196" t="str">
        <f t="shared" si="0"/>
        <v>Richoco Ro</v>
      </c>
      <c r="AD24" s="196" t="str">
        <f>IFERROR(VLOOKUP(DAY(B24),'[2]Chuyển đổi mã'!$F$1:$G$32,2,0),0)</f>
        <v>W3</v>
      </c>
      <c r="AE24" s="196" t="str">
        <f t="shared" si="1"/>
        <v>322207</v>
      </c>
      <c r="AF24" s="196" t="str">
        <f t="shared" si="2"/>
        <v>NPP</v>
      </c>
      <c r="AG24" s="196" t="str">
        <f t="shared" si="3"/>
        <v>NPP322207</v>
      </c>
      <c r="AH24" s="196">
        <f t="shared" si="4"/>
        <v>0</v>
      </c>
      <c r="AI24" s="181" t="s">
        <v>997</v>
      </c>
    </row>
    <row r="25" spans="1:35" ht="12.95" customHeight="1">
      <c r="A25" s="261">
        <f t="shared" si="5"/>
        <v>22</v>
      </c>
      <c r="B25" s="262">
        <v>43573</v>
      </c>
      <c r="C25" s="261" t="s">
        <v>311</v>
      </c>
      <c r="D25" s="261" t="s">
        <v>310</v>
      </c>
      <c r="E25" s="261"/>
      <c r="F25" s="261" t="s">
        <v>423</v>
      </c>
      <c r="G25" s="263" t="s">
        <v>424</v>
      </c>
      <c r="H25" s="263"/>
      <c r="I25" s="263" t="s">
        <v>296</v>
      </c>
      <c r="J25" s="263" t="s">
        <v>996</v>
      </c>
      <c r="K25" s="263" t="s">
        <v>391</v>
      </c>
      <c r="L25" s="263" t="s">
        <v>350</v>
      </c>
      <c r="M25" s="261" t="s">
        <v>431</v>
      </c>
      <c r="N25" s="261" t="s">
        <v>363</v>
      </c>
      <c r="O25" s="263" t="s">
        <v>364</v>
      </c>
      <c r="P25" s="264">
        <v>-71.125</v>
      </c>
      <c r="Q25" s="264">
        <v>291200</v>
      </c>
      <c r="R25" s="265">
        <v>-20711600</v>
      </c>
      <c r="S25" s="265">
        <v>-2071160</v>
      </c>
      <c r="T25" s="265">
        <v>-22782760</v>
      </c>
      <c r="U25" s="263"/>
      <c r="V25" s="263" t="s">
        <v>310</v>
      </c>
      <c r="W25" s="261">
        <v>0</v>
      </c>
      <c r="X25" s="261"/>
      <c r="Y25" s="266" t="s">
        <v>369</v>
      </c>
      <c r="Z25" s="196" t="str">
        <f>+IFERROR(VLOOKUP($F25,'[2]Chuyển đổi mã'!$A$1:$C$91,3,0),$F25)&amp;AE25</f>
        <v>NPP00000084323708</v>
      </c>
      <c r="AA25" s="196" t="str">
        <f>IFERROR(VLOOKUP($F25,'[2]Chuyển đổi mã'!$A$1:$C$184,3,0),F25)</f>
        <v>NPP00000084</v>
      </c>
      <c r="AB25" s="196" t="str">
        <f>VLOOKUP($G25,'[2]Thông tin NPP'!$B:$D,3,0)</f>
        <v>THANH LIÊM</v>
      </c>
      <c r="AC25" s="196" t="str">
        <f t="shared" si="0"/>
        <v>Nextar Bro</v>
      </c>
      <c r="AD25" s="196" t="str">
        <f>IFERROR(VLOOKUP(DAY(B25),'[2]Chuyển đổi mã'!$F$1:$G$32,2,0),0)</f>
        <v>W3</v>
      </c>
      <c r="AE25" s="196" t="str">
        <f t="shared" si="1"/>
        <v>323708</v>
      </c>
      <c r="AF25" s="196" t="str">
        <f t="shared" si="2"/>
        <v>NPP</v>
      </c>
      <c r="AG25" s="196" t="str">
        <f t="shared" si="3"/>
        <v>NPP323708</v>
      </c>
      <c r="AH25" s="196">
        <f t="shared" si="4"/>
        <v>0</v>
      </c>
      <c r="AI25" s="181" t="s">
        <v>997</v>
      </c>
    </row>
    <row r="26" spans="1:35" ht="12.95" customHeight="1">
      <c r="A26" s="261">
        <f t="shared" si="5"/>
        <v>23</v>
      </c>
      <c r="B26" s="262">
        <v>43573</v>
      </c>
      <c r="C26" s="261" t="s">
        <v>311</v>
      </c>
      <c r="D26" s="261" t="s">
        <v>310</v>
      </c>
      <c r="E26" s="261"/>
      <c r="F26" s="261" t="s">
        <v>423</v>
      </c>
      <c r="G26" s="263" t="s">
        <v>424</v>
      </c>
      <c r="H26" s="263"/>
      <c r="I26" s="263" t="s">
        <v>296</v>
      </c>
      <c r="J26" s="263" t="s">
        <v>996</v>
      </c>
      <c r="K26" s="263" t="s">
        <v>391</v>
      </c>
      <c r="L26" s="263" t="s">
        <v>350</v>
      </c>
      <c r="M26" s="261" t="s">
        <v>431</v>
      </c>
      <c r="N26" s="261" t="s">
        <v>365</v>
      </c>
      <c r="O26" s="263" t="s">
        <v>366</v>
      </c>
      <c r="P26" s="264">
        <v>-6.8330000000000002</v>
      </c>
      <c r="Q26" s="264">
        <v>273000</v>
      </c>
      <c r="R26" s="265">
        <v>-1865409</v>
      </c>
      <c r="S26" s="265">
        <v>-186540.9</v>
      </c>
      <c r="T26" s="265">
        <v>-2051949.9</v>
      </c>
      <c r="U26" s="263"/>
      <c r="V26" s="263" t="s">
        <v>310</v>
      </c>
      <c r="W26" s="261">
        <v>0</v>
      </c>
      <c r="X26" s="261"/>
      <c r="Y26" s="266" t="s">
        <v>369</v>
      </c>
      <c r="Z26" s="196" t="str">
        <f>+IFERROR(VLOOKUP($F26,'[2]Chuyển đổi mã'!$A$1:$C$91,3,0),$F26)&amp;AE26</f>
        <v>NPP00000084323709</v>
      </c>
      <c r="AA26" s="196" t="str">
        <f>IFERROR(VLOOKUP($F26,'[2]Chuyển đổi mã'!$A$1:$C$184,3,0),F26)</f>
        <v>NPP00000084</v>
      </c>
      <c r="AB26" s="196" t="str">
        <f>VLOOKUP($G26,'[2]Thông tin NPP'!$B:$D,3,0)</f>
        <v>THANH LIÊM</v>
      </c>
      <c r="AC26" s="196" t="str">
        <f t="shared" si="0"/>
        <v>Nextar Bro</v>
      </c>
      <c r="AD26" s="196" t="str">
        <f>IFERROR(VLOOKUP(DAY(B26),'[2]Chuyển đổi mã'!$F$1:$G$32,2,0),0)</f>
        <v>W3</v>
      </c>
      <c r="AE26" s="196" t="str">
        <f t="shared" si="1"/>
        <v>323709</v>
      </c>
      <c r="AF26" s="196" t="str">
        <f t="shared" si="2"/>
        <v>NPP</v>
      </c>
      <c r="AG26" s="196" t="str">
        <f t="shared" si="3"/>
        <v>NPP323709</v>
      </c>
      <c r="AH26" s="196">
        <f t="shared" si="4"/>
        <v>0</v>
      </c>
      <c r="AI26" s="181" t="s">
        <v>997</v>
      </c>
    </row>
    <row r="27" spans="1:35" ht="12.95" hidden="1" customHeight="1">
      <c r="A27" s="261">
        <f t="shared" si="5"/>
        <v>24</v>
      </c>
      <c r="B27" s="262">
        <v>43574</v>
      </c>
      <c r="C27" s="261" t="s">
        <v>311</v>
      </c>
      <c r="D27" s="261"/>
      <c r="E27" s="261"/>
      <c r="F27" s="261" t="s">
        <v>432</v>
      </c>
      <c r="G27" s="263" t="s">
        <v>433</v>
      </c>
      <c r="H27" s="263" t="s">
        <v>260</v>
      </c>
      <c r="I27" s="263" t="s">
        <v>296</v>
      </c>
      <c r="J27" s="263" t="s">
        <v>256</v>
      </c>
      <c r="K27" s="263" t="s">
        <v>395</v>
      </c>
      <c r="L27" s="263" t="s">
        <v>350</v>
      </c>
      <c r="M27" s="261" t="s">
        <v>434</v>
      </c>
      <c r="N27" s="261" t="s">
        <v>352</v>
      </c>
      <c r="O27" s="263" t="s">
        <v>353</v>
      </c>
      <c r="P27" s="264">
        <v>-7.8330000000000002</v>
      </c>
      <c r="Q27" s="264">
        <v>119700</v>
      </c>
      <c r="R27" s="265">
        <v>-937610.1</v>
      </c>
      <c r="S27" s="265">
        <v>-93761.01</v>
      </c>
      <c r="T27" s="265">
        <v>-1031371.11</v>
      </c>
      <c r="U27" s="263"/>
      <c r="V27" s="263" t="s">
        <v>310</v>
      </c>
      <c r="W27" s="261">
        <v>0</v>
      </c>
      <c r="X27" s="261"/>
      <c r="Y27" s="266" t="s">
        <v>369</v>
      </c>
      <c r="Z27" s="196" t="str">
        <f>+IFERROR(VLOOKUP($F27,'[2]Chuyển đổi mã'!$A$1:$C$91,3,0),$F27)&amp;AE27</f>
        <v>Metro North320463</v>
      </c>
      <c r="AA27" s="196" t="str">
        <f>IFERROR(VLOOKUP($F27,'[2]Chuyển đổi mã'!$A$1:$C$184,3,0),F27)</f>
        <v>Metro North</v>
      </c>
      <c r="AB27" s="196" t="str">
        <f>VLOOKUP($G27,'[2]Thông tin NPP'!$B:$D,3,0)</f>
        <v>Metro North</v>
      </c>
      <c r="AC27" s="196" t="str">
        <f t="shared" si="0"/>
        <v>Na 8,5g</v>
      </c>
      <c r="AD27" s="196" t="str">
        <f>IFERROR(VLOOKUP(DAY(B27),'[2]Chuyển đổi mã'!$F$1:$G$32,2,0),0)</f>
        <v>W3</v>
      </c>
      <c r="AE27" s="196" t="str">
        <f t="shared" si="1"/>
        <v>320463</v>
      </c>
      <c r="AF27" s="196" t="str">
        <f t="shared" si="2"/>
        <v>NPP</v>
      </c>
      <c r="AG27" s="196" t="str">
        <f t="shared" si="3"/>
        <v>NPP320463</v>
      </c>
      <c r="AH27" s="196">
        <f t="shared" si="4"/>
        <v>0</v>
      </c>
      <c r="AI27" s="181" t="s">
        <v>997</v>
      </c>
    </row>
    <row r="28" spans="1:35" ht="12.95" hidden="1" customHeight="1">
      <c r="A28" s="261">
        <f t="shared" si="5"/>
        <v>25</v>
      </c>
      <c r="B28" s="262">
        <v>43574</v>
      </c>
      <c r="C28" s="261" t="s">
        <v>311</v>
      </c>
      <c r="D28" s="261"/>
      <c r="E28" s="261"/>
      <c r="F28" s="261" t="s">
        <v>432</v>
      </c>
      <c r="G28" s="263" t="s">
        <v>433</v>
      </c>
      <c r="H28" s="263" t="s">
        <v>260</v>
      </c>
      <c r="I28" s="263" t="s">
        <v>296</v>
      </c>
      <c r="J28" s="263" t="s">
        <v>256</v>
      </c>
      <c r="K28" s="263" t="s">
        <v>395</v>
      </c>
      <c r="L28" s="263" t="s">
        <v>350</v>
      </c>
      <c r="M28" s="261" t="s">
        <v>434</v>
      </c>
      <c r="N28" s="261" t="s">
        <v>359</v>
      </c>
      <c r="O28" s="263" t="s">
        <v>360</v>
      </c>
      <c r="P28" s="264">
        <v>-1.2829999999999999</v>
      </c>
      <c r="Q28" s="264">
        <v>313636</v>
      </c>
      <c r="R28" s="265">
        <v>-402394.98800000001</v>
      </c>
      <c r="S28" s="265">
        <v>-40239.498800000001</v>
      </c>
      <c r="T28" s="265">
        <v>-442634.48680000001</v>
      </c>
      <c r="U28" s="263"/>
      <c r="V28" s="263" t="s">
        <v>310</v>
      </c>
      <c r="W28" s="261">
        <v>0</v>
      </c>
      <c r="X28" s="261"/>
      <c r="Y28" s="266" t="s">
        <v>369</v>
      </c>
      <c r="Z28" s="196" t="str">
        <f>+IFERROR(VLOOKUP($F28,'[2]Chuyển đổi mã'!$A$1:$C$91,3,0),$F28)&amp;AE28</f>
        <v>Metro North320445</v>
      </c>
      <c r="AA28" s="196" t="str">
        <f>IFERROR(VLOOKUP($F28,'[2]Chuyển đổi mã'!$A$1:$C$184,3,0),F28)</f>
        <v>Metro North</v>
      </c>
      <c r="AB28" s="196" t="str">
        <f>VLOOKUP($G28,'[2]Thông tin NPP'!$B:$D,3,0)</f>
        <v>Metro North</v>
      </c>
      <c r="AC28" s="196" t="str">
        <f t="shared" si="0"/>
        <v>Na 58g</v>
      </c>
      <c r="AD28" s="196" t="str">
        <f>IFERROR(VLOOKUP(DAY(B28),'[2]Chuyển đổi mã'!$F$1:$G$32,2,0),0)</f>
        <v>W3</v>
      </c>
      <c r="AE28" s="196" t="str">
        <f t="shared" si="1"/>
        <v>320445</v>
      </c>
      <c r="AF28" s="196" t="str">
        <f t="shared" si="2"/>
        <v>NPP</v>
      </c>
      <c r="AG28" s="196" t="str">
        <f t="shared" si="3"/>
        <v>NPP320445</v>
      </c>
      <c r="AH28" s="196">
        <f t="shared" si="4"/>
        <v>0</v>
      </c>
      <c r="AI28" s="181" t="s">
        <v>997</v>
      </c>
    </row>
    <row r="29" spans="1:35" ht="12.95" hidden="1" customHeight="1">
      <c r="A29" s="261">
        <f t="shared" si="5"/>
        <v>26</v>
      </c>
      <c r="B29" s="262">
        <v>43574</v>
      </c>
      <c r="C29" s="261" t="s">
        <v>311</v>
      </c>
      <c r="D29" s="261"/>
      <c r="E29" s="261"/>
      <c r="F29" s="261" t="s">
        <v>432</v>
      </c>
      <c r="G29" s="263" t="s">
        <v>433</v>
      </c>
      <c r="H29" s="263" t="s">
        <v>260</v>
      </c>
      <c r="I29" s="263" t="s">
        <v>296</v>
      </c>
      <c r="J29" s="263" t="s">
        <v>256</v>
      </c>
      <c r="K29" s="263" t="s">
        <v>395</v>
      </c>
      <c r="L29" s="263" t="s">
        <v>350</v>
      </c>
      <c r="M29" s="261" t="s">
        <v>434</v>
      </c>
      <c r="N29" s="261" t="s">
        <v>352</v>
      </c>
      <c r="O29" s="263" t="s">
        <v>353</v>
      </c>
      <c r="P29" s="264">
        <v>-5</v>
      </c>
      <c r="Q29" s="264">
        <v>119700</v>
      </c>
      <c r="R29" s="265">
        <v>-598500</v>
      </c>
      <c r="S29" s="265">
        <v>-59850</v>
      </c>
      <c r="T29" s="265">
        <v>-658350</v>
      </c>
      <c r="U29" s="263"/>
      <c r="V29" s="263" t="s">
        <v>310</v>
      </c>
      <c r="W29" s="261">
        <v>0</v>
      </c>
      <c r="X29" s="261"/>
      <c r="Y29" s="266" t="s">
        <v>369</v>
      </c>
      <c r="Z29" s="196" t="str">
        <f>+IFERROR(VLOOKUP($F29,'[2]Chuyển đổi mã'!$A$1:$C$91,3,0),$F29)&amp;AE29</f>
        <v>Metro North320463</v>
      </c>
      <c r="AA29" s="196" t="str">
        <f>IFERROR(VLOOKUP($F29,'[2]Chuyển đổi mã'!$A$1:$C$184,3,0),F29)</f>
        <v>Metro North</v>
      </c>
      <c r="AB29" s="196" t="str">
        <f>VLOOKUP($G29,'[2]Thông tin NPP'!$B:$D,3,0)</f>
        <v>Metro North</v>
      </c>
      <c r="AC29" s="196" t="str">
        <f t="shared" si="0"/>
        <v>Na 8,5g</v>
      </c>
      <c r="AD29" s="196" t="str">
        <f>IFERROR(VLOOKUP(DAY(B29),'[2]Chuyển đổi mã'!$F$1:$G$32,2,0),0)</f>
        <v>W3</v>
      </c>
      <c r="AE29" s="196" t="str">
        <f t="shared" si="1"/>
        <v>320463</v>
      </c>
      <c r="AF29" s="196" t="str">
        <f t="shared" si="2"/>
        <v>NPP</v>
      </c>
      <c r="AG29" s="196" t="str">
        <f t="shared" si="3"/>
        <v>NPP320463</v>
      </c>
      <c r="AH29" s="196">
        <f t="shared" si="4"/>
        <v>0</v>
      </c>
      <c r="AI29" s="181" t="s">
        <v>997</v>
      </c>
    </row>
    <row r="30" spans="1:35" ht="12.95" hidden="1" customHeight="1">
      <c r="A30" s="261">
        <f t="shared" si="5"/>
        <v>27</v>
      </c>
      <c r="B30" s="262">
        <v>43574</v>
      </c>
      <c r="C30" s="261" t="s">
        <v>311</v>
      </c>
      <c r="D30" s="261"/>
      <c r="E30" s="261"/>
      <c r="F30" s="261" t="s">
        <v>432</v>
      </c>
      <c r="G30" s="263" t="s">
        <v>433</v>
      </c>
      <c r="H30" s="263" t="s">
        <v>260</v>
      </c>
      <c r="I30" s="263" t="s">
        <v>296</v>
      </c>
      <c r="J30" s="263" t="s">
        <v>256</v>
      </c>
      <c r="K30" s="263" t="s">
        <v>395</v>
      </c>
      <c r="L30" s="263" t="s">
        <v>350</v>
      </c>
      <c r="M30" s="261" t="s">
        <v>434</v>
      </c>
      <c r="N30" s="261" t="s">
        <v>352</v>
      </c>
      <c r="O30" s="263" t="s">
        <v>353</v>
      </c>
      <c r="P30" s="264">
        <v>-13</v>
      </c>
      <c r="Q30" s="264">
        <v>119700</v>
      </c>
      <c r="R30" s="265">
        <v>-1556100</v>
      </c>
      <c r="S30" s="265">
        <v>-155610</v>
      </c>
      <c r="T30" s="265">
        <v>-1711710</v>
      </c>
      <c r="U30" s="263"/>
      <c r="V30" s="263" t="s">
        <v>310</v>
      </c>
      <c r="W30" s="261">
        <v>0</v>
      </c>
      <c r="X30" s="261"/>
      <c r="Y30" s="266" t="s">
        <v>369</v>
      </c>
      <c r="Z30" s="196" t="str">
        <f>+IFERROR(VLOOKUP($F30,'[2]Chuyển đổi mã'!$A$1:$C$91,3,0),$F30)&amp;AE30</f>
        <v>Metro North320463</v>
      </c>
      <c r="AA30" s="196" t="str">
        <f>IFERROR(VLOOKUP($F30,'[2]Chuyển đổi mã'!$A$1:$C$184,3,0),F30)</f>
        <v>Metro North</v>
      </c>
      <c r="AB30" s="196" t="str">
        <f>VLOOKUP($G30,'[2]Thông tin NPP'!$B:$D,3,0)</f>
        <v>Metro North</v>
      </c>
      <c r="AC30" s="196" t="str">
        <f t="shared" si="0"/>
        <v>Na 8,5g</v>
      </c>
      <c r="AD30" s="196" t="str">
        <f>IFERROR(VLOOKUP(DAY(B30),'[2]Chuyển đổi mã'!$F$1:$G$32,2,0),0)</f>
        <v>W3</v>
      </c>
      <c r="AE30" s="196" t="str">
        <f t="shared" si="1"/>
        <v>320463</v>
      </c>
      <c r="AF30" s="196" t="str">
        <f t="shared" si="2"/>
        <v>NPP</v>
      </c>
      <c r="AG30" s="196" t="str">
        <f t="shared" si="3"/>
        <v>NPP320463</v>
      </c>
      <c r="AH30" s="196">
        <f t="shared" si="4"/>
        <v>0</v>
      </c>
      <c r="AI30" s="181" t="s">
        <v>997</v>
      </c>
    </row>
    <row r="31" spans="1:35" ht="12.95" hidden="1" customHeight="1">
      <c r="A31" s="261">
        <f t="shared" si="5"/>
        <v>28</v>
      </c>
      <c r="B31" s="262">
        <v>43574</v>
      </c>
      <c r="C31" s="261" t="s">
        <v>311</v>
      </c>
      <c r="D31" s="261"/>
      <c r="E31" s="261"/>
      <c r="F31" s="261" t="s">
        <v>432</v>
      </c>
      <c r="G31" s="263" t="s">
        <v>433</v>
      </c>
      <c r="H31" s="263" t="s">
        <v>260</v>
      </c>
      <c r="I31" s="263" t="s">
        <v>296</v>
      </c>
      <c r="J31" s="263" t="s">
        <v>256</v>
      </c>
      <c r="K31" s="263" t="s">
        <v>395</v>
      </c>
      <c r="L31" s="263" t="s">
        <v>350</v>
      </c>
      <c r="M31" s="261" t="s">
        <v>434</v>
      </c>
      <c r="N31" s="261" t="s">
        <v>352</v>
      </c>
      <c r="O31" s="263" t="s">
        <v>353</v>
      </c>
      <c r="P31" s="264">
        <v>-1</v>
      </c>
      <c r="Q31" s="264">
        <v>119700</v>
      </c>
      <c r="R31" s="265">
        <v>-119700</v>
      </c>
      <c r="S31" s="265">
        <v>-11970</v>
      </c>
      <c r="T31" s="265">
        <v>-131670</v>
      </c>
      <c r="U31" s="263"/>
      <c r="V31" s="263" t="s">
        <v>310</v>
      </c>
      <c r="W31" s="261">
        <v>0</v>
      </c>
      <c r="X31" s="261"/>
      <c r="Y31" s="266" t="s">
        <v>369</v>
      </c>
      <c r="Z31" s="196" t="str">
        <f>+IFERROR(VLOOKUP($F31,'[2]Chuyển đổi mã'!$A$1:$C$91,3,0),$F31)&amp;AE31</f>
        <v>Metro North320463</v>
      </c>
      <c r="AA31" s="196" t="str">
        <f>IFERROR(VLOOKUP($F31,'[2]Chuyển đổi mã'!$A$1:$C$184,3,0),F31)</f>
        <v>Metro North</v>
      </c>
      <c r="AB31" s="196" t="str">
        <f>VLOOKUP($G31,'[2]Thông tin NPP'!$B:$D,3,0)</f>
        <v>Metro North</v>
      </c>
      <c r="AC31" s="196" t="str">
        <f t="shared" si="0"/>
        <v>Na 8,5g</v>
      </c>
      <c r="AD31" s="196" t="str">
        <f>IFERROR(VLOOKUP(DAY(B31),'[2]Chuyển đổi mã'!$F$1:$G$32,2,0),0)</f>
        <v>W3</v>
      </c>
      <c r="AE31" s="196" t="str">
        <f t="shared" si="1"/>
        <v>320463</v>
      </c>
      <c r="AF31" s="196" t="str">
        <f t="shared" si="2"/>
        <v>NPP</v>
      </c>
      <c r="AG31" s="196" t="str">
        <f t="shared" si="3"/>
        <v>NPP320463</v>
      </c>
      <c r="AH31" s="196">
        <f t="shared" si="4"/>
        <v>0</v>
      </c>
      <c r="AI31" s="181" t="s">
        <v>997</v>
      </c>
    </row>
    <row r="32" spans="1:35" ht="12.95" hidden="1" customHeight="1">
      <c r="A32" s="261">
        <f t="shared" si="5"/>
        <v>29</v>
      </c>
      <c r="B32" s="262">
        <v>43574</v>
      </c>
      <c r="C32" s="261" t="s">
        <v>311</v>
      </c>
      <c r="D32" s="261"/>
      <c r="E32" s="261"/>
      <c r="F32" s="261" t="s">
        <v>432</v>
      </c>
      <c r="G32" s="263" t="s">
        <v>433</v>
      </c>
      <c r="H32" s="263" t="s">
        <v>260</v>
      </c>
      <c r="I32" s="263" t="s">
        <v>296</v>
      </c>
      <c r="J32" s="263" t="s">
        <v>256</v>
      </c>
      <c r="K32" s="263" t="s">
        <v>395</v>
      </c>
      <c r="L32" s="263" t="s">
        <v>350</v>
      </c>
      <c r="M32" s="261" t="s">
        <v>434</v>
      </c>
      <c r="N32" s="261" t="s">
        <v>352</v>
      </c>
      <c r="O32" s="263" t="s">
        <v>353</v>
      </c>
      <c r="P32" s="264">
        <v>-15</v>
      </c>
      <c r="Q32" s="264">
        <v>119700</v>
      </c>
      <c r="R32" s="265">
        <v>-1795500</v>
      </c>
      <c r="S32" s="265">
        <v>-179550</v>
      </c>
      <c r="T32" s="265">
        <v>-1975050</v>
      </c>
      <c r="U32" s="263"/>
      <c r="V32" s="263" t="s">
        <v>310</v>
      </c>
      <c r="W32" s="261">
        <v>0</v>
      </c>
      <c r="X32" s="261"/>
      <c r="Y32" s="266" t="s">
        <v>369</v>
      </c>
      <c r="Z32" s="196" t="str">
        <f>+IFERROR(VLOOKUP($F32,'[2]Chuyển đổi mã'!$A$1:$C$91,3,0),$F32)&amp;AE32</f>
        <v>Metro North320463</v>
      </c>
      <c r="AA32" s="196" t="str">
        <f>IFERROR(VLOOKUP($F32,'[2]Chuyển đổi mã'!$A$1:$C$184,3,0),F32)</f>
        <v>Metro North</v>
      </c>
      <c r="AB32" s="196" t="str">
        <f>VLOOKUP($G32,'[2]Thông tin NPP'!$B:$D,3,0)</f>
        <v>Metro North</v>
      </c>
      <c r="AC32" s="196" t="str">
        <f t="shared" si="0"/>
        <v>Na 8,5g</v>
      </c>
      <c r="AD32" s="196" t="str">
        <f>IFERROR(VLOOKUP(DAY(B32),'[2]Chuyển đổi mã'!$F$1:$G$32,2,0),0)</f>
        <v>W3</v>
      </c>
      <c r="AE32" s="196" t="str">
        <f t="shared" si="1"/>
        <v>320463</v>
      </c>
      <c r="AF32" s="196" t="str">
        <f t="shared" si="2"/>
        <v>NPP</v>
      </c>
      <c r="AG32" s="196" t="str">
        <f t="shared" si="3"/>
        <v>NPP320463</v>
      </c>
      <c r="AH32" s="196">
        <f t="shared" si="4"/>
        <v>0</v>
      </c>
      <c r="AI32" s="181" t="s">
        <v>997</v>
      </c>
    </row>
    <row r="33" spans="1:35" ht="12.95" hidden="1" customHeight="1">
      <c r="A33" s="261">
        <f t="shared" si="5"/>
        <v>30</v>
      </c>
      <c r="B33" s="262">
        <v>43574</v>
      </c>
      <c r="C33" s="261" t="s">
        <v>311</v>
      </c>
      <c r="D33" s="261"/>
      <c r="E33" s="261"/>
      <c r="F33" s="261" t="s">
        <v>435</v>
      </c>
      <c r="G33" s="263" t="s">
        <v>436</v>
      </c>
      <c r="H33" s="263" t="s">
        <v>301</v>
      </c>
      <c r="I33" s="263" t="s">
        <v>296</v>
      </c>
      <c r="J33" s="263" t="s">
        <v>742</v>
      </c>
      <c r="K33" s="263" t="s">
        <v>349</v>
      </c>
      <c r="L33" s="263" t="s">
        <v>350</v>
      </c>
      <c r="M33" s="261" t="s">
        <v>431</v>
      </c>
      <c r="N33" s="261" t="s">
        <v>352</v>
      </c>
      <c r="O33" s="263" t="s">
        <v>353</v>
      </c>
      <c r="P33" s="264">
        <v>-10.333</v>
      </c>
      <c r="Q33" s="264">
        <v>119700</v>
      </c>
      <c r="R33" s="265">
        <v>-1236860.1000000001</v>
      </c>
      <c r="S33" s="265">
        <v>-123686.01</v>
      </c>
      <c r="T33" s="265">
        <v>-1360546.11</v>
      </c>
      <c r="U33" s="263"/>
      <c r="V33" s="263" t="s">
        <v>310</v>
      </c>
      <c r="W33" s="261">
        <v>0</v>
      </c>
      <c r="X33" s="261"/>
      <c r="Y33" s="266" t="s">
        <v>369</v>
      </c>
      <c r="Z33" s="196" t="str">
        <f>+IFERROR(VLOOKUP($F33,'[2]Chuyển đổi mã'!$A$1:$C$91,3,0),$F33)&amp;AE33</f>
        <v>Metro South320463</v>
      </c>
      <c r="AA33" s="196" t="str">
        <f>IFERROR(VLOOKUP($F33,'[2]Chuyển đổi mã'!$A$1:$C$184,3,0),F33)</f>
        <v>Metro South</v>
      </c>
      <c r="AB33" s="196" t="str">
        <f>VLOOKUP($G33,'[2]Thông tin NPP'!$B:$D,3,0)</f>
        <v>Metro South</v>
      </c>
      <c r="AC33" s="196" t="str">
        <f t="shared" si="0"/>
        <v>Na 8,5g</v>
      </c>
      <c r="AD33" s="196" t="str">
        <f>IFERROR(VLOOKUP(DAY(B33),'[2]Chuyển đổi mã'!$F$1:$G$32,2,0),0)</f>
        <v>W3</v>
      </c>
      <c r="AE33" s="196" t="str">
        <f t="shared" si="1"/>
        <v>320463</v>
      </c>
      <c r="AF33" s="196" t="str">
        <f t="shared" si="2"/>
        <v>NPP</v>
      </c>
      <c r="AG33" s="196" t="str">
        <f t="shared" si="3"/>
        <v>NPP320463</v>
      </c>
      <c r="AH33" s="196">
        <f t="shared" si="4"/>
        <v>0</v>
      </c>
      <c r="AI33" s="181" t="s">
        <v>997</v>
      </c>
    </row>
    <row r="34" spans="1:35" ht="12.95" hidden="1" customHeight="1">
      <c r="A34" s="261">
        <f t="shared" si="5"/>
        <v>31</v>
      </c>
      <c r="B34" s="262">
        <v>43574</v>
      </c>
      <c r="C34" s="261" t="s">
        <v>311</v>
      </c>
      <c r="D34" s="261"/>
      <c r="E34" s="261"/>
      <c r="F34" s="261" t="s">
        <v>435</v>
      </c>
      <c r="G34" s="263" t="s">
        <v>436</v>
      </c>
      <c r="H34" s="263" t="s">
        <v>301</v>
      </c>
      <c r="I34" s="263" t="s">
        <v>296</v>
      </c>
      <c r="J34" s="263" t="s">
        <v>742</v>
      </c>
      <c r="K34" s="263" t="s">
        <v>349</v>
      </c>
      <c r="L34" s="263" t="s">
        <v>350</v>
      </c>
      <c r="M34" s="261" t="s">
        <v>431</v>
      </c>
      <c r="N34" s="261" t="s">
        <v>352</v>
      </c>
      <c r="O34" s="263" t="s">
        <v>353</v>
      </c>
      <c r="P34" s="264">
        <v>-4.3330000000000002</v>
      </c>
      <c r="Q34" s="264">
        <v>119700</v>
      </c>
      <c r="R34" s="265">
        <v>-518660.1</v>
      </c>
      <c r="S34" s="265">
        <v>-51866.01</v>
      </c>
      <c r="T34" s="265">
        <v>-570526.11</v>
      </c>
      <c r="U34" s="263"/>
      <c r="V34" s="263" t="s">
        <v>310</v>
      </c>
      <c r="W34" s="261">
        <v>0</v>
      </c>
      <c r="X34" s="261"/>
      <c r="Y34" s="266" t="s">
        <v>369</v>
      </c>
      <c r="Z34" s="196" t="str">
        <f>+IFERROR(VLOOKUP($F34,'[2]Chuyển đổi mã'!$A$1:$C$91,3,0),$F34)&amp;AE34</f>
        <v>Metro South320463</v>
      </c>
      <c r="AA34" s="196" t="str">
        <f>IFERROR(VLOOKUP($F34,'[2]Chuyển đổi mã'!$A$1:$C$184,3,0),F34)</f>
        <v>Metro South</v>
      </c>
      <c r="AB34" s="196" t="str">
        <f>VLOOKUP($G34,'[2]Thông tin NPP'!$B:$D,3,0)</f>
        <v>Metro South</v>
      </c>
      <c r="AC34" s="196" t="str">
        <f t="shared" si="0"/>
        <v>Na 8,5g</v>
      </c>
      <c r="AD34" s="196" t="str">
        <f>IFERROR(VLOOKUP(DAY(B34),'[2]Chuyển đổi mã'!$F$1:$G$32,2,0),0)</f>
        <v>W3</v>
      </c>
      <c r="AE34" s="196" t="str">
        <f t="shared" si="1"/>
        <v>320463</v>
      </c>
      <c r="AF34" s="196" t="str">
        <f t="shared" si="2"/>
        <v>NPP</v>
      </c>
      <c r="AG34" s="196" t="str">
        <f t="shared" si="3"/>
        <v>NPP320463</v>
      </c>
      <c r="AH34" s="196">
        <f t="shared" si="4"/>
        <v>0</v>
      </c>
      <c r="AI34" s="181" t="s">
        <v>997</v>
      </c>
    </row>
    <row r="35" spans="1:35" ht="12.95" hidden="1" customHeight="1">
      <c r="A35" s="261">
        <f t="shared" si="5"/>
        <v>32</v>
      </c>
      <c r="B35" s="262">
        <v>43574</v>
      </c>
      <c r="C35" s="261" t="s">
        <v>311</v>
      </c>
      <c r="D35" s="261"/>
      <c r="E35" s="261"/>
      <c r="F35" s="261" t="s">
        <v>435</v>
      </c>
      <c r="G35" s="263" t="s">
        <v>436</v>
      </c>
      <c r="H35" s="263" t="s">
        <v>301</v>
      </c>
      <c r="I35" s="263" t="s">
        <v>296</v>
      </c>
      <c r="J35" s="263" t="s">
        <v>742</v>
      </c>
      <c r="K35" s="263" t="s">
        <v>349</v>
      </c>
      <c r="L35" s="263" t="s">
        <v>350</v>
      </c>
      <c r="M35" s="261" t="s">
        <v>431</v>
      </c>
      <c r="N35" s="261" t="s">
        <v>352</v>
      </c>
      <c r="O35" s="263" t="s">
        <v>353</v>
      </c>
      <c r="P35" s="264">
        <v>-22</v>
      </c>
      <c r="Q35" s="264">
        <v>119700</v>
      </c>
      <c r="R35" s="265">
        <v>-2633400</v>
      </c>
      <c r="S35" s="265">
        <v>-263340</v>
      </c>
      <c r="T35" s="265">
        <v>-2896740</v>
      </c>
      <c r="U35" s="263"/>
      <c r="V35" s="263" t="s">
        <v>310</v>
      </c>
      <c r="W35" s="261">
        <v>0</v>
      </c>
      <c r="X35" s="261"/>
      <c r="Y35" s="266" t="s">
        <v>369</v>
      </c>
      <c r="Z35" s="196" t="str">
        <f>+IFERROR(VLOOKUP($F35,'[2]Chuyển đổi mã'!$A$1:$C$91,3,0),$F35)&amp;AE35</f>
        <v>Metro South320463</v>
      </c>
      <c r="AA35" s="196" t="str">
        <f>IFERROR(VLOOKUP($F35,'[2]Chuyển đổi mã'!$A$1:$C$184,3,0),F35)</f>
        <v>Metro South</v>
      </c>
      <c r="AB35" s="196" t="str">
        <f>VLOOKUP($G35,'[2]Thông tin NPP'!$B:$D,3,0)</f>
        <v>Metro South</v>
      </c>
      <c r="AC35" s="196" t="str">
        <f t="shared" si="0"/>
        <v>Na 8,5g</v>
      </c>
      <c r="AD35" s="196" t="str">
        <f>IFERROR(VLOOKUP(DAY(B35),'[2]Chuyển đổi mã'!$F$1:$G$32,2,0),0)</f>
        <v>W3</v>
      </c>
      <c r="AE35" s="196" t="str">
        <f t="shared" si="1"/>
        <v>320463</v>
      </c>
      <c r="AF35" s="196" t="str">
        <f t="shared" si="2"/>
        <v>NPP</v>
      </c>
      <c r="AG35" s="196" t="str">
        <f t="shared" si="3"/>
        <v>NPP320463</v>
      </c>
      <c r="AH35" s="196">
        <f t="shared" si="4"/>
        <v>0</v>
      </c>
      <c r="AI35" s="181" t="s">
        <v>997</v>
      </c>
    </row>
    <row r="36" spans="1:35" ht="12.95" hidden="1" customHeight="1">
      <c r="A36" s="261">
        <f t="shared" si="5"/>
        <v>33</v>
      </c>
      <c r="B36" s="262">
        <v>43574</v>
      </c>
      <c r="C36" s="261" t="s">
        <v>311</v>
      </c>
      <c r="D36" s="261"/>
      <c r="E36" s="261"/>
      <c r="F36" s="261" t="s">
        <v>435</v>
      </c>
      <c r="G36" s="263" t="s">
        <v>436</v>
      </c>
      <c r="H36" s="263" t="s">
        <v>301</v>
      </c>
      <c r="I36" s="263" t="s">
        <v>296</v>
      </c>
      <c r="J36" s="263" t="s">
        <v>742</v>
      </c>
      <c r="K36" s="263" t="s">
        <v>349</v>
      </c>
      <c r="L36" s="263" t="s">
        <v>350</v>
      </c>
      <c r="M36" s="261" t="s">
        <v>431</v>
      </c>
      <c r="N36" s="261" t="s">
        <v>352</v>
      </c>
      <c r="O36" s="263" t="s">
        <v>353</v>
      </c>
      <c r="P36" s="264">
        <v>-30.832999999999998</v>
      </c>
      <c r="Q36" s="264">
        <v>119700</v>
      </c>
      <c r="R36" s="265">
        <v>-3690710.1</v>
      </c>
      <c r="S36" s="265">
        <v>-369071.01</v>
      </c>
      <c r="T36" s="265">
        <v>-4059781.11</v>
      </c>
      <c r="U36" s="263"/>
      <c r="V36" s="263" t="s">
        <v>310</v>
      </c>
      <c r="W36" s="261">
        <v>0</v>
      </c>
      <c r="X36" s="261"/>
      <c r="Y36" s="266" t="s">
        <v>369</v>
      </c>
      <c r="Z36" s="196" t="str">
        <f>+IFERROR(VLOOKUP($F36,'[2]Chuyển đổi mã'!$A$1:$C$91,3,0),$F36)&amp;AE36</f>
        <v>Metro South320463</v>
      </c>
      <c r="AA36" s="196" t="str">
        <f>IFERROR(VLOOKUP($F36,'[2]Chuyển đổi mã'!$A$1:$C$184,3,0),F36)</f>
        <v>Metro South</v>
      </c>
      <c r="AB36" s="196" t="str">
        <f>VLOOKUP($G36,'[2]Thông tin NPP'!$B:$D,3,0)</f>
        <v>Metro South</v>
      </c>
      <c r="AC36" s="196" t="str">
        <f t="shared" si="0"/>
        <v>Na 8,5g</v>
      </c>
      <c r="AD36" s="196" t="str">
        <f>IFERROR(VLOOKUP(DAY(B36),'[2]Chuyển đổi mã'!$F$1:$G$32,2,0),0)</f>
        <v>W3</v>
      </c>
      <c r="AE36" s="196" t="str">
        <f t="shared" si="1"/>
        <v>320463</v>
      </c>
      <c r="AF36" s="196" t="str">
        <f t="shared" si="2"/>
        <v>NPP</v>
      </c>
      <c r="AG36" s="196" t="str">
        <f t="shared" si="3"/>
        <v>NPP320463</v>
      </c>
      <c r="AH36" s="196">
        <f t="shared" si="4"/>
        <v>0</v>
      </c>
      <c r="AI36" s="181" t="s">
        <v>997</v>
      </c>
    </row>
    <row r="37" spans="1:35" ht="12.95" hidden="1" customHeight="1">
      <c r="A37" s="261">
        <f t="shared" si="5"/>
        <v>34</v>
      </c>
      <c r="B37" s="262">
        <v>43574</v>
      </c>
      <c r="C37" s="261" t="s">
        <v>311</v>
      </c>
      <c r="D37" s="261"/>
      <c r="E37" s="261"/>
      <c r="F37" s="261" t="s">
        <v>435</v>
      </c>
      <c r="G37" s="263" t="s">
        <v>436</v>
      </c>
      <c r="H37" s="263" t="s">
        <v>301</v>
      </c>
      <c r="I37" s="263" t="s">
        <v>296</v>
      </c>
      <c r="J37" s="263" t="s">
        <v>742</v>
      </c>
      <c r="K37" s="263" t="s">
        <v>349</v>
      </c>
      <c r="L37" s="263" t="s">
        <v>350</v>
      </c>
      <c r="M37" s="261" t="s">
        <v>431</v>
      </c>
      <c r="N37" s="261" t="s">
        <v>357</v>
      </c>
      <c r="O37" s="263" t="s">
        <v>358</v>
      </c>
      <c r="P37" s="264">
        <v>-2.6669999999999998</v>
      </c>
      <c r="Q37" s="264">
        <v>213273</v>
      </c>
      <c r="R37" s="265">
        <v>-568799.09100000001</v>
      </c>
      <c r="S37" s="265">
        <v>-56879.909099999997</v>
      </c>
      <c r="T37" s="265">
        <v>-625679.00009999995</v>
      </c>
      <c r="U37" s="263"/>
      <c r="V37" s="263" t="s">
        <v>310</v>
      </c>
      <c r="W37" s="261">
        <v>0</v>
      </c>
      <c r="X37" s="261"/>
      <c r="Y37" s="266" t="s">
        <v>369</v>
      </c>
      <c r="Z37" s="196" t="str">
        <f>+IFERROR(VLOOKUP($F37,'[2]Chuyển đổi mã'!$A$1:$C$91,3,0),$F37)&amp;AE37</f>
        <v>Metro South323555</v>
      </c>
      <c r="AA37" s="196" t="str">
        <f>IFERROR(VLOOKUP($F37,'[2]Chuyển đổi mã'!$A$1:$C$184,3,0),F37)</f>
        <v>Metro South</v>
      </c>
      <c r="AB37" s="196" t="str">
        <f>VLOOKUP($G37,'[2]Thông tin NPP'!$B:$D,3,0)</f>
        <v>Metro South</v>
      </c>
      <c r="AC37" s="196" t="str">
        <f t="shared" si="0"/>
        <v>Na 17g - M</v>
      </c>
      <c r="AD37" s="196" t="str">
        <f>IFERROR(VLOOKUP(DAY(B37),'[2]Chuyển đổi mã'!$F$1:$G$32,2,0),0)</f>
        <v>W3</v>
      </c>
      <c r="AE37" s="196" t="str">
        <f t="shared" si="1"/>
        <v>323555</v>
      </c>
      <c r="AF37" s="196" t="str">
        <f t="shared" si="2"/>
        <v>NPP</v>
      </c>
      <c r="AG37" s="196" t="str">
        <f t="shared" si="3"/>
        <v>NPP323555</v>
      </c>
      <c r="AH37" s="196">
        <f t="shared" si="4"/>
        <v>0</v>
      </c>
      <c r="AI37" s="181" t="s">
        <v>997</v>
      </c>
    </row>
    <row r="38" spans="1:35" ht="12.95" hidden="1" customHeight="1">
      <c r="A38" s="261">
        <f t="shared" si="5"/>
        <v>35</v>
      </c>
      <c r="B38" s="262">
        <v>43574</v>
      </c>
      <c r="C38" s="261" t="s">
        <v>311</v>
      </c>
      <c r="D38" s="261"/>
      <c r="E38" s="261"/>
      <c r="F38" s="261" t="s">
        <v>435</v>
      </c>
      <c r="G38" s="263" t="s">
        <v>436</v>
      </c>
      <c r="H38" s="263" t="s">
        <v>301</v>
      </c>
      <c r="I38" s="263" t="s">
        <v>296</v>
      </c>
      <c r="J38" s="263" t="s">
        <v>742</v>
      </c>
      <c r="K38" s="263" t="s">
        <v>349</v>
      </c>
      <c r="L38" s="263" t="s">
        <v>350</v>
      </c>
      <c r="M38" s="261" t="s">
        <v>431</v>
      </c>
      <c r="N38" s="261" t="s">
        <v>378</v>
      </c>
      <c r="O38" s="263" t="s">
        <v>379</v>
      </c>
      <c r="P38" s="264">
        <v>-3</v>
      </c>
      <c r="Q38" s="264">
        <v>213273</v>
      </c>
      <c r="R38" s="265">
        <v>-639819</v>
      </c>
      <c r="S38" s="265">
        <v>-63981.9</v>
      </c>
      <c r="T38" s="265">
        <v>-703800.9</v>
      </c>
      <c r="U38" s="263"/>
      <c r="V38" s="263" t="s">
        <v>310</v>
      </c>
      <c r="W38" s="261">
        <v>0</v>
      </c>
      <c r="X38" s="261"/>
      <c r="Y38" s="266" t="s">
        <v>369</v>
      </c>
      <c r="Z38" s="196" t="str">
        <f>+IFERROR(VLOOKUP($F38,'[2]Chuyển đổi mã'!$A$1:$C$91,3,0),$F38)&amp;AE38</f>
        <v>Metro South321238</v>
      </c>
      <c r="AA38" s="196" t="str">
        <f>IFERROR(VLOOKUP($F38,'[2]Chuyển đổi mã'!$A$1:$C$184,3,0),F38)</f>
        <v>Metro South</v>
      </c>
      <c r="AB38" s="196" t="str">
        <f>VLOOKUP($G38,'[2]Thông tin NPP'!$B:$D,3,0)</f>
        <v>Metro South</v>
      </c>
      <c r="AC38" s="196" t="str">
        <f t="shared" si="0"/>
        <v>Richoco Wf</v>
      </c>
      <c r="AD38" s="196" t="str">
        <f>IFERROR(VLOOKUP(DAY(B38),'[2]Chuyển đổi mã'!$F$1:$G$32,2,0),0)</f>
        <v>W3</v>
      </c>
      <c r="AE38" s="196" t="str">
        <f t="shared" si="1"/>
        <v>321238</v>
      </c>
      <c r="AF38" s="196" t="str">
        <f t="shared" si="2"/>
        <v>NPP</v>
      </c>
      <c r="AG38" s="196" t="str">
        <f t="shared" si="3"/>
        <v>NPP321238</v>
      </c>
      <c r="AH38" s="196">
        <f t="shared" si="4"/>
        <v>0</v>
      </c>
      <c r="AI38" s="181" t="s">
        <v>997</v>
      </c>
    </row>
    <row r="39" spans="1:35" ht="12.95" hidden="1" customHeight="1">
      <c r="A39" s="261">
        <f t="shared" si="5"/>
        <v>36</v>
      </c>
      <c r="B39" s="262">
        <v>43574</v>
      </c>
      <c r="C39" s="261" t="s">
        <v>311</v>
      </c>
      <c r="D39" s="261"/>
      <c r="E39" s="261"/>
      <c r="F39" s="261" t="s">
        <v>435</v>
      </c>
      <c r="G39" s="263" t="s">
        <v>436</v>
      </c>
      <c r="H39" s="263" t="s">
        <v>301</v>
      </c>
      <c r="I39" s="263" t="s">
        <v>296</v>
      </c>
      <c r="J39" s="263" t="s">
        <v>742</v>
      </c>
      <c r="K39" s="263" t="s">
        <v>349</v>
      </c>
      <c r="L39" s="263" t="s">
        <v>350</v>
      </c>
      <c r="M39" s="261" t="s">
        <v>431</v>
      </c>
      <c r="N39" s="261" t="s">
        <v>359</v>
      </c>
      <c r="O39" s="263" t="s">
        <v>360</v>
      </c>
      <c r="P39" s="264">
        <v>-0.28299999999999997</v>
      </c>
      <c r="Q39" s="264">
        <v>313636</v>
      </c>
      <c r="R39" s="265">
        <v>-88758.987999999998</v>
      </c>
      <c r="S39" s="265">
        <v>-8875.8988000000008</v>
      </c>
      <c r="T39" s="265">
        <v>-97634.886799999993</v>
      </c>
      <c r="U39" s="263"/>
      <c r="V39" s="263" t="s">
        <v>310</v>
      </c>
      <c r="W39" s="261">
        <v>0</v>
      </c>
      <c r="X39" s="261"/>
      <c r="Y39" s="266" t="s">
        <v>369</v>
      </c>
      <c r="Z39" s="196" t="str">
        <f>+IFERROR(VLOOKUP($F39,'[2]Chuyển đổi mã'!$A$1:$C$91,3,0),$F39)&amp;AE39</f>
        <v>Metro South320445</v>
      </c>
      <c r="AA39" s="196" t="str">
        <f>IFERROR(VLOOKUP($F39,'[2]Chuyển đổi mã'!$A$1:$C$184,3,0),F39)</f>
        <v>Metro South</v>
      </c>
      <c r="AB39" s="196" t="str">
        <f>VLOOKUP($G39,'[2]Thông tin NPP'!$B:$D,3,0)</f>
        <v>Metro South</v>
      </c>
      <c r="AC39" s="196" t="str">
        <f t="shared" si="0"/>
        <v>Na 58g</v>
      </c>
      <c r="AD39" s="196" t="str">
        <f>IFERROR(VLOOKUP(DAY(B39),'[2]Chuyển đổi mã'!$F$1:$G$32,2,0),0)</f>
        <v>W3</v>
      </c>
      <c r="AE39" s="196" t="str">
        <f t="shared" si="1"/>
        <v>320445</v>
      </c>
      <c r="AF39" s="196" t="str">
        <f t="shared" si="2"/>
        <v>NPP</v>
      </c>
      <c r="AG39" s="196" t="str">
        <f t="shared" si="3"/>
        <v>NPP320445</v>
      </c>
      <c r="AH39" s="196">
        <f t="shared" si="4"/>
        <v>0</v>
      </c>
      <c r="AI39" s="181" t="s">
        <v>997</v>
      </c>
    </row>
    <row r="40" spans="1:35" ht="12.95" hidden="1" customHeight="1">
      <c r="A40" s="261">
        <f t="shared" si="5"/>
        <v>37</v>
      </c>
      <c r="B40" s="262">
        <v>43574</v>
      </c>
      <c r="C40" s="261" t="s">
        <v>311</v>
      </c>
      <c r="D40" s="261"/>
      <c r="E40" s="261"/>
      <c r="F40" s="261" t="s">
        <v>435</v>
      </c>
      <c r="G40" s="263" t="s">
        <v>436</v>
      </c>
      <c r="H40" s="263" t="s">
        <v>301</v>
      </c>
      <c r="I40" s="263" t="s">
        <v>296</v>
      </c>
      <c r="J40" s="263" t="s">
        <v>742</v>
      </c>
      <c r="K40" s="263" t="s">
        <v>349</v>
      </c>
      <c r="L40" s="263" t="s">
        <v>350</v>
      </c>
      <c r="M40" s="261" t="s">
        <v>431</v>
      </c>
      <c r="N40" s="261" t="s">
        <v>352</v>
      </c>
      <c r="O40" s="263" t="s">
        <v>353</v>
      </c>
      <c r="P40" s="264">
        <v>-1</v>
      </c>
      <c r="Q40" s="264">
        <v>119700</v>
      </c>
      <c r="R40" s="265">
        <v>-119700</v>
      </c>
      <c r="S40" s="265">
        <v>-11970</v>
      </c>
      <c r="T40" s="265">
        <v>-131670</v>
      </c>
      <c r="U40" s="263"/>
      <c r="V40" s="263" t="s">
        <v>310</v>
      </c>
      <c r="W40" s="261">
        <v>0</v>
      </c>
      <c r="X40" s="261"/>
      <c r="Y40" s="266" t="s">
        <v>369</v>
      </c>
      <c r="Z40" s="196" t="str">
        <f>+IFERROR(VLOOKUP($F40,'[2]Chuyển đổi mã'!$A$1:$C$91,3,0),$F40)&amp;AE40</f>
        <v>Metro South320463</v>
      </c>
      <c r="AA40" s="196" t="str">
        <f>IFERROR(VLOOKUP($F40,'[2]Chuyển đổi mã'!$A$1:$C$184,3,0),F40)</f>
        <v>Metro South</v>
      </c>
      <c r="AB40" s="196" t="str">
        <f>VLOOKUP($G40,'[2]Thông tin NPP'!$B:$D,3,0)</f>
        <v>Metro South</v>
      </c>
      <c r="AC40" s="196" t="str">
        <f t="shared" si="0"/>
        <v>Na 8,5g</v>
      </c>
      <c r="AD40" s="196" t="str">
        <f>IFERROR(VLOOKUP(DAY(B40),'[2]Chuyển đổi mã'!$F$1:$G$32,2,0),0)</f>
        <v>W3</v>
      </c>
      <c r="AE40" s="196" t="str">
        <f t="shared" si="1"/>
        <v>320463</v>
      </c>
      <c r="AF40" s="196" t="str">
        <f t="shared" si="2"/>
        <v>NPP</v>
      </c>
      <c r="AG40" s="196" t="str">
        <f t="shared" si="3"/>
        <v>NPP320463</v>
      </c>
      <c r="AH40" s="196">
        <f t="shared" si="4"/>
        <v>0</v>
      </c>
      <c r="AI40" s="181" t="s">
        <v>997</v>
      </c>
    </row>
    <row r="41" spans="1:35" ht="12.95" hidden="1" customHeight="1">
      <c r="A41" s="261">
        <f t="shared" si="5"/>
        <v>38</v>
      </c>
      <c r="B41" s="262">
        <v>43574</v>
      </c>
      <c r="C41" s="261" t="s">
        <v>311</v>
      </c>
      <c r="D41" s="261"/>
      <c r="E41" s="261"/>
      <c r="F41" s="261" t="s">
        <v>435</v>
      </c>
      <c r="G41" s="263" t="s">
        <v>436</v>
      </c>
      <c r="H41" s="263" t="s">
        <v>301</v>
      </c>
      <c r="I41" s="263" t="s">
        <v>296</v>
      </c>
      <c r="J41" s="263" t="s">
        <v>742</v>
      </c>
      <c r="K41" s="263" t="s">
        <v>349</v>
      </c>
      <c r="L41" s="263" t="s">
        <v>350</v>
      </c>
      <c r="M41" s="261" t="s">
        <v>431</v>
      </c>
      <c r="N41" s="261" t="s">
        <v>378</v>
      </c>
      <c r="O41" s="263" t="s">
        <v>379</v>
      </c>
      <c r="P41" s="264">
        <v>-3</v>
      </c>
      <c r="Q41" s="264">
        <v>213273</v>
      </c>
      <c r="R41" s="265">
        <v>-639819</v>
      </c>
      <c r="S41" s="265">
        <v>-63981.9</v>
      </c>
      <c r="T41" s="265">
        <v>-703800.9</v>
      </c>
      <c r="U41" s="263"/>
      <c r="V41" s="263" t="s">
        <v>310</v>
      </c>
      <c r="W41" s="261">
        <v>0</v>
      </c>
      <c r="X41" s="261"/>
      <c r="Y41" s="266" t="s">
        <v>369</v>
      </c>
      <c r="Z41" s="196" t="str">
        <f>+IFERROR(VLOOKUP($F41,'[2]Chuyển đổi mã'!$A$1:$C$91,3,0),$F41)&amp;AE41</f>
        <v>Metro South321238</v>
      </c>
      <c r="AA41" s="196" t="str">
        <f>IFERROR(VLOOKUP($F41,'[2]Chuyển đổi mã'!$A$1:$C$184,3,0),F41)</f>
        <v>Metro South</v>
      </c>
      <c r="AB41" s="196" t="str">
        <f>VLOOKUP($G41,'[2]Thông tin NPP'!$B:$D,3,0)</f>
        <v>Metro South</v>
      </c>
      <c r="AC41" s="196" t="str">
        <f t="shared" si="0"/>
        <v>Richoco Wf</v>
      </c>
      <c r="AD41" s="196" t="str">
        <f>IFERROR(VLOOKUP(DAY(B41),'[2]Chuyển đổi mã'!$F$1:$G$32,2,0),0)</f>
        <v>W3</v>
      </c>
      <c r="AE41" s="196" t="str">
        <f t="shared" si="1"/>
        <v>321238</v>
      </c>
      <c r="AF41" s="196" t="str">
        <f t="shared" si="2"/>
        <v>NPP</v>
      </c>
      <c r="AG41" s="196" t="str">
        <f t="shared" si="3"/>
        <v>NPP321238</v>
      </c>
      <c r="AH41" s="196">
        <f t="shared" si="4"/>
        <v>0</v>
      </c>
      <c r="AI41" s="181" t="s">
        <v>997</v>
      </c>
    </row>
    <row r="42" spans="1:35" ht="12.95" hidden="1" customHeight="1">
      <c r="A42" s="261">
        <f t="shared" si="5"/>
        <v>39</v>
      </c>
      <c r="B42" s="262">
        <v>43574</v>
      </c>
      <c r="C42" s="261" t="s">
        <v>311</v>
      </c>
      <c r="D42" s="261"/>
      <c r="E42" s="261"/>
      <c r="F42" s="261" t="s">
        <v>435</v>
      </c>
      <c r="G42" s="263" t="s">
        <v>436</v>
      </c>
      <c r="H42" s="263" t="s">
        <v>301</v>
      </c>
      <c r="I42" s="263" t="s">
        <v>296</v>
      </c>
      <c r="J42" s="263" t="s">
        <v>742</v>
      </c>
      <c r="K42" s="263" t="s">
        <v>349</v>
      </c>
      <c r="L42" s="263" t="s">
        <v>350</v>
      </c>
      <c r="M42" s="261" t="s">
        <v>431</v>
      </c>
      <c r="N42" s="261" t="s">
        <v>361</v>
      </c>
      <c r="O42" s="263" t="s">
        <v>362</v>
      </c>
      <c r="P42" s="264">
        <v>-0.317</v>
      </c>
      <c r="Q42" s="264">
        <v>313636</v>
      </c>
      <c r="R42" s="265">
        <v>-99422.611999999994</v>
      </c>
      <c r="S42" s="265">
        <v>-9942.2612000000008</v>
      </c>
      <c r="T42" s="265">
        <v>-109364.8732</v>
      </c>
      <c r="U42" s="263"/>
      <c r="V42" s="263" t="s">
        <v>310</v>
      </c>
      <c r="W42" s="261">
        <v>0</v>
      </c>
      <c r="X42" s="261"/>
      <c r="Y42" s="266" t="s">
        <v>369</v>
      </c>
      <c r="Z42" s="196" t="str">
        <f>+IFERROR(VLOOKUP($F42,'[2]Chuyển đổi mã'!$A$1:$C$91,3,0),$F42)&amp;AE42</f>
        <v>Metro South331017</v>
      </c>
      <c r="AA42" s="196" t="str">
        <f>IFERROR(VLOOKUP($F42,'[2]Chuyển đổi mã'!$A$1:$C$184,3,0),F42)</f>
        <v>Metro South</v>
      </c>
      <c r="AB42" s="196" t="str">
        <f>VLOOKUP($G42,'[2]Thông tin NPP'!$B:$D,3,0)</f>
        <v>Metro South</v>
      </c>
      <c r="AC42" s="196" t="str">
        <f t="shared" si="0"/>
        <v>Richoco Wf</v>
      </c>
      <c r="AD42" s="196" t="str">
        <f>IFERROR(VLOOKUP(DAY(B42),'[2]Chuyển đổi mã'!$F$1:$G$32,2,0),0)</f>
        <v>W3</v>
      </c>
      <c r="AE42" s="196" t="str">
        <f t="shared" si="1"/>
        <v>331017</v>
      </c>
      <c r="AF42" s="196" t="str">
        <f t="shared" si="2"/>
        <v>NPP</v>
      </c>
      <c r="AG42" s="196" t="str">
        <f t="shared" si="3"/>
        <v>NPP331017</v>
      </c>
      <c r="AH42" s="196">
        <f t="shared" si="4"/>
        <v>0</v>
      </c>
      <c r="AI42" s="181" t="s">
        <v>997</v>
      </c>
    </row>
    <row r="43" spans="1:35" ht="12.95" hidden="1" customHeight="1">
      <c r="A43" s="261">
        <f t="shared" si="5"/>
        <v>40</v>
      </c>
      <c r="B43" s="262">
        <v>43574</v>
      </c>
      <c r="C43" s="261" t="s">
        <v>311</v>
      </c>
      <c r="D43" s="261"/>
      <c r="E43" s="261"/>
      <c r="F43" s="261" t="s">
        <v>435</v>
      </c>
      <c r="G43" s="263" t="s">
        <v>436</v>
      </c>
      <c r="H43" s="263" t="s">
        <v>301</v>
      </c>
      <c r="I43" s="263" t="s">
        <v>296</v>
      </c>
      <c r="J43" s="263" t="s">
        <v>742</v>
      </c>
      <c r="K43" s="263" t="s">
        <v>349</v>
      </c>
      <c r="L43" s="263" t="s">
        <v>350</v>
      </c>
      <c r="M43" s="261" t="s">
        <v>431</v>
      </c>
      <c r="N43" s="261" t="s">
        <v>352</v>
      </c>
      <c r="O43" s="263" t="s">
        <v>353</v>
      </c>
      <c r="P43" s="264">
        <v>-20</v>
      </c>
      <c r="Q43" s="264">
        <v>119700</v>
      </c>
      <c r="R43" s="265">
        <v>-2394000</v>
      </c>
      <c r="S43" s="265">
        <v>-239400</v>
      </c>
      <c r="T43" s="265">
        <v>-2633400</v>
      </c>
      <c r="U43" s="263"/>
      <c r="V43" s="263" t="s">
        <v>310</v>
      </c>
      <c r="W43" s="261">
        <v>0</v>
      </c>
      <c r="X43" s="261"/>
      <c r="Y43" s="266" t="s">
        <v>369</v>
      </c>
      <c r="Z43" s="196" t="str">
        <f>+IFERROR(VLOOKUP($F43,'[2]Chuyển đổi mã'!$A$1:$C$91,3,0),$F43)&amp;AE43</f>
        <v>Metro South320463</v>
      </c>
      <c r="AA43" s="196" t="str">
        <f>IFERROR(VLOOKUP($F43,'[2]Chuyển đổi mã'!$A$1:$C$184,3,0),F43)</f>
        <v>Metro South</v>
      </c>
      <c r="AB43" s="196" t="str">
        <f>VLOOKUP($G43,'[2]Thông tin NPP'!$B:$D,3,0)</f>
        <v>Metro South</v>
      </c>
      <c r="AC43" s="196" t="str">
        <f t="shared" si="0"/>
        <v>Na 8,5g</v>
      </c>
      <c r="AD43" s="196" t="str">
        <f>IFERROR(VLOOKUP(DAY(B43),'[2]Chuyển đổi mã'!$F$1:$G$32,2,0),0)</f>
        <v>W3</v>
      </c>
      <c r="AE43" s="196" t="str">
        <f t="shared" si="1"/>
        <v>320463</v>
      </c>
      <c r="AF43" s="196" t="str">
        <f t="shared" si="2"/>
        <v>NPP</v>
      </c>
      <c r="AG43" s="196" t="str">
        <f t="shared" si="3"/>
        <v>NPP320463</v>
      </c>
      <c r="AH43" s="196">
        <f t="shared" si="4"/>
        <v>0</v>
      </c>
      <c r="AI43" s="181" t="s">
        <v>997</v>
      </c>
    </row>
    <row r="44" spans="1:35" ht="12.95" hidden="1" customHeight="1">
      <c r="A44" s="261">
        <f t="shared" si="5"/>
        <v>41</v>
      </c>
      <c r="B44" s="262">
        <v>43574</v>
      </c>
      <c r="C44" s="261" t="s">
        <v>311</v>
      </c>
      <c r="D44" s="261"/>
      <c r="E44" s="261"/>
      <c r="F44" s="261" t="s">
        <v>435</v>
      </c>
      <c r="G44" s="263" t="s">
        <v>436</v>
      </c>
      <c r="H44" s="263" t="s">
        <v>301</v>
      </c>
      <c r="I44" s="263" t="s">
        <v>296</v>
      </c>
      <c r="J44" s="263" t="s">
        <v>742</v>
      </c>
      <c r="K44" s="263" t="s">
        <v>349</v>
      </c>
      <c r="L44" s="263" t="s">
        <v>350</v>
      </c>
      <c r="M44" s="261" t="s">
        <v>431</v>
      </c>
      <c r="N44" s="261" t="s">
        <v>357</v>
      </c>
      <c r="O44" s="263" t="s">
        <v>358</v>
      </c>
      <c r="P44" s="264">
        <v>-60.5</v>
      </c>
      <c r="Q44" s="264">
        <v>213273</v>
      </c>
      <c r="R44" s="265">
        <v>-12903016.5</v>
      </c>
      <c r="S44" s="265">
        <v>-1290301.6499999999</v>
      </c>
      <c r="T44" s="265">
        <v>-14193318.15</v>
      </c>
      <c r="U44" s="263"/>
      <c r="V44" s="263" t="s">
        <v>310</v>
      </c>
      <c r="W44" s="261">
        <v>0</v>
      </c>
      <c r="X44" s="261"/>
      <c r="Y44" s="266" t="s">
        <v>369</v>
      </c>
      <c r="Z44" s="196" t="str">
        <f>+IFERROR(VLOOKUP($F44,'[2]Chuyển đổi mã'!$A$1:$C$91,3,0),$F44)&amp;AE44</f>
        <v>Metro South323555</v>
      </c>
      <c r="AA44" s="196" t="str">
        <f>IFERROR(VLOOKUP($F44,'[2]Chuyển đổi mã'!$A$1:$C$184,3,0),F44)</f>
        <v>Metro South</v>
      </c>
      <c r="AB44" s="196" t="str">
        <f>VLOOKUP($G44,'[2]Thông tin NPP'!$B:$D,3,0)</f>
        <v>Metro South</v>
      </c>
      <c r="AC44" s="196" t="str">
        <f t="shared" si="0"/>
        <v>Na 17g - M</v>
      </c>
      <c r="AD44" s="196" t="str">
        <f>IFERROR(VLOOKUP(DAY(B44),'[2]Chuyển đổi mã'!$F$1:$G$32,2,0),0)</f>
        <v>W3</v>
      </c>
      <c r="AE44" s="196" t="str">
        <f t="shared" si="1"/>
        <v>323555</v>
      </c>
      <c r="AF44" s="196" t="str">
        <f t="shared" si="2"/>
        <v>NPP</v>
      </c>
      <c r="AG44" s="196" t="str">
        <f t="shared" si="3"/>
        <v>NPP323555</v>
      </c>
      <c r="AH44" s="196">
        <f t="shared" si="4"/>
        <v>0</v>
      </c>
      <c r="AI44" s="181" t="s">
        <v>997</v>
      </c>
    </row>
    <row r="45" spans="1:35" ht="12.95" hidden="1" customHeight="1">
      <c r="A45" s="261">
        <f t="shared" si="5"/>
        <v>42</v>
      </c>
      <c r="B45" s="262">
        <v>43574</v>
      </c>
      <c r="C45" s="261" t="s">
        <v>311</v>
      </c>
      <c r="D45" s="261"/>
      <c r="E45" s="261"/>
      <c r="F45" s="261" t="s">
        <v>435</v>
      </c>
      <c r="G45" s="263" t="s">
        <v>436</v>
      </c>
      <c r="H45" s="263" t="s">
        <v>301</v>
      </c>
      <c r="I45" s="263" t="s">
        <v>296</v>
      </c>
      <c r="J45" s="263" t="s">
        <v>742</v>
      </c>
      <c r="K45" s="263" t="s">
        <v>349</v>
      </c>
      <c r="L45" s="263" t="s">
        <v>350</v>
      </c>
      <c r="M45" s="261" t="s">
        <v>431</v>
      </c>
      <c r="N45" s="261" t="s">
        <v>352</v>
      </c>
      <c r="O45" s="263" t="s">
        <v>353</v>
      </c>
      <c r="P45" s="264">
        <v>-96.332999999999998</v>
      </c>
      <c r="Q45" s="264">
        <v>119700</v>
      </c>
      <c r="R45" s="265">
        <v>-11531060.1</v>
      </c>
      <c r="S45" s="265">
        <v>-1153106.01</v>
      </c>
      <c r="T45" s="265">
        <v>-12684166.109999999</v>
      </c>
      <c r="U45" s="263"/>
      <c r="V45" s="263" t="s">
        <v>310</v>
      </c>
      <c r="W45" s="261">
        <v>0</v>
      </c>
      <c r="X45" s="261"/>
      <c r="Y45" s="266" t="s">
        <v>369</v>
      </c>
      <c r="Z45" s="196" t="str">
        <f>+IFERROR(VLOOKUP($F45,'[2]Chuyển đổi mã'!$A$1:$C$91,3,0),$F45)&amp;AE45</f>
        <v>Metro South320463</v>
      </c>
      <c r="AA45" s="196" t="str">
        <f>IFERROR(VLOOKUP($F45,'[2]Chuyển đổi mã'!$A$1:$C$184,3,0),F45)</f>
        <v>Metro South</v>
      </c>
      <c r="AB45" s="196" t="str">
        <f>VLOOKUP($G45,'[2]Thông tin NPP'!$B:$D,3,0)</f>
        <v>Metro South</v>
      </c>
      <c r="AC45" s="196" t="str">
        <f t="shared" si="0"/>
        <v>Na 8,5g</v>
      </c>
      <c r="AD45" s="196" t="str">
        <f>IFERROR(VLOOKUP(DAY(B45),'[2]Chuyển đổi mã'!$F$1:$G$32,2,0),0)</f>
        <v>W3</v>
      </c>
      <c r="AE45" s="196" t="str">
        <f t="shared" si="1"/>
        <v>320463</v>
      </c>
      <c r="AF45" s="196" t="str">
        <f t="shared" si="2"/>
        <v>NPP</v>
      </c>
      <c r="AG45" s="196" t="str">
        <f t="shared" si="3"/>
        <v>NPP320463</v>
      </c>
      <c r="AH45" s="196">
        <f t="shared" si="4"/>
        <v>0</v>
      </c>
      <c r="AI45" s="181" t="s">
        <v>997</v>
      </c>
    </row>
    <row r="46" spans="1:35" ht="12.95" hidden="1" customHeight="1">
      <c r="A46" s="261">
        <f t="shared" si="5"/>
        <v>43</v>
      </c>
      <c r="B46" s="262">
        <v>43574</v>
      </c>
      <c r="C46" s="261" t="s">
        <v>311</v>
      </c>
      <c r="D46" s="261"/>
      <c r="E46" s="261"/>
      <c r="F46" s="261" t="s">
        <v>435</v>
      </c>
      <c r="G46" s="263" t="s">
        <v>436</v>
      </c>
      <c r="H46" s="263" t="s">
        <v>301</v>
      </c>
      <c r="I46" s="263" t="s">
        <v>296</v>
      </c>
      <c r="J46" s="263" t="s">
        <v>742</v>
      </c>
      <c r="K46" s="263" t="s">
        <v>349</v>
      </c>
      <c r="L46" s="263" t="s">
        <v>350</v>
      </c>
      <c r="M46" s="261" t="s">
        <v>431</v>
      </c>
      <c r="N46" s="261" t="s">
        <v>378</v>
      </c>
      <c r="O46" s="263" t="s">
        <v>379</v>
      </c>
      <c r="P46" s="264">
        <v>-10.333</v>
      </c>
      <c r="Q46" s="264">
        <v>213273</v>
      </c>
      <c r="R46" s="265">
        <v>-2203749.909</v>
      </c>
      <c r="S46" s="265">
        <v>-220374.9909</v>
      </c>
      <c r="T46" s="265">
        <v>-2424124.8999000001</v>
      </c>
      <c r="U46" s="263"/>
      <c r="V46" s="263" t="s">
        <v>310</v>
      </c>
      <c r="W46" s="261">
        <v>0</v>
      </c>
      <c r="X46" s="261"/>
      <c r="Y46" s="266" t="s">
        <v>369</v>
      </c>
      <c r="Z46" s="196" t="str">
        <f>+IFERROR(VLOOKUP($F46,'[2]Chuyển đổi mã'!$A$1:$C$91,3,0),$F46)&amp;AE46</f>
        <v>Metro South321238</v>
      </c>
      <c r="AA46" s="196" t="str">
        <f>IFERROR(VLOOKUP($F46,'[2]Chuyển đổi mã'!$A$1:$C$184,3,0),F46)</f>
        <v>Metro South</v>
      </c>
      <c r="AB46" s="196" t="str">
        <f>VLOOKUP($G46,'[2]Thông tin NPP'!$B:$D,3,0)</f>
        <v>Metro South</v>
      </c>
      <c r="AC46" s="196" t="str">
        <f t="shared" si="0"/>
        <v>Richoco Wf</v>
      </c>
      <c r="AD46" s="196" t="str">
        <f>IFERROR(VLOOKUP(DAY(B46),'[2]Chuyển đổi mã'!$F$1:$G$32,2,0),0)</f>
        <v>W3</v>
      </c>
      <c r="AE46" s="196" t="str">
        <f t="shared" si="1"/>
        <v>321238</v>
      </c>
      <c r="AF46" s="196" t="str">
        <f t="shared" si="2"/>
        <v>NPP</v>
      </c>
      <c r="AG46" s="196" t="str">
        <f t="shared" si="3"/>
        <v>NPP321238</v>
      </c>
      <c r="AH46" s="196">
        <f t="shared" si="4"/>
        <v>0</v>
      </c>
      <c r="AI46" s="181" t="s">
        <v>997</v>
      </c>
    </row>
    <row r="47" spans="1:35" ht="12.95" hidden="1" customHeight="1">
      <c r="A47" s="261">
        <f t="shared" si="5"/>
        <v>44</v>
      </c>
      <c r="B47" s="262">
        <v>43574</v>
      </c>
      <c r="C47" s="261" t="s">
        <v>311</v>
      </c>
      <c r="D47" s="261"/>
      <c r="E47" s="261"/>
      <c r="F47" s="261" t="s">
        <v>435</v>
      </c>
      <c r="G47" s="263" t="s">
        <v>436</v>
      </c>
      <c r="H47" s="263" t="s">
        <v>301</v>
      </c>
      <c r="I47" s="263" t="s">
        <v>296</v>
      </c>
      <c r="J47" s="263" t="s">
        <v>742</v>
      </c>
      <c r="K47" s="263" t="s">
        <v>349</v>
      </c>
      <c r="L47" s="263" t="s">
        <v>350</v>
      </c>
      <c r="M47" s="261" t="s">
        <v>431</v>
      </c>
      <c r="N47" s="261" t="s">
        <v>357</v>
      </c>
      <c r="O47" s="263" t="s">
        <v>358</v>
      </c>
      <c r="P47" s="264">
        <v>-59</v>
      </c>
      <c r="Q47" s="264">
        <v>213273</v>
      </c>
      <c r="R47" s="265">
        <v>-12583107</v>
      </c>
      <c r="S47" s="265">
        <v>-1258310.7</v>
      </c>
      <c r="T47" s="265">
        <v>-13841417.699999999</v>
      </c>
      <c r="U47" s="263"/>
      <c r="V47" s="263" t="s">
        <v>310</v>
      </c>
      <c r="W47" s="261">
        <v>0</v>
      </c>
      <c r="X47" s="261"/>
      <c r="Y47" s="266" t="s">
        <v>369</v>
      </c>
      <c r="Z47" s="196" t="str">
        <f>+IFERROR(VLOOKUP($F47,'[2]Chuyển đổi mã'!$A$1:$C$91,3,0),$F47)&amp;AE47</f>
        <v>Metro South323555</v>
      </c>
      <c r="AA47" s="196" t="str">
        <f>IFERROR(VLOOKUP($F47,'[2]Chuyển đổi mã'!$A$1:$C$184,3,0),F47)</f>
        <v>Metro South</v>
      </c>
      <c r="AB47" s="196" t="str">
        <f>VLOOKUP($G47,'[2]Thông tin NPP'!$B:$D,3,0)</f>
        <v>Metro South</v>
      </c>
      <c r="AC47" s="196" t="str">
        <f t="shared" si="0"/>
        <v>Na 17g - M</v>
      </c>
      <c r="AD47" s="196" t="str">
        <f>IFERROR(VLOOKUP(DAY(B47),'[2]Chuyển đổi mã'!$F$1:$G$32,2,0),0)</f>
        <v>W3</v>
      </c>
      <c r="AE47" s="196" t="str">
        <f t="shared" si="1"/>
        <v>323555</v>
      </c>
      <c r="AF47" s="196" t="str">
        <f t="shared" si="2"/>
        <v>NPP</v>
      </c>
      <c r="AG47" s="196" t="str">
        <f t="shared" si="3"/>
        <v>NPP323555</v>
      </c>
      <c r="AH47" s="196">
        <f t="shared" si="4"/>
        <v>0</v>
      </c>
      <c r="AI47" s="181" t="s">
        <v>997</v>
      </c>
    </row>
    <row r="48" spans="1:35" ht="12.95" hidden="1" customHeight="1">
      <c r="A48" s="261">
        <f t="shared" si="5"/>
        <v>45</v>
      </c>
      <c r="B48" s="262">
        <v>43574</v>
      </c>
      <c r="C48" s="261" t="s">
        <v>311</v>
      </c>
      <c r="D48" s="261"/>
      <c r="E48" s="261"/>
      <c r="F48" s="261" t="s">
        <v>435</v>
      </c>
      <c r="G48" s="263" t="s">
        <v>436</v>
      </c>
      <c r="H48" s="263" t="s">
        <v>301</v>
      </c>
      <c r="I48" s="263" t="s">
        <v>296</v>
      </c>
      <c r="J48" s="263" t="s">
        <v>742</v>
      </c>
      <c r="K48" s="263" t="s">
        <v>349</v>
      </c>
      <c r="L48" s="263" t="s">
        <v>350</v>
      </c>
      <c r="M48" s="261" t="s">
        <v>431</v>
      </c>
      <c r="N48" s="261" t="s">
        <v>359</v>
      </c>
      <c r="O48" s="263" t="s">
        <v>360</v>
      </c>
      <c r="P48" s="264">
        <v>-0.56699999999999995</v>
      </c>
      <c r="Q48" s="264">
        <v>313636</v>
      </c>
      <c r="R48" s="265">
        <v>-177831.61199999999</v>
      </c>
      <c r="S48" s="265">
        <v>-17783.161199999999</v>
      </c>
      <c r="T48" s="265">
        <v>-195614.7732</v>
      </c>
      <c r="U48" s="263"/>
      <c r="V48" s="263" t="s">
        <v>310</v>
      </c>
      <c r="W48" s="261">
        <v>0</v>
      </c>
      <c r="X48" s="261"/>
      <c r="Y48" s="266" t="s">
        <v>369</v>
      </c>
      <c r="Z48" s="196" t="str">
        <f>+IFERROR(VLOOKUP($F48,'[2]Chuyển đổi mã'!$A$1:$C$91,3,0),$F48)&amp;AE48</f>
        <v>Metro South320445</v>
      </c>
      <c r="AA48" s="196" t="str">
        <f>IFERROR(VLOOKUP($F48,'[2]Chuyển đổi mã'!$A$1:$C$184,3,0),F48)</f>
        <v>Metro South</v>
      </c>
      <c r="AB48" s="196" t="str">
        <f>VLOOKUP($G48,'[2]Thông tin NPP'!$B:$D,3,0)</f>
        <v>Metro South</v>
      </c>
      <c r="AC48" s="196" t="str">
        <f t="shared" si="0"/>
        <v>Na 58g</v>
      </c>
      <c r="AD48" s="196" t="str">
        <f>IFERROR(VLOOKUP(DAY(B48),'[2]Chuyển đổi mã'!$F$1:$G$32,2,0),0)</f>
        <v>W3</v>
      </c>
      <c r="AE48" s="196" t="str">
        <f t="shared" si="1"/>
        <v>320445</v>
      </c>
      <c r="AF48" s="196" t="str">
        <f t="shared" si="2"/>
        <v>NPP</v>
      </c>
      <c r="AG48" s="196" t="str">
        <f t="shared" si="3"/>
        <v>NPP320445</v>
      </c>
      <c r="AH48" s="196">
        <f t="shared" si="4"/>
        <v>0</v>
      </c>
      <c r="AI48" s="181" t="s">
        <v>997</v>
      </c>
    </row>
    <row r="49" spans="1:35" ht="12.95" hidden="1" customHeight="1">
      <c r="A49" s="261">
        <f t="shared" si="5"/>
        <v>46</v>
      </c>
      <c r="B49" s="262">
        <v>43574</v>
      </c>
      <c r="C49" s="261" t="s">
        <v>311</v>
      </c>
      <c r="D49" s="261"/>
      <c r="E49" s="261"/>
      <c r="F49" s="261" t="s">
        <v>435</v>
      </c>
      <c r="G49" s="263" t="s">
        <v>436</v>
      </c>
      <c r="H49" s="263" t="s">
        <v>301</v>
      </c>
      <c r="I49" s="263" t="s">
        <v>296</v>
      </c>
      <c r="J49" s="263" t="s">
        <v>742</v>
      </c>
      <c r="K49" s="263" t="s">
        <v>349</v>
      </c>
      <c r="L49" s="263" t="s">
        <v>350</v>
      </c>
      <c r="M49" s="261" t="s">
        <v>431</v>
      </c>
      <c r="N49" s="261" t="s">
        <v>361</v>
      </c>
      <c r="O49" s="263" t="s">
        <v>362</v>
      </c>
      <c r="P49" s="264">
        <v>-3.4670000000000001</v>
      </c>
      <c r="Q49" s="264">
        <v>313636</v>
      </c>
      <c r="R49" s="265">
        <v>-1087376.0120000001</v>
      </c>
      <c r="S49" s="265">
        <v>-108737.6012</v>
      </c>
      <c r="T49" s="265">
        <v>-1196113.6132</v>
      </c>
      <c r="U49" s="263"/>
      <c r="V49" s="263" t="s">
        <v>310</v>
      </c>
      <c r="W49" s="261">
        <v>0</v>
      </c>
      <c r="X49" s="261"/>
      <c r="Y49" s="266" t="s">
        <v>369</v>
      </c>
      <c r="Z49" s="196" t="str">
        <f>+IFERROR(VLOOKUP($F49,'[2]Chuyển đổi mã'!$A$1:$C$91,3,0),$F49)&amp;AE49</f>
        <v>Metro South331017</v>
      </c>
      <c r="AA49" s="196" t="str">
        <f>IFERROR(VLOOKUP($F49,'[2]Chuyển đổi mã'!$A$1:$C$184,3,0),F49)</f>
        <v>Metro South</v>
      </c>
      <c r="AB49" s="196" t="str">
        <f>VLOOKUP($G49,'[2]Thông tin NPP'!$B:$D,3,0)</f>
        <v>Metro South</v>
      </c>
      <c r="AC49" s="196" t="str">
        <f t="shared" si="0"/>
        <v>Richoco Wf</v>
      </c>
      <c r="AD49" s="196" t="str">
        <f>IFERROR(VLOOKUP(DAY(B49),'[2]Chuyển đổi mã'!$F$1:$G$32,2,0),0)</f>
        <v>W3</v>
      </c>
      <c r="AE49" s="196" t="str">
        <f t="shared" si="1"/>
        <v>331017</v>
      </c>
      <c r="AF49" s="196" t="str">
        <f t="shared" si="2"/>
        <v>NPP</v>
      </c>
      <c r="AG49" s="196" t="str">
        <f t="shared" si="3"/>
        <v>NPP331017</v>
      </c>
      <c r="AH49" s="196">
        <f t="shared" si="4"/>
        <v>0</v>
      </c>
      <c r="AI49" s="181" t="s">
        <v>997</v>
      </c>
    </row>
    <row r="52" spans="1:35">
      <c r="T52" s="181">
        <f>SUBTOTAL(9,T4:T26)/1000</f>
        <v>-56525.743116700003</v>
      </c>
    </row>
  </sheetData>
  <autoFilter ref="A3:AH49">
    <filterColumn colId="6">
      <filters>
        <filter val="THANH LIEM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88" bestFit="1" customWidth="1"/>
    <col min="2" max="2" width="17.7109375" style="88" bestFit="1" customWidth="1"/>
    <col min="3" max="3" width="40.140625" style="88" customWidth="1"/>
    <col min="4" max="4" width="18.85546875" style="89" bestFit="1" customWidth="1"/>
    <col min="5" max="5" width="8.5703125" style="89" bestFit="1" customWidth="1"/>
    <col min="6" max="6" width="66.85546875" style="89" customWidth="1"/>
    <col min="7" max="7" width="3.7109375" style="89" bestFit="1" customWidth="1"/>
    <col min="8" max="8" width="3.85546875" style="89" bestFit="1" customWidth="1"/>
    <col min="9" max="9" width="9.140625" style="89"/>
    <col min="10" max="10" width="48.5703125" style="89" customWidth="1"/>
    <col min="11" max="16384" width="9.140625" style="54"/>
  </cols>
  <sheetData>
    <row r="1" spans="1:10">
      <c r="A1" s="358" t="s">
        <v>13</v>
      </c>
      <c r="B1" s="358" t="s">
        <v>19</v>
      </c>
      <c r="C1" s="358" t="s">
        <v>28</v>
      </c>
      <c r="D1" s="358" t="s">
        <v>29</v>
      </c>
      <c r="E1" s="358" t="s">
        <v>30</v>
      </c>
      <c r="F1" s="358" t="s">
        <v>31</v>
      </c>
      <c r="G1" s="358" t="s">
        <v>32</v>
      </c>
      <c r="H1" s="358"/>
      <c r="I1" s="358" t="s">
        <v>33</v>
      </c>
      <c r="J1" s="358" t="s">
        <v>34</v>
      </c>
    </row>
    <row r="2" spans="1:10">
      <c r="A2" s="358"/>
      <c r="B2" s="359"/>
      <c r="C2" s="358"/>
      <c r="D2" s="358"/>
      <c r="E2" s="358"/>
      <c r="F2" s="358"/>
      <c r="G2" s="55" t="s">
        <v>35</v>
      </c>
      <c r="H2" s="55" t="s">
        <v>36</v>
      </c>
      <c r="I2" s="358"/>
      <c r="J2" s="358"/>
    </row>
    <row r="3" spans="1:10">
      <c r="A3" s="348">
        <v>1</v>
      </c>
      <c r="B3" s="56" t="s">
        <v>37</v>
      </c>
      <c r="C3" s="348" t="s">
        <v>38</v>
      </c>
      <c r="D3" s="57" t="s">
        <v>39</v>
      </c>
      <c r="E3" s="58"/>
      <c r="F3" s="59" t="s">
        <v>40</v>
      </c>
      <c r="G3" s="58"/>
      <c r="H3" s="58" t="s">
        <v>41</v>
      </c>
      <c r="I3" s="58">
        <f>IF(G3&lt;&gt;"",5,0)</f>
        <v>0</v>
      </c>
      <c r="J3" s="58" t="s">
        <v>42</v>
      </c>
    </row>
    <row r="4" spans="1:10" hidden="1">
      <c r="A4" s="348"/>
      <c r="B4" s="56" t="s">
        <v>37</v>
      </c>
      <c r="C4" s="348"/>
      <c r="D4" s="57" t="s">
        <v>43</v>
      </c>
      <c r="E4" s="58" t="s">
        <v>44</v>
      </c>
      <c r="F4" s="59" t="s">
        <v>45</v>
      </c>
      <c r="G4" s="58" t="s">
        <v>41</v>
      </c>
      <c r="H4" s="58"/>
      <c r="I4" s="58">
        <f>IF(G4&lt;&gt;"",5,"")</f>
        <v>5</v>
      </c>
      <c r="J4" s="58"/>
    </row>
    <row r="5" spans="1:10" hidden="1">
      <c r="A5" s="348"/>
      <c r="B5" s="56" t="s">
        <v>37</v>
      </c>
      <c r="C5" s="348"/>
      <c r="D5" s="57" t="s">
        <v>46</v>
      </c>
      <c r="E5" s="58"/>
      <c r="F5" s="59" t="s">
        <v>47</v>
      </c>
      <c r="G5" s="58" t="s">
        <v>41</v>
      </c>
      <c r="H5" s="58"/>
      <c r="I5" s="58">
        <f>IF(G5&lt;&gt;"",5,"")</f>
        <v>5</v>
      </c>
      <c r="J5" s="58"/>
    </row>
    <row r="6" spans="1:10" hidden="1">
      <c r="A6" s="348"/>
      <c r="B6" s="56" t="s">
        <v>37</v>
      </c>
      <c r="C6" s="348"/>
      <c r="D6" s="57" t="s">
        <v>48</v>
      </c>
      <c r="E6" s="58"/>
      <c r="F6" s="59" t="s">
        <v>49</v>
      </c>
      <c r="G6" s="58" t="s">
        <v>41</v>
      </c>
      <c r="H6" s="58"/>
      <c r="I6" s="58">
        <f>IF(G6&lt;&gt;"",5,"")</f>
        <v>5</v>
      </c>
      <c r="J6" s="58"/>
    </row>
    <row r="7" spans="1:10" hidden="1">
      <c r="A7" s="348"/>
      <c r="B7" s="56" t="s">
        <v>37</v>
      </c>
      <c r="C7" s="348"/>
      <c r="D7" s="60" t="s">
        <v>50</v>
      </c>
      <c r="E7" s="61"/>
      <c r="F7" s="62"/>
      <c r="G7" s="61"/>
      <c r="H7" s="61"/>
      <c r="I7" s="61">
        <f>SUM(I3:I6)</f>
        <v>15</v>
      </c>
      <c r="J7" s="61"/>
    </row>
    <row r="8" spans="1:10">
      <c r="A8" s="348">
        <v>2</v>
      </c>
      <c r="B8" s="56" t="s">
        <v>37</v>
      </c>
      <c r="C8" s="348" t="s">
        <v>51</v>
      </c>
      <c r="D8" s="57" t="s">
        <v>39</v>
      </c>
      <c r="E8" s="58"/>
      <c r="F8" s="59" t="s">
        <v>40</v>
      </c>
      <c r="G8" s="58"/>
      <c r="H8" s="58" t="s">
        <v>41</v>
      </c>
      <c r="I8" s="58">
        <f>IF(G8&lt;&gt;"",5,0)</f>
        <v>0</v>
      </c>
      <c r="J8" s="58" t="s">
        <v>42</v>
      </c>
    </row>
    <row r="9" spans="1:10" hidden="1">
      <c r="A9" s="348"/>
      <c r="B9" s="56" t="s">
        <v>37</v>
      </c>
      <c r="C9" s="348"/>
      <c r="D9" s="57" t="s">
        <v>43</v>
      </c>
      <c r="E9" s="58" t="s">
        <v>44</v>
      </c>
      <c r="F9" s="59" t="s">
        <v>52</v>
      </c>
      <c r="G9" s="58" t="s">
        <v>41</v>
      </c>
      <c r="H9" s="58"/>
      <c r="I9" s="58">
        <f>IF(G9&lt;&gt;"",5,"")</f>
        <v>5</v>
      </c>
      <c r="J9" s="58"/>
    </row>
    <row r="10" spans="1:10" hidden="1">
      <c r="A10" s="348"/>
      <c r="B10" s="56" t="s">
        <v>37</v>
      </c>
      <c r="C10" s="348"/>
      <c r="D10" s="57" t="s">
        <v>46</v>
      </c>
      <c r="E10" s="58"/>
      <c r="F10" s="59" t="s">
        <v>53</v>
      </c>
      <c r="G10" s="58" t="s">
        <v>41</v>
      </c>
      <c r="H10" s="58"/>
      <c r="I10" s="58">
        <f>IF(G10&lt;&gt;"",5,"")</f>
        <v>5</v>
      </c>
      <c r="J10" s="58"/>
    </row>
    <row r="11" spans="1:10" hidden="1">
      <c r="A11" s="348"/>
      <c r="B11" s="56" t="s">
        <v>37</v>
      </c>
      <c r="C11" s="348"/>
      <c r="D11" s="57" t="s">
        <v>48</v>
      </c>
      <c r="E11" s="58"/>
      <c r="F11" s="59" t="s">
        <v>54</v>
      </c>
      <c r="G11" s="58"/>
      <c r="H11" s="58" t="s">
        <v>41</v>
      </c>
      <c r="I11" s="58">
        <f>IF(G11&lt;&gt;"",5,0)</f>
        <v>0</v>
      </c>
      <c r="J11" s="58"/>
    </row>
    <row r="12" spans="1:10" hidden="1">
      <c r="A12" s="348"/>
      <c r="B12" s="56" t="s">
        <v>37</v>
      </c>
      <c r="C12" s="348"/>
      <c r="D12" s="60" t="s">
        <v>50</v>
      </c>
      <c r="E12" s="61"/>
      <c r="F12" s="62"/>
      <c r="G12" s="61"/>
      <c r="H12" s="61"/>
      <c r="I12" s="61">
        <f>SUM(I8:I11)</f>
        <v>10</v>
      </c>
      <c r="J12" s="61"/>
    </row>
    <row r="13" spans="1:10">
      <c r="A13" s="348">
        <v>3</v>
      </c>
      <c r="B13" s="56" t="s">
        <v>55</v>
      </c>
      <c r="C13" s="348" t="s">
        <v>56</v>
      </c>
      <c r="D13" s="57" t="s">
        <v>39</v>
      </c>
      <c r="E13" s="58"/>
      <c r="F13" s="59" t="s">
        <v>40</v>
      </c>
      <c r="G13" s="58"/>
      <c r="H13" s="58" t="s">
        <v>41</v>
      </c>
      <c r="I13" s="58">
        <f>IF(G13&lt;&gt;"",5,0)</f>
        <v>0</v>
      </c>
      <c r="J13" s="58" t="s">
        <v>42</v>
      </c>
    </row>
    <row r="14" spans="1:10" hidden="1">
      <c r="A14" s="348"/>
      <c r="B14" s="56" t="s">
        <v>55</v>
      </c>
      <c r="C14" s="348"/>
      <c r="D14" s="57" t="s">
        <v>43</v>
      </c>
      <c r="E14" s="58" t="s">
        <v>44</v>
      </c>
      <c r="F14" s="59" t="s">
        <v>45</v>
      </c>
      <c r="G14" s="58" t="s">
        <v>41</v>
      </c>
      <c r="H14" s="58"/>
      <c r="I14" s="58">
        <f>IF(G14&lt;&gt;"",5,"")</f>
        <v>5</v>
      </c>
      <c r="J14" s="58"/>
    </row>
    <row r="15" spans="1:10" hidden="1">
      <c r="A15" s="348"/>
      <c r="B15" s="56" t="s">
        <v>55</v>
      </c>
      <c r="C15" s="348"/>
      <c r="D15" s="57" t="s">
        <v>46</v>
      </c>
      <c r="E15" s="58"/>
      <c r="F15" s="59" t="s">
        <v>57</v>
      </c>
      <c r="G15" s="58" t="s">
        <v>41</v>
      </c>
      <c r="H15" s="58"/>
      <c r="I15" s="58">
        <f>IF(G15&lt;&gt;"",5,"")</f>
        <v>5</v>
      </c>
      <c r="J15" s="58"/>
    </row>
    <row r="16" spans="1:10" hidden="1">
      <c r="A16" s="348"/>
      <c r="B16" s="56" t="s">
        <v>55</v>
      </c>
      <c r="C16" s="348"/>
      <c r="D16" s="57" t="s">
        <v>48</v>
      </c>
      <c r="E16" s="58"/>
      <c r="F16" s="59" t="s">
        <v>54</v>
      </c>
      <c r="G16" s="58"/>
      <c r="H16" s="58" t="s">
        <v>41</v>
      </c>
      <c r="I16" s="58">
        <f>IF(G16&lt;&gt;"",5,0)</f>
        <v>0</v>
      </c>
      <c r="J16" s="58"/>
    </row>
    <row r="17" spans="1:10" hidden="1">
      <c r="A17" s="348"/>
      <c r="B17" s="56" t="s">
        <v>55</v>
      </c>
      <c r="C17" s="348"/>
      <c r="D17" s="60" t="s">
        <v>50</v>
      </c>
      <c r="E17" s="61"/>
      <c r="F17" s="62"/>
      <c r="G17" s="61"/>
      <c r="H17" s="61"/>
      <c r="I17" s="61">
        <f>SUM(I13:I16)</f>
        <v>10</v>
      </c>
      <c r="J17" s="61"/>
    </row>
    <row r="18" spans="1:10">
      <c r="A18" s="348">
        <v>4</v>
      </c>
      <c r="B18" s="56" t="s">
        <v>37</v>
      </c>
      <c r="C18" s="348" t="s">
        <v>58</v>
      </c>
      <c r="D18" s="57" t="s">
        <v>39</v>
      </c>
      <c r="E18" s="58"/>
      <c r="F18" s="59" t="s">
        <v>59</v>
      </c>
      <c r="G18" s="58"/>
      <c r="H18" s="58" t="s">
        <v>41</v>
      </c>
      <c r="I18" s="58">
        <f>IF(G18&lt;&gt;"",5,0)</f>
        <v>0</v>
      </c>
      <c r="J18" s="58" t="s">
        <v>60</v>
      </c>
    </row>
    <row r="19" spans="1:10" hidden="1">
      <c r="A19" s="348"/>
      <c r="B19" s="56" t="s">
        <v>37</v>
      </c>
      <c r="C19" s="348"/>
      <c r="D19" s="57" t="s">
        <v>43</v>
      </c>
      <c r="E19" s="58" t="s">
        <v>44</v>
      </c>
      <c r="F19" s="59" t="s">
        <v>45</v>
      </c>
      <c r="G19" s="58" t="s">
        <v>41</v>
      </c>
      <c r="H19" s="58"/>
      <c r="I19" s="58">
        <f>IF(G19&lt;&gt;"",5,"")</f>
        <v>5</v>
      </c>
      <c r="J19" s="58"/>
    </row>
    <row r="20" spans="1:10" hidden="1">
      <c r="A20" s="348"/>
      <c r="B20" s="56" t="s">
        <v>37</v>
      </c>
      <c r="C20" s="348"/>
      <c r="D20" s="57" t="s">
        <v>46</v>
      </c>
      <c r="E20" s="58"/>
      <c r="F20" s="59" t="s">
        <v>61</v>
      </c>
      <c r="G20" s="58" t="s">
        <v>41</v>
      </c>
      <c r="H20" s="58"/>
      <c r="I20" s="58">
        <f>IF(G20&lt;&gt;"",5,"")</f>
        <v>5</v>
      </c>
      <c r="J20" s="58"/>
    </row>
    <row r="21" spans="1:10" hidden="1">
      <c r="A21" s="348"/>
      <c r="B21" s="56" t="s">
        <v>37</v>
      </c>
      <c r="C21" s="348"/>
      <c r="D21" s="57" t="s">
        <v>48</v>
      </c>
      <c r="E21" s="58"/>
      <c r="F21" s="59" t="s">
        <v>49</v>
      </c>
      <c r="G21" s="58" t="s">
        <v>41</v>
      </c>
      <c r="H21" s="58"/>
      <c r="I21" s="58">
        <f>IF(G21&lt;&gt;"",5,"0")</f>
        <v>5</v>
      </c>
      <c r="J21" s="58"/>
    </row>
    <row r="22" spans="1:10" hidden="1">
      <c r="A22" s="348"/>
      <c r="B22" s="56" t="s">
        <v>37</v>
      </c>
      <c r="C22" s="348"/>
      <c r="D22" s="60" t="s">
        <v>50</v>
      </c>
      <c r="E22" s="61"/>
      <c r="F22" s="62"/>
      <c r="G22" s="61"/>
      <c r="H22" s="61"/>
      <c r="I22" s="61">
        <f>SUM(I18:I21)</f>
        <v>15</v>
      </c>
      <c r="J22" s="61"/>
    </row>
    <row r="23" spans="1:10">
      <c r="A23" s="348">
        <v>5</v>
      </c>
      <c r="B23" s="56" t="s">
        <v>55</v>
      </c>
      <c r="C23" s="348" t="s">
        <v>62</v>
      </c>
      <c r="D23" s="57" t="s">
        <v>39</v>
      </c>
      <c r="E23" s="58"/>
      <c r="F23" s="59" t="s">
        <v>63</v>
      </c>
      <c r="G23" s="58"/>
      <c r="H23" s="58" t="s">
        <v>41</v>
      </c>
      <c r="I23" s="58">
        <f>IF(G23&lt;&gt;"",5,0)</f>
        <v>0</v>
      </c>
      <c r="J23" s="58" t="s">
        <v>64</v>
      </c>
    </row>
    <row r="24" spans="1:10" hidden="1">
      <c r="A24" s="348"/>
      <c r="B24" s="56" t="s">
        <v>55</v>
      </c>
      <c r="C24" s="348"/>
      <c r="D24" s="57" t="s">
        <v>43</v>
      </c>
      <c r="E24" s="58" t="s">
        <v>44</v>
      </c>
      <c r="F24" s="59" t="s">
        <v>65</v>
      </c>
      <c r="G24" s="58" t="s">
        <v>41</v>
      </c>
      <c r="H24" s="58"/>
      <c r="I24" s="58">
        <f>IF(G24&lt;&gt;"",5,0)</f>
        <v>5</v>
      </c>
      <c r="J24" s="58"/>
    </row>
    <row r="25" spans="1:10" hidden="1">
      <c r="A25" s="348"/>
      <c r="B25" s="56" t="s">
        <v>55</v>
      </c>
      <c r="C25" s="348"/>
      <c r="D25" s="57" t="s">
        <v>46</v>
      </c>
      <c r="E25" s="58"/>
      <c r="F25" s="59" t="s">
        <v>66</v>
      </c>
      <c r="G25" s="58" t="s">
        <v>41</v>
      </c>
      <c r="H25" s="58"/>
      <c r="I25" s="58">
        <f>IF(G25&lt;&gt;"",5,"")</f>
        <v>5</v>
      </c>
      <c r="J25" s="58"/>
    </row>
    <row r="26" spans="1:10" hidden="1">
      <c r="A26" s="348"/>
      <c r="B26" s="56" t="s">
        <v>55</v>
      </c>
      <c r="C26" s="348"/>
      <c r="D26" s="57" t="s">
        <v>48</v>
      </c>
      <c r="E26" s="58"/>
      <c r="F26" s="59" t="s">
        <v>67</v>
      </c>
      <c r="G26" s="58" t="s">
        <v>41</v>
      </c>
      <c r="H26" s="58"/>
      <c r="I26" s="58">
        <f>IF(G26&lt;&gt;"",5,"0")</f>
        <v>5</v>
      </c>
      <c r="J26" s="58"/>
    </row>
    <row r="27" spans="1:10" hidden="1">
      <c r="A27" s="348"/>
      <c r="B27" s="56" t="s">
        <v>55</v>
      </c>
      <c r="C27" s="348"/>
      <c r="D27" s="60" t="s">
        <v>50</v>
      </c>
      <c r="E27" s="61"/>
      <c r="F27" s="62"/>
      <c r="G27" s="61"/>
      <c r="H27" s="61"/>
      <c r="I27" s="61">
        <f>SUM(I23:I26)</f>
        <v>15</v>
      </c>
      <c r="J27" s="61"/>
    </row>
    <row r="28" spans="1:10" ht="15.75" customHeight="1">
      <c r="A28" s="348">
        <v>6</v>
      </c>
      <c r="B28" s="56" t="s">
        <v>68</v>
      </c>
      <c r="C28" s="347" t="s">
        <v>69</v>
      </c>
      <c r="D28" s="63" t="s">
        <v>39</v>
      </c>
      <c r="E28" s="64"/>
      <c r="F28" s="65" t="s">
        <v>70</v>
      </c>
      <c r="G28" s="64"/>
      <c r="H28" s="64" t="s">
        <v>41</v>
      </c>
      <c r="I28" s="58">
        <f>IF(G28&lt;&gt;"",5,0)</f>
        <v>0</v>
      </c>
      <c r="J28" s="63" t="s">
        <v>71</v>
      </c>
    </row>
    <row r="29" spans="1:10" ht="15.75" hidden="1" customHeight="1">
      <c r="A29" s="348"/>
      <c r="B29" s="56" t="s">
        <v>68</v>
      </c>
      <c r="C29" s="347"/>
      <c r="D29" s="63" t="s">
        <v>43</v>
      </c>
      <c r="E29" s="64" t="s">
        <v>44</v>
      </c>
      <c r="F29" s="65" t="s">
        <v>72</v>
      </c>
      <c r="G29" s="64" t="s">
        <v>41</v>
      </c>
      <c r="H29" s="64"/>
      <c r="I29" s="58">
        <f>IF(G29&lt;&gt;"",5,"0")</f>
        <v>5</v>
      </c>
      <c r="J29" s="63"/>
    </row>
    <row r="30" spans="1:10" ht="15.75" hidden="1" customHeight="1">
      <c r="A30" s="348"/>
      <c r="B30" s="56" t="s">
        <v>68</v>
      </c>
      <c r="C30" s="347"/>
      <c r="D30" s="63" t="s">
        <v>46</v>
      </c>
      <c r="E30" s="64"/>
      <c r="F30" s="65" t="s">
        <v>73</v>
      </c>
      <c r="G30" s="64"/>
      <c r="H30" s="64" t="s">
        <v>41</v>
      </c>
      <c r="I30" s="58">
        <f>IF(G30&lt;&gt;"",5,0)</f>
        <v>0</v>
      </c>
      <c r="J30" s="63"/>
    </row>
    <row r="31" spans="1:10" ht="15.75" hidden="1" customHeight="1">
      <c r="A31" s="348"/>
      <c r="B31" s="56" t="s">
        <v>68</v>
      </c>
      <c r="C31" s="347"/>
      <c r="D31" s="63" t="s">
        <v>48</v>
      </c>
      <c r="E31" s="64"/>
      <c r="F31" s="65" t="s">
        <v>74</v>
      </c>
      <c r="G31" s="64" t="s">
        <v>41</v>
      </c>
      <c r="H31" s="64"/>
      <c r="I31" s="58">
        <f>IF(G31&lt;&gt;"",5,"0")</f>
        <v>5</v>
      </c>
      <c r="J31" s="63"/>
    </row>
    <row r="32" spans="1:10" hidden="1">
      <c r="A32" s="348"/>
      <c r="B32" s="56" t="s">
        <v>68</v>
      </c>
      <c r="C32" s="347"/>
      <c r="D32" s="66" t="s">
        <v>50</v>
      </c>
      <c r="E32" s="67"/>
      <c r="F32" s="68"/>
      <c r="G32" s="67"/>
      <c r="H32" s="67"/>
      <c r="I32" s="67">
        <f>SUM(I28:I31)</f>
        <v>10</v>
      </c>
      <c r="J32" s="63"/>
    </row>
    <row r="33" spans="1:10" ht="15.75" customHeight="1">
      <c r="A33" s="348">
        <v>7</v>
      </c>
      <c r="B33" s="56" t="s">
        <v>75</v>
      </c>
      <c r="C33" s="347" t="s">
        <v>76</v>
      </c>
      <c r="D33" s="63" t="s">
        <v>39</v>
      </c>
      <c r="E33" s="64"/>
      <c r="F33" s="65" t="s">
        <v>77</v>
      </c>
      <c r="G33" s="64" t="s">
        <v>41</v>
      </c>
      <c r="H33" s="64"/>
      <c r="I33" s="64">
        <f t="shared" ref="I33:I51" si="0">IF(G33="x",5,0)</f>
        <v>5</v>
      </c>
      <c r="J33" s="63"/>
    </row>
    <row r="34" spans="1:10" ht="15.75" hidden="1" customHeight="1">
      <c r="A34" s="348"/>
      <c r="B34" s="56" t="s">
        <v>75</v>
      </c>
      <c r="C34" s="347"/>
      <c r="D34" s="63" t="s">
        <v>43</v>
      </c>
      <c r="E34" s="64" t="s">
        <v>44</v>
      </c>
      <c r="F34" s="65" t="s">
        <v>78</v>
      </c>
      <c r="G34" s="64" t="s">
        <v>41</v>
      </c>
      <c r="H34" s="64"/>
      <c r="I34" s="64">
        <f t="shared" si="0"/>
        <v>5</v>
      </c>
      <c r="J34" s="63"/>
    </row>
    <row r="35" spans="1:10" ht="15.75" hidden="1" customHeight="1">
      <c r="A35" s="348"/>
      <c r="B35" s="56" t="s">
        <v>75</v>
      </c>
      <c r="C35" s="347"/>
      <c r="D35" s="63" t="s">
        <v>46</v>
      </c>
      <c r="E35" s="64"/>
      <c r="F35" s="65" t="s">
        <v>79</v>
      </c>
      <c r="G35" s="64" t="s">
        <v>41</v>
      </c>
      <c r="H35" s="64"/>
      <c r="I35" s="64">
        <f t="shared" si="0"/>
        <v>5</v>
      </c>
      <c r="J35" s="63"/>
    </row>
    <row r="36" spans="1:10" ht="15.75" hidden="1" customHeight="1">
      <c r="A36" s="348"/>
      <c r="B36" s="56" t="s">
        <v>75</v>
      </c>
      <c r="C36" s="347"/>
      <c r="D36" s="63" t="s">
        <v>48</v>
      </c>
      <c r="E36" s="64"/>
      <c r="F36" s="65" t="s">
        <v>80</v>
      </c>
      <c r="G36" s="64"/>
      <c r="H36" s="64" t="s">
        <v>41</v>
      </c>
      <c r="I36" s="58">
        <f>IF(G36&lt;&gt;"",5,0)</f>
        <v>0</v>
      </c>
      <c r="J36" s="63"/>
    </row>
    <row r="37" spans="1:10" hidden="1">
      <c r="A37" s="348"/>
      <c r="B37" s="56" t="s">
        <v>75</v>
      </c>
      <c r="C37" s="347"/>
      <c r="D37" s="66" t="s">
        <v>50</v>
      </c>
      <c r="E37" s="67"/>
      <c r="F37" s="68"/>
      <c r="G37" s="67"/>
      <c r="H37" s="67"/>
      <c r="I37" s="67">
        <f>SUM(I33:I36)</f>
        <v>15</v>
      </c>
      <c r="J37" s="63"/>
    </row>
    <row r="38" spans="1:10" ht="15.75" customHeight="1">
      <c r="A38" s="348">
        <v>8</v>
      </c>
      <c r="B38" s="56" t="s">
        <v>75</v>
      </c>
      <c r="C38" s="347" t="s">
        <v>81</v>
      </c>
      <c r="D38" s="63" t="s">
        <v>39</v>
      </c>
      <c r="E38" s="64"/>
      <c r="F38" s="65" t="s">
        <v>82</v>
      </c>
      <c r="G38" s="64" t="s">
        <v>41</v>
      </c>
      <c r="H38" s="64"/>
      <c r="I38" s="64">
        <f t="shared" si="0"/>
        <v>5</v>
      </c>
      <c r="J38" s="63"/>
    </row>
    <row r="39" spans="1:10" ht="15.75" hidden="1" customHeight="1">
      <c r="A39" s="348"/>
      <c r="B39" s="56" t="s">
        <v>75</v>
      </c>
      <c r="C39" s="347"/>
      <c r="D39" s="63" t="s">
        <v>43</v>
      </c>
      <c r="E39" s="64" t="s">
        <v>44</v>
      </c>
      <c r="F39" s="65" t="s">
        <v>83</v>
      </c>
      <c r="G39" s="64" t="s">
        <v>41</v>
      </c>
      <c r="H39" s="64"/>
      <c r="I39" s="64">
        <f t="shared" si="0"/>
        <v>5</v>
      </c>
      <c r="J39" s="63"/>
    </row>
    <row r="40" spans="1:10" ht="15.75" hidden="1" customHeight="1">
      <c r="A40" s="348"/>
      <c r="B40" s="56" t="s">
        <v>75</v>
      </c>
      <c r="C40" s="347"/>
      <c r="D40" s="63" t="s">
        <v>46</v>
      </c>
      <c r="E40" s="64"/>
      <c r="F40" s="65" t="s">
        <v>84</v>
      </c>
      <c r="G40" s="64" t="s">
        <v>41</v>
      </c>
      <c r="H40" s="64"/>
      <c r="I40" s="64">
        <f t="shared" si="0"/>
        <v>5</v>
      </c>
      <c r="J40" s="63"/>
    </row>
    <row r="41" spans="1:10" ht="15.75" hidden="1" customHeight="1">
      <c r="A41" s="348"/>
      <c r="B41" s="56" t="s">
        <v>75</v>
      </c>
      <c r="C41" s="347"/>
      <c r="D41" s="63" t="s">
        <v>48</v>
      </c>
      <c r="E41" s="64"/>
      <c r="F41" s="65" t="s">
        <v>80</v>
      </c>
      <c r="G41" s="64"/>
      <c r="H41" s="64" t="s">
        <v>41</v>
      </c>
      <c r="I41" s="58">
        <f>IF(G41&lt;&gt;"",5,0)</f>
        <v>0</v>
      </c>
      <c r="J41" s="63"/>
    </row>
    <row r="42" spans="1:10" hidden="1">
      <c r="A42" s="348"/>
      <c r="B42" s="56" t="s">
        <v>75</v>
      </c>
      <c r="C42" s="347"/>
      <c r="D42" s="66" t="s">
        <v>50</v>
      </c>
      <c r="E42" s="67"/>
      <c r="F42" s="68"/>
      <c r="G42" s="67"/>
      <c r="H42" s="67"/>
      <c r="I42" s="67">
        <f>SUM(I38:I41)</f>
        <v>15</v>
      </c>
      <c r="J42" s="63"/>
    </row>
    <row r="43" spans="1:10" ht="15.75" customHeight="1">
      <c r="A43" s="348">
        <v>9</v>
      </c>
      <c r="B43" s="56" t="s">
        <v>75</v>
      </c>
      <c r="C43" s="347" t="s">
        <v>85</v>
      </c>
      <c r="D43" s="63" t="s">
        <v>39</v>
      </c>
      <c r="E43" s="64"/>
      <c r="F43" s="65" t="s">
        <v>86</v>
      </c>
      <c r="G43" s="64" t="s">
        <v>41</v>
      </c>
      <c r="H43" s="64"/>
      <c r="I43" s="64">
        <f t="shared" si="0"/>
        <v>5</v>
      </c>
      <c r="J43" s="63"/>
    </row>
    <row r="44" spans="1:10" ht="15.75" hidden="1" customHeight="1">
      <c r="A44" s="348"/>
      <c r="B44" s="56" t="s">
        <v>75</v>
      </c>
      <c r="C44" s="347"/>
      <c r="D44" s="63" t="s">
        <v>43</v>
      </c>
      <c r="E44" s="64" t="s">
        <v>44</v>
      </c>
      <c r="F44" s="65" t="s">
        <v>87</v>
      </c>
      <c r="G44" s="64" t="s">
        <v>41</v>
      </c>
      <c r="H44" s="64"/>
      <c r="I44" s="64">
        <f t="shared" si="0"/>
        <v>5</v>
      </c>
      <c r="J44" s="63"/>
    </row>
    <row r="45" spans="1:10" ht="15.75" hidden="1" customHeight="1">
      <c r="A45" s="348"/>
      <c r="B45" s="56" t="s">
        <v>75</v>
      </c>
      <c r="C45" s="347"/>
      <c r="D45" s="63" t="s">
        <v>46</v>
      </c>
      <c r="E45" s="64"/>
      <c r="F45" s="65" t="s">
        <v>88</v>
      </c>
      <c r="G45" s="64" t="s">
        <v>41</v>
      </c>
      <c r="H45" s="64"/>
      <c r="I45" s="64">
        <f t="shared" si="0"/>
        <v>5</v>
      </c>
      <c r="J45" s="63"/>
    </row>
    <row r="46" spans="1:10" ht="15.75" hidden="1" customHeight="1">
      <c r="A46" s="348"/>
      <c r="B46" s="56" t="s">
        <v>75</v>
      </c>
      <c r="C46" s="347"/>
      <c r="D46" s="63" t="s">
        <v>48</v>
      </c>
      <c r="E46" s="64"/>
      <c r="F46" s="65" t="s">
        <v>74</v>
      </c>
      <c r="G46" s="64" t="s">
        <v>41</v>
      </c>
      <c r="H46" s="64"/>
      <c r="I46" s="64">
        <f t="shared" si="0"/>
        <v>5</v>
      </c>
      <c r="J46" s="63"/>
    </row>
    <row r="47" spans="1:10" hidden="1">
      <c r="A47" s="348"/>
      <c r="B47" s="56" t="s">
        <v>75</v>
      </c>
      <c r="C47" s="347"/>
      <c r="D47" s="66" t="s">
        <v>50</v>
      </c>
      <c r="E47" s="67"/>
      <c r="F47" s="68"/>
      <c r="G47" s="67"/>
      <c r="H47" s="67"/>
      <c r="I47" s="67">
        <f>SUM(I43:I46)</f>
        <v>20</v>
      </c>
      <c r="J47" s="63"/>
    </row>
    <row r="48" spans="1:10" ht="15.75" customHeight="1">
      <c r="A48" s="348">
        <v>10</v>
      </c>
      <c r="B48" s="56" t="s">
        <v>89</v>
      </c>
      <c r="C48" s="347" t="s">
        <v>90</v>
      </c>
      <c r="D48" s="63" t="s">
        <v>39</v>
      </c>
      <c r="E48" s="64"/>
      <c r="F48" s="65" t="s">
        <v>91</v>
      </c>
      <c r="G48" s="64"/>
      <c r="H48" s="64" t="s">
        <v>41</v>
      </c>
      <c r="I48" s="58">
        <f>IF(G48&lt;&gt;"",5,0)</f>
        <v>0</v>
      </c>
      <c r="J48" s="63" t="s">
        <v>71</v>
      </c>
    </row>
    <row r="49" spans="1:10" ht="15.75" hidden="1" customHeight="1">
      <c r="A49" s="348"/>
      <c r="B49" s="56" t="s">
        <v>89</v>
      </c>
      <c r="C49" s="347"/>
      <c r="D49" s="63" t="s">
        <v>43</v>
      </c>
      <c r="E49" s="64" t="s">
        <v>44</v>
      </c>
      <c r="F49" s="65" t="s">
        <v>92</v>
      </c>
      <c r="G49" s="64" t="s">
        <v>41</v>
      </c>
      <c r="H49" s="64"/>
      <c r="I49" s="64">
        <f t="shared" si="0"/>
        <v>5</v>
      </c>
      <c r="J49" s="63"/>
    </row>
    <row r="50" spans="1:10" ht="15.75" hidden="1" customHeight="1">
      <c r="A50" s="348"/>
      <c r="B50" s="56" t="s">
        <v>89</v>
      </c>
      <c r="C50" s="347"/>
      <c r="D50" s="63" t="s">
        <v>46</v>
      </c>
      <c r="E50" s="64"/>
      <c r="F50" s="65" t="s">
        <v>93</v>
      </c>
      <c r="G50" s="64" t="s">
        <v>41</v>
      </c>
      <c r="H50" s="64"/>
      <c r="I50" s="64">
        <f t="shared" si="0"/>
        <v>5</v>
      </c>
      <c r="J50" s="63"/>
    </row>
    <row r="51" spans="1:10" ht="15.75" hidden="1" customHeight="1">
      <c r="A51" s="348"/>
      <c r="B51" s="56" t="s">
        <v>89</v>
      </c>
      <c r="C51" s="347"/>
      <c r="D51" s="63" t="s">
        <v>48</v>
      </c>
      <c r="E51" s="64"/>
      <c r="F51" s="65" t="s">
        <v>74</v>
      </c>
      <c r="G51" s="64" t="s">
        <v>41</v>
      </c>
      <c r="H51" s="64"/>
      <c r="I51" s="64">
        <f t="shared" si="0"/>
        <v>5</v>
      </c>
      <c r="J51" s="63"/>
    </row>
    <row r="52" spans="1:10" hidden="1">
      <c r="A52" s="348"/>
      <c r="B52" s="56" t="s">
        <v>89</v>
      </c>
      <c r="C52" s="347"/>
      <c r="D52" s="66" t="s">
        <v>50</v>
      </c>
      <c r="E52" s="67"/>
      <c r="F52" s="68"/>
      <c r="G52" s="67"/>
      <c r="H52" s="67"/>
      <c r="I52" s="67">
        <f>SUM(I48:I51)</f>
        <v>15</v>
      </c>
      <c r="J52" s="63"/>
    </row>
    <row r="53" spans="1:10">
      <c r="A53" s="348">
        <v>11</v>
      </c>
      <c r="B53" s="56" t="s">
        <v>94</v>
      </c>
      <c r="C53" s="348" t="s">
        <v>95</v>
      </c>
      <c r="D53" s="57" t="s">
        <v>39</v>
      </c>
      <c r="E53" s="58"/>
      <c r="F53" s="59" t="s">
        <v>96</v>
      </c>
      <c r="G53" s="58" t="s">
        <v>41</v>
      </c>
      <c r="H53" s="58"/>
      <c r="I53" s="58">
        <f>IF(G53&lt;&gt;"",5,"0")</f>
        <v>5</v>
      </c>
      <c r="J53" s="58" t="s">
        <v>97</v>
      </c>
    </row>
    <row r="54" spans="1:10" hidden="1">
      <c r="A54" s="348"/>
      <c r="B54" s="56" t="s">
        <v>94</v>
      </c>
      <c r="C54" s="348"/>
      <c r="D54" s="57" t="s">
        <v>43</v>
      </c>
      <c r="E54" s="58" t="s">
        <v>44</v>
      </c>
      <c r="F54" s="59" t="s">
        <v>98</v>
      </c>
      <c r="G54" s="58" t="s">
        <v>41</v>
      </c>
      <c r="H54" s="58"/>
      <c r="I54" s="58">
        <f>IF(G54&lt;&gt;"",5,"0")</f>
        <v>5</v>
      </c>
      <c r="J54" s="58" t="s">
        <v>97</v>
      </c>
    </row>
    <row r="55" spans="1:10" hidden="1">
      <c r="A55" s="348"/>
      <c r="B55" s="56" t="s">
        <v>94</v>
      </c>
      <c r="C55" s="348"/>
      <c r="D55" s="57" t="s">
        <v>46</v>
      </c>
      <c r="E55" s="58"/>
      <c r="F55" s="59" t="s">
        <v>99</v>
      </c>
      <c r="G55" s="58" t="s">
        <v>41</v>
      </c>
      <c r="H55" s="58"/>
      <c r="I55" s="58">
        <f>IF(G55&lt;&gt;"",5,0)</f>
        <v>5</v>
      </c>
      <c r="J55" s="58" t="s">
        <v>97</v>
      </c>
    </row>
    <row r="56" spans="1:10" hidden="1">
      <c r="A56" s="348"/>
      <c r="B56" s="56" t="s">
        <v>94</v>
      </c>
      <c r="C56" s="348"/>
      <c r="D56" s="57" t="s">
        <v>48</v>
      </c>
      <c r="E56" s="58"/>
      <c r="F56" s="59" t="s">
        <v>100</v>
      </c>
      <c r="G56" s="58" t="s">
        <v>41</v>
      </c>
      <c r="H56" s="58"/>
      <c r="I56" s="58">
        <f>IF(G56&lt;&gt;"",5,"0")</f>
        <v>5</v>
      </c>
      <c r="J56" s="58" t="s">
        <v>97</v>
      </c>
    </row>
    <row r="57" spans="1:10" hidden="1">
      <c r="A57" s="348"/>
      <c r="B57" s="56" t="s">
        <v>94</v>
      </c>
      <c r="C57" s="348"/>
      <c r="D57" s="60" t="s">
        <v>50</v>
      </c>
      <c r="E57" s="61"/>
      <c r="F57" s="62"/>
      <c r="G57" s="61"/>
      <c r="H57" s="61"/>
      <c r="I57" s="61">
        <v>15</v>
      </c>
      <c r="J57" s="61"/>
    </row>
    <row r="58" spans="1:10">
      <c r="A58" s="348">
        <v>12</v>
      </c>
      <c r="B58" s="56" t="s">
        <v>101</v>
      </c>
      <c r="C58" s="348" t="s">
        <v>102</v>
      </c>
      <c r="D58" s="57" t="s">
        <v>39</v>
      </c>
      <c r="E58" s="58"/>
      <c r="F58" s="59" t="s">
        <v>103</v>
      </c>
      <c r="G58" s="58"/>
      <c r="H58" s="58" t="s">
        <v>41</v>
      </c>
      <c r="I58" s="58">
        <f>IF(G58&lt;&gt;"",5,0)</f>
        <v>0</v>
      </c>
      <c r="J58" s="58" t="s">
        <v>104</v>
      </c>
    </row>
    <row r="59" spans="1:10" hidden="1">
      <c r="A59" s="348"/>
      <c r="B59" s="56" t="s">
        <v>101</v>
      </c>
      <c r="C59" s="348"/>
      <c r="D59" s="57" t="s">
        <v>43</v>
      </c>
      <c r="E59" s="58" t="s">
        <v>44</v>
      </c>
      <c r="F59" s="59" t="s">
        <v>98</v>
      </c>
      <c r="G59" s="58" t="s">
        <v>41</v>
      </c>
      <c r="H59" s="58"/>
      <c r="I59" s="58">
        <f>IF(G59&lt;&gt;"",5,"0")</f>
        <v>5</v>
      </c>
      <c r="J59" s="58" t="s">
        <v>97</v>
      </c>
    </row>
    <row r="60" spans="1:10" hidden="1">
      <c r="A60" s="348"/>
      <c r="B60" s="56" t="s">
        <v>101</v>
      </c>
      <c r="C60" s="348"/>
      <c r="D60" s="57" t="s">
        <v>46</v>
      </c>
      <c r="E60" s="58"/>
      <c r="F60" s="59" t="s">
        <v>105</v>
      </c>
      <c r="G60" s="58" t="s">
        <v>41</v>
      </c>
      <c r="H60" s="58"/>
      <c r="I60" s="58">
        <f>IF(G60&lt;&gt;"",5,"0")</f>
        <v>5</v>
      </c>
      <c r="J60" s="58" t="s">
        <v>97</v>
      </c>
    </row>
    <row r="61" spans="1:10" hidden="1">
      <c r="A61" s="348"/>
      <c r="B61" s="56" t="s">
        <v>101</v>
      </c>
      <c r="C61" s="348"/>
      <c r="D61" s="57" t="s">
        <v>48</v>
      </c>
      <c r="E61" s="58"/>
      <c r="F61" s="59" t="s">
        <v>100</v>
      </c>
      <c r="G61" s="58" t="s">
        <v>41</v>
      </c>
      <c r="H61" s="58"/>
      <c r="I61" s="58">
        <f>IF(G61&lt;&gt;"",5,"0")</f>
        <v>5</v>
      </c>
      <c r="J61" s="58" t="s">
        <v>97</v>
      </c>
    </row>
    <row r="62" spans="1:10" hidden="1">
      <c r="A62" s="348"/>
      <c r="B62" s="56" t="s">
        <v>101</v>
      </c>
      <c r="C62" s="348"/>
      <c r="D62" s="60" t="s">
        <v>50</v>
      </c>
      <c r="E62" s="61"/>
      <c r="F62" s="62"/>
      <c r="G62" s="61"/>
      <c r="H62" s="61"/>
      <c r="I62" s="61">
        <v>15</v>
      </c>
      <c r="J62" s="61"/>
    </row>
    <row r="63" spans="1:10" s="70" customFormat="1">
      <c r="A63" s="352">
        <v>13</v>
      </c>
      <c r="B63" s="69" t="s">
        <v>101</v>
      </c>
      <c r="C63" s="348" t="s">
        <v>106</v>
      </c>
      <c r="D63" s="57" t="s">
        <v>39</v>
      </c>
      <c r="E63" s="58"/>
      <c r="F63" s="59" t="s">
        <v>107</v>
      </c>
      <c r="G63" s="58" t="s">
        <v>41</v>
      </c>
      <c r="H63" s="58"/>
      <c r="I63" s="58">
        <f>IF(G63&lt;&gt;"",5,0)</f>
        <v>5</v>
      </c>
      <c r="J63" s="58" t="s">
        <v>97</v>
      </c>
    </row>
    <row r="64" spans="1:10" s="70" customFormat="1" hidden="1">
      <c r="A64" s="352"/>
      <c r="B64" s="69" t="s">
        <v>101</v>
      </c>
      <c r="C64" s="348"/>
      <c r="D64" s="57" t="s">
        <v>43</v>
      </c>
      <c r="E64" s="58" t="s">
        <v>44</v>
      </c>
      <c r="F64" s="59" t="s">
        <v>108</v>
      </c>
      <c r="G64" s="58" t="s">
        <v>41</v>
      </c>
      <c r="H64" s="58"/>
      <c r="I64" s="58">
        <f>IF(G64&lt;&gt;"",5,0)</f>
        <v>5</v>
      </c>
      <c r="J64" s="58" t="s">
        <v>97</v>
      </c>
    </row>
    <row r="65" spans="1:10" s="70" customFormat="1" hidden="1">
      <c r="A65" s="352"/>
      <c r="B65" s="69" t="s">
        <v>101</v>
      </c>
      <c r="C65" s="348"/>
      <c r="D65" s="57" t="s">
        <v>46</v>
      </c>
      <c r="E65" s="58"/>
      <c r="F65" s="59" t="s">
        <v>109</v>
      </c>
      <c r="G65" s="58" t="s">
        <v>41</v>
      </c>
      <c r="H65" s="58"/>
      <c r="I65" s="58">
        <f>IF(G65&lt;&gt;"",5,0)</f>
        <v>5</v>
      </c>
      <c r="J65" s="58" t="s">
        <v>97</v>
      </c>
    </row>
    <row r="66" spans="1:10" s="70" customFormat="1" hidden="1">
      <c r="A66" s="352"/>
      <c r="B66" s="69" t="s">
        <v>101</v>
      </c>
      <c r="C66" s="348"/>
      <c r="D66" s="57" t="s">
        <v>48</v>
      </c>
      <c r="E66" s="58"/>
      <c r="F66" s="59"/>
      <c r="G66" s="58" t="s">
        <v>41</v>
      </c>
      <c r="H66" s="58"/>
      <c r="I66" s="58">
        <f>IF(G66&lt;&gt;"",5,0)</f>
        <v>5</v>
      </c>
      <c r="J66" s="58" t="s">
        <v>97</v>
      </c>
    </row>
    <row r="67" spans="1:10" s="70" customFormat="1" hidden="1">
      <c r="A67" s="352"/>
      <c r="B67" s="69" t="s">
        <v>101</v>
      </c>
      <c r="C67" s="348"/>
      <c r="D67" s="60" t="s">
        <v>50</v>
      </c>
      <c r="E67" s="61"/>
      <c r="F67" s="62"/>
      <c r="G67" s="61"/>
      <c r="H67" s="61"/>
      <c r="I67" s="61">
        <v>20</v>
      </c>
      <c r="J67" s="61"/>
    </row>
    <row r="68" spans="1:10" s="70" customFormat="1">
      <c r="A68" s="352">
        <v>14</v>
      </c>
      <c r="B68" s="69" t="s">
        <v>101</v>
      </c>
      <c r="C68" s="348" t="s">
        <v>110</v>
      </c>
      <c r="D68" s="57" t="s">
        <v>39</v>
      </c>
      <c r="E68" s="58"/>
      <c r="F68" s="59" t="s">
        <v>111</v>
      </c>
      <c r="G68" s="58" t="s">
        <v>41</v>
      </c>
      <c r="H68" s="58"/>
      <c r="I68" s="58">
        <f>IF(G68&lt;&gt;"",5,0)</f>
        <v>5</v>
      </c>
      <c r="J68" s="58" t="s">
        <v>97</v>
      </c>
    </row>
    <row r="69" spans="1:10" s="70" customFormat="1" hidden="1">
      <c r="A69" s="352"/>
      <c r="B69" s="69" t="s">
        <v>101</v>
      </c>
      <c r="C69" s="348"/>
      <c r="D69" s="57" t="s">
        <v>43</v>
      </c>
      <c r="E69" s="58" t="s">
        <v>44</v>
      </c>
      <c r="F69" s="59" t="s">
        <v>108</v>
      </c>
      <c r="G69" s="58" t="s">
        <v>41</v>
      </c>
      <c r="H69" s="58"/>
      <c r="I69" s="58">
        <f>IF(G69&lt;&gt;"",5,0)</f>
        <v>5</v>
      </c>
      <c r="J69" s="58" t="s">
        <v>97</v>
      </c>
    </row>
    <row r="70" spans="1:10" s="70" customFormat="1" hidden="1">
      <c r="A70" s="352"/>
      <c r="B70" s="69" t="s">
        <v>101</v>
      </c>
      <c r="C70" s="348"/>
      <c r="D70" s="57" t="s">
        <v>46</v>
      </c>
      <c r="E70" s="58"/>
      <c r="F70" s="59" t="s">
        <v>109</v>
      </c>
      <c r="G70" s="58" t="s">
        <v>41</v>
      </c>
      <c r="H70" s="58"/>
      <c r="I70" s="58">
        <f>IF(G70&lt;&gt;"",5,0)</f>
        <v>5</v>
      </c>
      <c r="J70" s="58" t="s">
        <v>97</v>
      </c>
    </row>
    <row r="71" spans="1:10" s="70" customFormat="1" hidden="1">
      <c r="A71" s="352"/>
      <c r="B71" s="69" t="s">
        <v>101</v>
      </c>
      <c r="C71" s="348"/>
      <c r="D71" s="57" t="s">
        <v>48</v>
      </c>
      <c r="E71" s="58"/>
      <c r="F71" s="59"/>
      <c r="G71" s="58" t="s">
        <v>41</v>
      </c>
      <c r="H71" s="58"/>
      <c r="I71" s="58">
        <f>IF(G71&lt;&gt;"",5,0)</f>
        <v>5</v>
      </c>
      <c r="J71" s="58" t="s">
        <v>97</v>
      </c>
    </row>
    <row r="72" spans="1:10" s="70" customFormat="1" hidden="1">
      <c r="A72" s="352"/>
      <c r="B72" s="69" t="s">
        <v>101</v>
      </c>
      <c r="C72" s="348"/>
      <c r="D72" s="60" t="s">
        <v>50</v>
      </c>
      <c r="E72" s="61"/>
      <c r="F72" s="62"/>
      <c r="G72" s="61"/>
      <c r="H72" s="61"/>
      <c r="I72" s="61">
        <v>20</v>
      </c>
      <c r="J72" s="61"/>
    </row>
    <row r="73" spans="1:10">
      <c r="A73" s="348">
        <v>15</v>
      </c>
      <c r="B73" s="56" t="s">
        <v>68</v>
      </c>
      <c r="C73" s="351" t="s">
        <v>112</v>
      </c>
      <c r="D73" s="71" t="s">
        <v>39</v>
      </c>
      <c r="E73" s="72"/>
      <c r="F73" s="73" t="s">
        <v>113</v>
      </c>
      <c r="G73" s="72"/>
      <c r="H73" s="72" t="s">
        <v>41</v>
      </c>
      <c r="I73" s="58">
        <f>IF(G73&lt;&gt;"",5,0)</f>
        <v>0</v>
      </c>
      <c r="J73" s="357" t="s">
        <v>114</v>
      </c>
    </row>
    <row r="74" spans="1:10" hidden="1">
      <c r="A74" s="348"/>
      <c r="B74" s="56" t="s">
        <v>68</v>
      </c>
      <c r="C74" s="351"/>
      <c r="D74" s="71" t="s">
        <v>43</v>
      </c>
      <c r="E74" s="72" t="s">
        <v>44</v>
      </c>
      <c r="F74" s="73" t="s">
        <v>115</v>
      </c>
      <c r="G74" s="72" t="s">
        <v>41</v>
      </c>
      <c r="H74" s="72"/>
      <c r="I74" s="72">
        <v>5</v>
      </c>
      <c r="J74" s="357"/>
    </row>
    <row r="75" spans="1:10" hidden="1">
      <c r="A75" s="348"/>
      <c r="B75" s="56" t="s">
        <v>68</v>
      </c>
      <c r="C75" s="351"/>
      <c r="D75" s="71" t="s">
        <v>46</v>
      </c>
      <c r="E75" s="72"/>
      <c r="F75" s="73" t="s">
        <v>116</v>
      </c>
      <c r="G75" s="72" t="s">
        <v>41</v>
      </c>
      <c r="H75" s="72"/>
      <c r="I75" s="58">
        <f>IF(G75&lt;&gt;"",5,0)</f>
        <v>5</v>
      </c>
      <c r="J75" s="357"/>
    </row>
    <row r="76" spans="1:10" hidden="1">
      <c r="A76" s="348"/>
      <c r="B76" s="56" t="s">
        <v>68</v>
      </c>
      <c r="C76" s="351"/>
      <c r="D76" s="71" t="s">
        <v>48</v>
      </c>
      <c r="E76" s="72"/>
      <c r="F76" s="73" t="s">
        <v>117</v>
      </c>
      <c r="G76" s="72"/>
      <c r="H76" s="72" t="s">
        <v>41</v>
      </c>
      <c r="I76" s="58">
        <f>IF(G76&lt;&gt;"",5,0)</f>
        <v>0</v>
      </c>
      <c r="J76" s="357"/>
    </row>
    <row r="77" spans="1:10" hidden="1">
      <c r="A77" s="348"/>
      <c r="B77" s="56" t="s">
        <v>68</v>
      </c>
      <c r="C77" s="351"/>
      <c r="D77" s="74" t="s">
        <v>50</v>
      </c>
      <c r="E77" s="75"/>
      <c r="F77" s="76"/>
      <c r="G77" s="75"/>
      <c r="H77" s="75"/>
      <c r="I77" s="75">
        <v>5</v>
      </c>
      <c r="J77" s="357"/>
    </row>
    <row r="78" spans="1:10" s="70" customFormat="1">
      <c r="A78" s="352">
        <v>16</v>
      </c>
      <c r="B78" s="69" t="s">
        <v>89</v>
      </c>
      <c r="C78" s="351" t="s">
        <v>118</v>
      </c>
      <c r="D78" s="71" t="s">
        <v>39</v>
      </c>
      <c r="E78" s="72"/>
      <c r="F78" s="73" t="s">
        <v>119</v>
      </c>
      <c r="G78" s="72" t="s">
        <v>41</v>
      </c>
      <c r="H78" s="72"/>
      <c r="I78" s="58">
        <f>IF(G78&lt;&gt;"",5,0)</f>
        <v>5</v>
      </c>
      <c r="J78" s="357"/>
    </row>
    <row r="79" spans="1:10" s="70" customFormat="1" hidden="1">
      <c r="A79" s="352"/>
      <c r="B79" s="69" t="s">
        <v>89</v>
      </c>
      <c r="C79" s="351"/>
      <c r="D79" s="71" t="s">
        <v>43</v>
      </c>
      <c r="E79" s="72" t="s">
        <v>44</v>
      </c>
      <c r="F79" s="73" t="s">
        <v>115</v>
      </c>
      <c r="G79" s="72" t="s">
        <v>41</v>
      </c>
      <c r="H79" s="72"/>
      <c r="I79" s="58">
        <f>IF(G79&lt;&gt;"",5,0)</f>
        <v>5</v>
      </c>
      <c r="J79" s="357"/>
    </row>
    <row r="80" spans="1:10" s="70" customFormat="1" hidden="1">
      <c r="A80" s="352"/>
      <c r="B80" s="69" t="s">
        <v>89</v>
      </c>
      <c r="C80" s="351"/>
      <c r="D80" s="71" t="s">
        <v>46</v>
      </c>
      <c r="E80" s="72"/>
      <c r="F80" s="73" t="s">
        <v>120</v>
      </c>
      <c r="G80" s="72" t="s">
        <v>41</v>
      </c>
      <c r="H80" s="72"/>
      <c r="I80" s="58">
        <f>IF(G80&lt;&gt;"",5,0)</f>
        <v>5</v>
      </c>
      <c r="J80" s="357"/>
    </row>
    <row r="81" spans="1:10" s="70" customFormat="1" hidden="1">
      <c r="A81" s="352"/>
      <c r="B81" s="69" t="s">
        <v>89</v>
      </c>
      <c r="C81" s="351"/>
      <c r="D81" s="71" t="s">
        <v>48</v>
      </c>
      <c r="E81" s="72"/>
      <c r="F81" s="73" t="s">
        <v>121</v>
      </c>
      <c r="G81" s="72" t="s">
        <v>41</v>
      </c>
      <c r="H81" s="72"/>
      <c r="I81" s="58">
        <f>IF(G81&lt;&gt;"",5,0)</f>
        <v>5</v>
      </c>
      <c r="J81" s="357"/>
    </row>
    <row r="82" spans="1:10" s="70" customFormat="1" hidden="1">
      <c r="A82" s="352"/>
      <c r="B82" s="69" t="s">
        <v>89</v>
      </c>
      <c r="C82" s="351"/>
      <c r="D82" s="74" t="s">
        <v>50</v>
      </c>
      <c r="E82" s="75"/>
      <c r="F82" s="76"/>
      <c r="G82" s="75"/>
      <c r="H82" s="75"/>
      <c r="I82" s="75">
        <v>20</v>
      </c>
      <c r="J82" s="357"/>
    </row>
    <row r="83" spans="1:10" ht="30">
      <c r="A83" s="348">
        <v>17</v>
      </c>
      <c r="B83" s="56" t="s">
        <v>75</v>
      </c>
      <c r="C83" s="351" t="s">
        <v>122</v>
      </c>
      <c r="D83" s="71" t="s">
        <v>39</v>
      </c>
      <c r="E83" s="72"/>
      <c r="F83" s="73" t="s">
        <v>123</v>
      </c>
      <c r="G83" s="72"/>
      <c r="H83" s="72" t="s">
        <v>41</v>
      </c>
      <c r="I83" s="58">
        <f>IF(G83&lt;&gt;"",5,0)</f>
        <v>0</v>
      </c>
      <c r="J83" s="357" t="s">
        <v>124</v>
      </c>
    </row>
    <row r="84" spans="1:10" hidden="1">
      <c r="A84" s="348"/>
      <c r="B84" s="56" t="s">
        <v>75</v>
      </c>
      <c r="C84" s="351"/>
      <c r="D84" s="71" t="s">
        <v>43</v>
      </c>
      <c r="E84" s="72" t="s">
        <v>44</v>
      </c>
      <c r="F84" s="73" t="s">
        <v>115</v>
      </c>
      <c r="G84" s="72" t="s">
        <v>41</v>
      </c>
      <c r="H84" s="72"/>
      <c r="I84" s="72">
        <v>5</v>
      </c>
      <c r="J84" s="357"/>
    </row>
    <row r="85" spans="1:10" ht="30" hidden="1">
      <c r="A85" s="348"/>
      <c r="B85" s="56" t="s">
        <v>75</v>
      </c>
      <c r="C85" s="351"/>
      <c r="D85" s="71" t="s">
        <v>46</v>
      </c>
      <c r="E85" s="72"/>
      <c r="F85" s="73" t="s">
        <v>125</v>
      </c>
      <c r="G85" s="72" t="s">
        <v>41</v>
      </c>
      <c r="H85" s="72"/>
      <c r="I85" s="58">
        <f>IF(G85&lt;&gt;"",5,0)</f>
        <v>5</v>
      </c>
      <c r="J85" s="357"/>
    </row>
    <row r="86" spans="1:10" hidden="1">
      <c r="A86" s="348"/>
      <c r="B86" s="56" t="s">
        <v>75</v>
      </c>
      <c r="C86" s="351"/>
      <c r="D86" s="71" t="s">
        <v>48</v>
      </c>
      <c r="E86" s="72"/>
      <c r="F86" s="73" t="s">
        <v>126</v>
      </c>
      <c r="G86" s="72" t="s">
        <v>41</v>
      </c>
      <c r="H86" s="72"/>
      <c r="I86" s="72">
        <v>5</v>
      </c>
      <c r="J86" s="357"/>
    </row>
    <row r="87" spans="1:10" hidden="1">
      <c r="A87" s="348"/>
      <c r="B87" s="56" t="s">
        <v>75</v>
      </c>
      <c r="C87" s="351"/>
      <c r="D87" s="74" t="s">
        <v>50</v>
      </c>
      <c r="E87" s="75"/>
      <c r="F87" s="76"/>
      <c r="G87" s="75"/>
      <c r="H87" s="75"/>
      <c r="I87" s="75">
        <v>10</v>
      </c>
      <c r="J87" s="357"/>
    </row>
    <row r="88" spans="1:10">
      <c r="A88" s="348">
        <v>18</v>
      </c>
      <c r="B88" s="56" t="s">
        <v>127</v>
      </c>
      <c r="C88" s="355" t="s">
        <v>128</v>
      </c>
      <c r="D88" s="77" t="s">
        <v>39</v>
      </c>
      <c r="E88" s="78"/>
      <c r="F88" s="79" t="s">
        <v>129</v>
      </c>
      <c r="G88" s="78" t="s">
        <v>41</v>
      </c>
      <c r="H88" s="78"/>
      <c r="I88" s="78">
        <v>5</v>
      </c>
      <c r="J88" s="356" t="s">
        <v>130</v>
      </c>
    </row>
    <row r="89" spans="1:10" hidden="1">
      <c r="A89" s="348"/>
      <c r="B89" s="56" t="s">
        <v>127</v>
      </c>
      <c r="C89" s="355"/>
      <c r="D89" s="77" t="s">
        <v>43</v>
      </c>
      <c r="E89" s="78" t="s">
        <v>44</v>
      </c>
      <c r="F89" s="79" t="s">
        <v>131</v>
      </c>
      <c r="G89" s="78" t="s">
        <v>41</v>
      </c>
      <c r="H89" s="78"/>
      <c r="I89" s="78">
        <v>5</v>
      </c>
      <c r="J89" s="356"/>
    </row>
    <row r="90" spans="1:10" hidden="1">
      <c r="A90" s="348"/>
      <c r="B90" s="56" t="s">
        <v>127</v>
      </c>
      <c r="C90" s="355"/>
      <c r="D90" s="77" t="s">
        <v>46</v>
      </c>
      <c r="E90" s="78"/>
      <c r="F90" s="79" t="s">
        <v>132</v>
      </c>
      <c r="G90" s="78" t="s">
        <v>41</v>
      </c>
      <c r="H90" s="78"/>
      <c r="I90" s="78">
        <v>5</v>
      </c>
      <c r="J90" s="356"/>
    </row>
    <row r="91" spans="1:10" ht="30" hidden="1">
      <c r="A91" s="348"/>
      <c r="B91" s="56" t="s">
        <v>127</v>
      </c>
      <c r="C91" s="355"/>
      <c r="D91" s="77" t="s">
        <v>48</v>
      </c>
      <c r="E91" s="78"/>
      <c r="F91" s="79" t="s">
        <v>133</v>
      </c>
      <c r="G91" s="78" t="s">
        <v>41</v>
      </c>
      <c r="H91" s="78"/>
      <c r="I91" s="78">
        <f>IF(G91&lt;&gt;"",5,"")</f>
        <v>5</v>
      </c>
      <c r="J91" s="356"/>
    </row>
    <row r="92" spans="1:10" hidden="1">
      <c r="A92" s="348"/>
      <c r="B92" s="56" t="s">
        <v>127</v>
      </c>
      <c r="C92" s="355"/>
      <c r="D92" s="80" t="s">
        <v>50</v>
      </c>
      <c r="E92" s="81"/>
      <c r="F92" s="82"/>
      <c r="G92" s="81"/>
      <c r="H92" s="81"/>
      <c r="I92" s="81">
        <f>SUBTOTAL(9,I88:I91)</f>
        <v>5</v>
      </c>
      <c r="J92" s="356"/>
    </row>
    <row r="93" spans="1:10">
      <c r="A93" s="348">
        <v>19</v>
      </c>
      <c r="B93" s="56" t="s">
        <v>127</v>
      </c>
      <c r="C93" s="355" t="s">
        <v>134</v>
      </c>
      <c r="D93" s="77" t="s">
        <v>39</v>
      </c>
      <c r="E93" s="78"/>
      <c r="F93" s="79" t="s">
        <v>135</v>
      </c>
      <c r="G93" s="78" t="s">
        <v>41</v>
      </c>
      <c r="H93" s="78"/>
      <c r="I93" s="78">
        <v>5</v>
      </c>
      <c r="J93" s="356" t="s">
        <v>136</v>
      </c>
    </row>
    <row r="94" spans="1:10" hidden="1">
      <c r="A94" s="348"/>
      <c r="B94" s="56" t="s">
        <v>127</v>
      </c>
      <c r="C94" s="355"/>
      <c r="D94" s="77" t="s">
        <v>43</v>
      </c>
      <c r="E94" s="78" t="s">
        <v>44</v>
      </c>
      <c r="F94" s="79" t="s">
        <v>131</v>
      </c>
      <c r="G94" s="78" t="s">
        <v>41</v>
      </c>
      <c r="H94" s="78"/>
      <c r="I94" s="78">
        <v>5</v>
      </c>
      <c r="J94" s="356"/>
    </row>
    <row r="95" spans="1:10" hidden="1">
      <c r="A95" s="348"/>
      <c r="B95" s="56" t="s">
        <v>127</v>
      </c>
      <c r="C95" s="355"/>
      <c r="D95" s="77" t="s">
        <v>46</v>
      </c>
      <c r="E95" s="78"/>
      <c r="F95" s="79" t="s">
        <v>137</v>
      </c>
      <c r="G95" s="78" t="s">
        <v>41</v>
      </c>
      <c r="H95" s="78"/>
      <c r="I95" s="78">
        <v>5</v>
      </c>
      <c r="J95" s="356"/>
    </row>
    <row r="96" spans="1:10" hidden="1">
      <c r="A96" s="348"/>
      <c r="B96" s="56" t="s">
        <v>127</v>
      </c>
      <c r="C96" s="355"/>
      <c r="D96" s="77" t="s">
        <v>48</v>
      </c>
      <c r="E96" s="78"/>
      <c r="F96" s="79" t="s">
        <v>138</v>
      </c>
      <c r="G96" s="78" t="s">
        <v>41</v>
      </c>
      <c r="H96" s="78"/>
      <c r="I96" s="78">
        <f>IF(G96&lt;&gt;"",5,"")</f>
        <v>5</v>
      </c>
      <c r="J96" s="356"/>
    </row>
    <row r="97" spans="1:10" hidden="1">
      <c r="A97" s="348"/>
      <c r="B97" s="56" t="s">
        <v>127</v>
      </c>
      <c r="C97" s="355"/>
      <c r="D97" s="80" t="s">
        <v>50</v>
      </c>
      <c r="E97" s="81"/>
      <c r="F97" s="82"/>
      <c r="G97" s="81"/>
      <c r="H97" s="81"/>
      <c r="I97" s="81">
        <f>SUBTOTAL(9,I93:I96)</f>
        <v>5</v>
      </c>
      <c r="J97" s="356"/>
    </row>
    <row r="98" spans="1:10">
      <c r="A98" s="348">
        <v>20</v>
      </c>
      <c r="B98" s="56" t="s">
        <v>127</v>
      </c>
      <c r="C98" s="354" t="s">
        <v>139</v>
      </c>
      <c r="D98" s="57" t="s">
        <v>39</v>
      </c>
      <c r="E98" s="58"/>
      <c r="F98" s="59" t="s">
        <v>140</v>
      </c>
      <c r="G98" s="58" t="s">
        <v>41</v>
      </c>
      <c r="H98" s="58"/>
      <c r="I98" s="58">
        <f>IF(G98&lt;&gt;"",5,"")</f>
        <v>5</v>
      </c>
      <c r="J98" s="58" t="s">
        <v>141</v>
      </c>
    </row>
    <row r="99" spans="1:10" hidden="1">
      <c r="A99" s="348"/>
      <c r="B99" s="56" t="s">
        <v>127</v>
      </c>
      <c r="C99" s="354"/>
      <c r="D99" s="57" t="s">
        <v>43</v>
      </c>
      <c r="E99" s="58" t="s">
        <v>44</v>
      </c>
      <c r="F99" s="59" t="s">
        <v>108</v>
      </c>
      <c r="G99" s="58" t="s">
        <v>41</v>
      </c>
      <c r="H99" s="58"/>
      <c r="I99" s="58">
        <f>IF(G99&lt;&gt;"",5,"")</f>
        <v>5</v>
      </c>
      <c r="J99" s="58" t="s">
        <v>141</v>
      </c>
    </row>
    <row r="100" spans="1:10" hidden="1">
      <c r="A100" s="348"/>
      <c r="B100" s="56" t="s">
        <v>127</v>
      </c>
      <c r="C100" s="354"/>
      <c r="D100" s="57" t="s">
        <v>46</v>
      </c>
      <c r="E100" s="58"/>
      <c r="F100" s="59" t="s">
        <v>142</v>
      </c>
      <c r="G100" s="58" t="s">
        <v>41</v>
      </c>
      <c r="H100" s="58"/>
      <c r="I100" s="58">
        <f>IF(G100&lt;&gt;"",5,"")</f>
        <v>5</v>
      </c>
      <c r="J100" s="58" t="s">
        <v>141</v>
      </c>
    </row>
    <row r="101" spans="1:10" hidden="1">
      <c r="A101" s="348"/>
      <c r="B101" s="56" t="s">
        <v>127</v>
      </c>
      <c r="C101" s="354"/>
      <c r="D101" s="57" t="s">
        <v>48</v>
      </c>
      <c r="E101" s="58"/>
      <c r="F101" s="59" t="s">
        <v>143</v>
      </c>
      <c r="G101" s="58" t="s">
        <v>41</v>
      </c>
      <c r="H101" s="58"/>
      <c r="I101" s="78">
        <f>IF(G101&lt;&gt;"",5,"")</f>
        <v>5</v>
      </c>
      <c r="J101" s="58" t="s">
        <v>141</v>
      </c>
    </row>
    <row r="102" spans="1:10" hidden="1">
      <c r="A102" s="348"/>
      <c r="B102" s="56" t="s">
        <v>127</v>
      </c>
      <c r="C102" s="354"/>
      <c r="D102" s="60" t="s">
        <v>50</v>
      </c>
      <c r="E102" s="61"/>
      <c r="F102" s="62"/>
      <c r="G102" s="61"/>
      <c r="H102" s="61"/>
      <c r="I102" s="61">
        <f>SUM(I98:I101)</f>
        <v>20</v>
      </c>
      <c r="J102" s="61"/>
    </row>
    <row r="103" spans="1:10">
      <c r="A103" s="348">
        <v>21</v>
      </c>
      <c r="B103" s="56" t="s">
        <v>127</v>
      </c>
      <c r="C103" s="354" t="s">
        <v>144</v>
      </c>
      <c r="D103" s="57" t="s">
        <v>39</v>
      </c>
      <c r="E103" s="58"/>
      <c r="F103" s="59" t="s">
        <v>145</v>
      </c>
      <c r="G103" s="58"/>
      <c r="H103" s="58" t="s">
        <v>41</v>
      </c>
      <c r="I103" s="58">
        <f>IF(G103&lt;&gt;"",5,0)</f>
        <v>0</v>
      </c>
      <c r="J103" s="58" t="s">
        <v>146</v>
      </c>
    </row>
    <row r="104" spans="1:10" hidden="1">
      <c r="A104" s="348"/>
      <c r="B104" s="56" t="s">
        <v>127</v>
      </c>
      <c r="C104" s="354"/>
      <c r="D104" s="57" t="s">
        <v>43</v>
      </c>
      <c r="E104" s="58" t="s">
        <v>44</v>
      </c>
      <c r="F104" s="59" t="s">
        <v>108</v>
      </c>
      <c r="G104" s="58" t="s">
        <v>41</v>
      </c>
      <c r="H104" s="58"/>
      <c r="I104" s="58">
        <f>IF(G104&lt;&gt;"",5,"")</f>
        <v>5</v>
      </c>
      <c r="J104" s="58" t="s">
        <v>141</v>
      </c>
    </row>
    <row r="105" spans="1:10" hidden="1">
      <c r="A105" s="348"/>
      <c r="B105" s="56" t="s">
        <v>127</v>
      </c>
      <c r="C105" s="354"/>
      <c r="D105" s="57" t="s">
        <v>46</v>
      </c>
      <c r="E105" s="58"/>
      <c r="F105" s="59" t="s">
        <v>147</v>
      </c>
      <c r="G105" s="58" t="s">
        <v>41</v>
      </c>
      <c r="H105" s="58"/>
      <c r="I105" s="58">
        <f>IF(G105&lt;&gt;"",5,0)</f>
        <v>5</v>
      </c>
      <c r="J105" s="58" t="s">
        <v>141</v>
      </c>
    </row>
    <row r="106" spans="1:10" hidden="1">
      <c r="A106" s="348"/>
      <c r="B106" s="56" t="s">
        <v>127</v>
      </c>
      <c r="C106" s="354"/>
      <c r="D106" s="57" t="s">
        <v>48</v>
      </c>
      <c r="E106" s="58"/>
      <c r="F106" s="59" t="s">
        <v>148</v>
      </c>
      <c r="G106" s="58" t="s">
        <v>41</v>
      </c>
      <c r="H106" s="58"/>
      <c r="I106" s="58">
        <f>IF(G106&lt;&gt;"",5,"")</f>
        <v>5</v>
      </c>
      <c r="J106" s="58" t="s">
        <v>141</v>
      </c>
    </row>
    <row r="107" spans="1:10" hidden="1">
      <c r="A107" s="348"/>
      <c r="B107" s="56" t="s">
        <v>127</v>
      </c>
      <c r="C107" s="354"/>
      <c r="D107" s="60" t="s">
        <v>50</v>
      </c>
      <c r="E107" s="61"/>
      <c r="F107" s="62"/>
      <c r="G107" s="61"/>
      <c r="H107" s="61"/>
      <c r="I107" s="61">
        <f>SUM(I103:I106)</f>
        <v>15</v>
      </c>
      <c r="J107" s="61"/>
    </row>
    <row r="108" spans="1:10">
      <c r="A108" s="348">
        <v>22</v>
      </c>
      <c r="B108" s="56" t="s">
        <v>37</v>
      </c>
      <c r="C108" s="353" t="s">
        <v>149</v>
      </c>
      <c r="D108" s="57" t="s">
        <v>39</v>
      </c>
      <c r="E108" s="58"/>
      <c r="F108" s="59" t="s">
        <v>150</v>
      </c>
      <c r="G108" s="58" t="s">
        <v>41</v>
      </c>
      <c r="H108" s="58"/>
      <c r="I108" s="58">
        <v>5</v>
      </c>
      <c r="J108" s="58" t="s">
        <v>141</v>
      </c>
    </row>
    <row r="109" spans="1:10" hidden="1">
      <c r="A109" s="348"/>
      <c r="B109" s="56" t="s">
        <v>37</v>
      </c>
      <c r="C109" s="353"/>
      <c r="D109" s="57" t="s">
        <v>43</v>
      </c>
      <c r="E109" s="58" t="s">
        <v>44</v>
      </c>
      <c r="F109" s="59" t="s">
        <v>151</v>
      </c>
      <c r="G109" s="58" t="s">
        <v>41</v>
      </c>
      <c r="H109" s="58"/>
      <c r="I109" s="58">
        <f>IF(G109&lt;&gt;"",5,"")</f>
        <v>5</v>
      </c>
      <c r="J109" s="58" t="s">
        <v>141</v>
      </c>
    </row>
    <row r="110" spans="1:10" hidden="1">
      <c r="A110" s="348"/>
      <c r="B110" s="56" t="s">
        <v>37</v>
      </c>
      <c r="C110" s="353"/>
      <c r="D110" s="57" t="s">
        <v>46</v>
      </c>
      <c r="E110" s="58"/>
      <c r="F110" s="59" t="s">
        <v>152</v>
      </c>
      <c r="G110" s="58" t="s">
        <v>41</v>
      </c>
      <c r="H110" s="58"/>
      <c r="I110" s="58">
        <v>5</v>
      </c>
      <c r="J110" s="58" t="s">
        <v>141</v>
      </c>
    </row>
    <row r="111" spans="1:10" hidden="1">
      <c r="A111" s="348"/>
      <c r="B111" s="56" t="s">
        <v>37</v>
      </c>
      <c r="C111" s="353"/>
      <c r="D111" s="57" t="s">
        <v>48</v>
      </c>
      <c r="E111" s="58"/>
      <c r="F111" s="59" t="s">
        <v>153</v>
      </c>
      <c r="G111" s="58"/>
      <c r="H111" s="58" t="s">
        <v>41</v>
      </c>
      <c r="I111" s="58">
        <f>IF(G111&lt;&gt;"",5,0)</f>
        <v>0</v>
      </c>
      <c r="J111" s="58" t="s">
        <v>141</v>
      </c>
    </row>
    <row r="112" spans="1:10" hidden="1">
      <c r="A112" s="348"/>
      <c r="B112" s="56" t="s">
        <v>37</v>
      </c>
      <c r="C112" s="353"/>
      <c r="D112" s="60" t="s">
        <v>50</v>
      </c>
      <c r="E112" s="61"/>
      <c r="F112" s="62"/>
      <c r="G112" s="61"/>
      <c r="H112" s="61"/>
      <c r="I112" s="61">
        <f>SUM(I108:I111)</f>
        <v>15</v>
      </c>
      <c r="J112" s="61"/>
    </row>
    <row r="113" spans="1:10" s="70" customFormat="1" ht="15" customHeight="1">
      <c r="A113" s="352">
        <v>23</v>
      </c>
      <c r="B113" s="69" t="s">
        <v>154</v>
      </c>
      <c r="C113" s="354" t="s">
        <v>155</v>
      </c>
      <c r="D113" s="57" t="s">
        <v>39</v>
      </c>
      <c r="E113" s="58"/>
      <c r="F113" s="59" t="s">
        <v>156</v>
      </c>
      <c r="G113" s="58"/>
      <c r="H113" s="58" t="s">
        <v>41</v>
      </c>
      <c r="I113" s="58">
        <v>0</v>
      </c>
      <c r="J113" s="58" t="s">
        <v>157</v>
      </c>
    </row>
    <row r="114" spans="1:10" s="70" customFormat="1" hidden="1">
      <c r="A114" s="352"/>
      <c r="B114" s="69" t="s">
        <v>154</v>
      </c>
      <c r="C114" s="354"/>
      <c r="D114" s="57" t="s">
        <v>43</v>
      </c>
      <c r="E114" s="58" t="s">
        <v>44</v>
      </c>
      <c r="F114" s="59" t="s">
        <v>158</v>
      </c>
      <c r="G114" s="58" t="s">
        <v>41</v>
      </c>
      <c r="H114" s="58"/>
      <c r="I114" s="58">
        <f>IF(G114&lt;&gt;"",5,"")</f>
        <v>5</v>
      </c>
      <c r="J114" s="58" t="s">
        <v>141</v>
      </c>
    </row>
    <row r="115" spans="1:10" s="70" customFormat="1" hidden="1">
      <c r="A115" s="352"/>
      <c r="B115" s="69" t="s">
        <v>154</v>
      </c>
      <c r="C115" s="354"/>
      <c r="D115" s="57" t="s">
        <v>46</v>
      </c>
      <c r="E115" s="58"/>
      <c r="F115" s="59" t="s">
        <v>61</v>
      </c>
      <c r="G115" s="58" t="s">
        <v>41</v>
      </c>
      <c r="H115" s="58"/>
      <c r="I115" s="58">
        <v>5</v>
      </c>
      <c r="J115" s="58" t="s">
        <v>141</v>
      </c>
    </row>
    <row r="116" spans="1:10" s="70" customFormat="1" hidden="1">
      <c r="A116" s="352"/>
      <c r="B116" s="69" t="s">
        <v>154</v>
      </c>
      <c r="C116" s="354"/>
      <c r="D116" s="57" t="s">
        <v>48</v>
      </c>
      <c r="E116" s="58"/>
      <c r="F116" s="59" t="s">
        <v>159</v>
      </c>
      <c r="G116" s="58" t="s">
        <v>41</v>
      </c>
      <c r="H116" s="58"/>
      <c r="I116" s="58">
        <v>5</v>
      </c>
      <c r="J116" s="58" t="s">
        <v>141</v>
      </c>
    </row>
    <row r="117" spans="1:10" s="70" customFormat="1" hidden="1">
      <c r="A117" s="352"/>
      <c r="B117" s="69" t="s">
        <v>154</v>
      </c>
      <c r="C117" s="354"/>
      <c r="D117" s="60" t="s">
        <v>50</v>
      </c>
      <c r="E117" s="61"/>
      <c r="F117" s="62"/>
      <c r="G117" s="61"/>
      <c r="H117" s="61"/>
      <c r="I117" s="61">
        <f>SUM(I113:I116)</f>
        <v>15</v>
      </c>
      <c r="J117" s="61"/>
    </row>
    <row r="118" spans="1:10">
      <c r="A118" s="348">
        <v>24</v>
      </c>
      <c r="B118" s="56" t="s">
        <v>55</v>
      </c>
      <c r="C118" s="348" t="s">
        <v>160</v>
      </c>
      <c r="D118" s="57" t="s">
        <v>39</v>
      </c>
      <c r="E118" s="58"/>
      <c r="F118" s="59" t="s">
        <v>161</v>
      </c>
      <c r="G118" s="58"/>
      <c r="H118" s="58" t="s">
        <v>41</v>
      </c>
      <c r="I118" s="58">
        <f>IF(G118&lt;&gt;"",5,0)</f>
        <v>0</v>
      </c>
      <c r="J118" s="58" t="s">
        <v>162</v>
      </c>
    </row>
    <row r="119" spans="1:10" hidden="1">
      <c r="A119" s="348"/>
      <c r="B119" s="56" t="s">
        <v>55</v>
      </c>
      <c r="C119" s="348"/>
      <c r="D119" s="57" t="s">
        <v>43</v>
      </c>
      <c r="E119" s="58" t="s">
        <v>44</v>
      </c>
      <c r="F119" s="59" t="s">
        <v>108</v>
      </c>
      <c r="G119" s="58" t="s">
        <v>41</v>
      </c>
      <c r="H119" s="58"/>
      <c r="I119" s="58">
        <f>IF(G119&lt;&gt;"",5,"")</f>
        <v>5</v>
      </c>
      <c r="J119" s="58" t="s">
        <v>141</v>
      </c>
    </row>
    <row r="120" spans="1:10" hidden="1">
      <c r="A120" s="348"/>
      <c r="B120" s="56" t="s">
        <v>55</v>
      </c>
      <c r="C120" s="348"/>
      <c r="D120" s="57" t="s">
        <v>46</v>
      </c>
      <c r="E120" s="58"/>
      <c r="F120" s="59" t="s">
        <v>163</v>
      </c>
      <c r="G120" s="58" t="s">
        <v>41</v>
      </c>
      <c r="H120" s="58"/>
      <c r="I120" s="58">
        <f>IF(G120&lt;&gt;"",5,"")</f>
        <v>5</v>
      </c>
      <c r="J120" s="58" t="s">
        <v>141</v>
      </c>
    </row>
    <row r="121" spans="1:10" hidden="1">
      <c r="A121" s="348"/>
      <c r="B121" s="56" t="s">
        <v>55</v>
      </c>
      <c r="C121" s="348"/>
      <c r="D121" s="57" t="s">
        <v>48</v>
      </c>
      <c r="E121" s="58"/>
      <c r="F121" s="59" t="s">
        <v>164</v>
      </c>
      <c r="G121" s="58"/>
      <c r="H121" s="58" t="s">
        <v>41</v>
      </c>
      <c r="I121" s="58">
        <v>5</v>
      </c>
      <c r="J121" s="58" t="s">
        <v>141</v>
      </c>
    </row>
    <row r="122" spans="1:10" hidden="1">
      <c r="A122" s="348"/>
      <c r="B122" s="56" t="s">
        <v>55</v>
      </c>
      <c r="C122" s="348"/>
      <c r="D122" s="60" t="s">
        <v>50</v>
      </c>
      <c r="E122" s="61"/>
      <c r="F122" s="62"/>
      <c r="G122" s="61"/>
      <c r="H122" s="61"/>
      <c r="I122" s="61">
        <f>SUM(I118:I121)</f>
        <v>15</v>
      </c>
      <c r="J122" s="61"/>
    </row>
    <row r="123" spans="1:10">
      <c r="A123" s="348">
        <v>25</v>
      </c>
      <c r="B123" s="56" t="s">
        <v>127</v>
      </c>
      <c r="C123" s="348" t="s">
        <v>165</v>
      </c>
      <c r="D123" s="57" t="s">
        <v>39</v>
      </c>
      <c r="E123" s="58"/>
      <c r="F123" s="59" t="s">
        <v>166</v>
      </c>
      <c r="G123" s="58" t="s">
        <v>41</v>
      </c>
      <c r="H123" s="58"/>
      <c r="I123" s="58">
        <v>5</v>
      </c>
      <c r="J123" s="58" t="s">
        <v>141</v>
      </c>
    </row>
    <row r="124" spans="1:10" hidden="1">
      <c r="A124" s="348"/>
      <c r="B124" s="56" t="s">
        <v>127</v>
      </c>
      <c r="C124" s="348"/>
      <c r="D124" s="57" t="s">
        <v>43</v>
      </c>
      <c r="E124" s="58" t="s">
        <v>44</v>
      </c>
      <c r="F124" s="59" t="s">
        <v>108</v>
      </c>
      <c r="G124" s="58" t="s">
        <v>41</v>
      </c>
      <c r="H124" s="58"/>
      <c r="I124" s="58">
        <v>5</v>
      </c>
      <c r="J124" s="58" t="s">
        <v>141</v>
      </c>
    </row>
    <row r="125" spans="1:10" hidden="1">
      <c r="A125" s="348"/>
      <c r="B125" s="56" t="s">
        <v>127</v>
      </c>
      <c r="C125" s="348"/>
      <c r="D125" s="57" t="s">
        <v>46</v>
      </c>
      <c r="E125" s="58"/>
      <c r="F125" s="59" t="s">
        <v>167</v>
      </c>
      <c r="G125" s="58" t="s">
        <v>41</v>
      </c>
      <c r="H125" s="58"/>
      <c r="I125" s="58">
        <v>5</v>
      </c>
      <c r="J125" s="58" t="s">
        <v>141</v>
      </c>
    </row>
    <row r="126" spans="1:10" hidden="1">
      <c r="A126" s="348"/>
      <c r="B126" s="56" t="s">
        <v>127</v>
      </c>
      <c r="C126" s="348"/>
      <c r="D126" s="57" t="s">
        <v>48</v>
      </c>
      <c r="E126" s="58"/>
      <c r="F126" s="59" t="s">
        <v>148</v>
      </c>
      <c r="G126" s="58" t="s">
        <v>41</v>
      </c>
      <c r="H126" s="58"/>
      <c r="I126" s="58">
        <v>5</v>
      </c>
      <c r="J126" s="58" t="s">
        <v>141</v>
      </c>
    </row>
    <row r="127" spans="1:10" hidden="1">
      <c r="A127" s="348"/>
      <c r="B127" s="56" t="s">
        <v>127</v>
      </c>
      <c r="C127" s="348"/>
      <c r="D127" s="60" t="s">
        <v>50</v>
      </c>
      <c r="E127" s="61"/>
      <c r="F127" s="62"/>
      <c r="G127" s="61"/>
      <c r="H127" s="61"/>
      <c r="I127" s="61">
        <f>SUM(I123:I126)</f>
        <v>20</v>
      </c>
      <c r="J127" s="61"/>
    </row>
    <row r="128" spans="1:10">
      <c r="A128" s="348">
        <v>26</v>
      </c>
      <c r="B128" s="56" t="s">
        <v>55</v>
      </c>
      <c r="C128" s="348" t="s">
        <v>168</v>
      </c>
      <c r="D128" s="57" t="s">
        <v>39</v>
      </c>
      <c r="E128" s="58"/>
      <c r="F128" s="59" t="s">
        <v>169</v>
      </c>
      <c r="G128" s="58"/>
      <c r="H128" s="58" t="s">
        <v>41</v>
      </c>
      <c r="I128" s="58">
        <f>IF(G128&lt;&gt;"",5,0)</f>
        <v>0</v>
      </c>
      <c r="J128" s="58" t="s">
        <v>42</v>
      </c>
    </row>
    <row r="129" spans="1:10" hidden="1">
      <c r="A129" s="348"/>
      <c r="B129" s="56" t="s">
        <v>55</v>
      </c>
      <c r="C129" s="348"/>
      <c r="D129" s="57" t="s">
        <v>43</v>
      </c>
      <c r="E129" s="58" t="s">
        <v>44</v>
      </c>
      <c r="F129" s="59" t="s">
        <v>108</v>
      </c>
      <c r="G129" s="58" t="s">
        <v>41</v>
      </c>
      <c r="H129" s="58"/>
      <c r="I129" s="58">
        <f>IF(G129&lt;&gt;"",5,0)</f>
        <v>5</v>
      </c>
      <c r="J129" s="58" t="s">
        <v>141</v>
      </c>
    </row>
    <row r="130" spans="1:10" hidden="1">
      <c r="A130" s="348"/>
      <c r="B130" s="56" t="s">
        <v>55</v>
      </c>
      <c r="C130" s="348"/>
      <c r="D130" s="57" t="s">
        <v>46</v>
      </c>
      <c r="E130" s="58"/>
      <c r="F130" s="59" t="s">
        <v>170</v>
      </c>
      <c r="G130" s="58" t="s">
        <v>41</v>
      </c>
      <c r="H130" s="58"/>
      <c r="I130" s="58">
        <f>IF(G130&lt;&gt;"",5,"")</f>
        <v>5</v>
      </c>
      <c r="J130" s="58" t="s">
        <v>141</v>
      </c>
    </row>
    <row r="131" spans="1:10" hidden="1">
      <c r="A131" s="348"/>
      <c r="B131" s="56" t="s">
        <v>55</v>
      </c>
      <c r="C131" s="348"/>
      <c r="D131" s="57" t="s">
        <v>48</v>
      </c>
      <c r="E131" s="58"/>
      <c r="F131" s="59" t="s">
        <v>171</v>
      </c>
      <c r="G131" s="58"/>
      <c r="H131" s="58" t="s">
        <v>41</v>
      </c>
      <c r="I131" s="58">
        <f>IF(G131&lt;&gt;"",5,0)</f>
        <v>0</v>
      </c>
      <c r="J131" s="58" t="s">
        <v>141</v>
      </c>
    </row>
    <row r="132" spans="1:10" hidden="1">
      <c r="A132" s="348"/>
      <c r="B132" s="56" t="s">
        <v>55</v>
      </c>
      <c r="C132" s="348"/>
      <c r="D132" s="60" t="s">
        <v>50</v>
      </c>
      <c r="E132" s="61"/>
      <c r="F132" s="62"/>
      <c r="G132" s="61"/>
      <c r="H132" s="61"/>
      <c r="I132" s="61">
        <f>SUM(I128:I131)</f>
        <v>10</v>
      </c>
      <c r="J132" s="61"/>
    </row>
    <row r="133" spans="1:10" s="70" customFormat="1">
      <c r="A133" s="352">
        <v>26</v>
      </c>
      <c r="B133" s="83" t="s">
        <v>94</v>
      </c>
      <c r="C133" s="348" t="s">
        <v>172</v>
      </c>
      <c r="D133" s="57" t="s">
        <v>39</v>
      </c>
      <c r="E133" s="58"/>
      <c r="F133" s="59" t="s">
        <v>173</v>
      </c>
      <c r="G133" s="58"/>
      <c r="H133" s="58" t="s">
        <v>41</v>
      </c>
      <c r="I133" s="58">
        <f>IF(G133&lt;&gt;"",5,0)</f>
        <v>0</v>
      </c>
      <c r="J133" s="58" t="s">
        <v>141</v>
      </c>
    </row>
    <row r="134" spans="1:10" s="70" customFormat="1" hidden="1">
      <c r="A134" s="352"/>
      <c r="B134" s="83" t="s">
        <v>94</v>
      </c>
      <c r="C134" s="348"/>
      <c r="D134" s="57" t="s">
        <v>43</v>
      </c>
      <c r="E134" s="58" t="s">
        <v>44</v>
      </c>
      <c r="F134" s="59" t="s">
        <v>108</v>
      </c>
      <c r="G134" s="58" t="s">
        <v>41</v>
      </c>
      <c r="H134" s="58"/>
      <c r="I134" s="58">
        <f>IF(G134&lt;&gt;"",5,0)</f>
        <v>5</v>
      </c>
      <c r="J134" s="58" t="s">
        <v>141</v>
      </c>
    </row>
    <row r="135" spans="1:10" s="70" customFormat="1" hidden="1">
      <c r="A135" s="352"/>
      <c r="B135" s="83" t="s">
        <v>94</v>
      </c>
      <c r="C135" s="348"/>
      <c r="D135" s="57" t="s">
        <v>46</v>
      </c>
      <c r="E135" s="58"/>
      <c r="F135" s="59" t="s">
        <v>109</v>
      </c>
      <c r="G135" s="58" t="s">
        <v>41</v>
      </c>
      <c r="H135" s="58"/>
      <c r="I135" s="58">
        <f>IF(G135&lt;&gt;"",5,0)</f>
        <v>5</v>
      </c>
      <c r="J135" s="58" t="s">
        <v>141</v>
      </c>
    </row>
    <row r="136" spans="1:10" s="70" customFormat="1" hidden="1">
      <c r="A136" s="352"/>
      <c r="B136" s="83" t="s">
        <v>94</v>
      </c>
      <c r="C136" s="348"/>
      <c r="D136" s="57" t="s">
        <v>48</v>
      </c>
      <c r="E136" s="58"/>
      <c r="F136" s="59"/>
      <c r="G136" s="58" t="s">
        <v>41</v>
      </c>
      <c r="H136" s="58"/>
      <c r="I136" s="58">
        <f>IF(G136&lt;&gt;"",5,0)</f>
        <v>5</v>
      </c>
      <c r="J136" s="58" t="s">
        <v>141</v>
      </c>
    </row>
    <row r="137" spans="1:10" s="70" customFormat="1" hidden="1">
      <c r="A137" s="352"/>
      <c r="B137" s="83" t="s">
        <v>94</v>
      </c>
      <c r="C137" s="348"/>
      <c r="D137" s="60" t="s">
        <v>50</v>
      </c>
      <c r="E137" s="61"/>
      <c r="F137" s="62"/>
      <c r="G137" s="61"/>
      <c r="H137" s="61"/>
      <c r="I137" s="61">
        <f>SUM(I133:I136)</f>
        <v>15</v>
      </c>
      <c r="J137" s="61"/>
    </row>
    <row r="138" spans="1:10" ht="15" customHeight="1">
      <c r="A138" s="347">
        <v>28</v>
      </c>
      <c r="B138" s="84" t="s">
        <v>89</v>
      </c>
      <c r="C138" s="347" t="s">
        <v>174</v>
      </c>
      <c r="D138" s="63" t="s">
        <v>39</v>
      </c>
      <c r="E138" s="64"/>
      <c r="F138" s="65" t="s">
        <v>175</v>
      </c>
      <c r="G138" s="64"/>
      <c r="H138" s="64" t="s">
        <v>41</v>
      </c>
      <c r="I138" s="58">
        <f>IF(G138&lt;&gt;"",5,0)</f>
        <v>0</v>
      </c>
      <c r="J138" s="63" t="s">
        <v>71</v>
      </c>
    </row>
    <row r="139" spans="1:10" hidden="1">
      <c r="A139" s="347"/>
      <c r="B139" s="84" t="s">
        <v>89</v>
      </c>
      <c r="C139" s="347"/>
      <c r="D139" s="63" t="s">
        <v>43</v>
      </c>
      <c r="E139" s="64" t="s">
        <v>44</v>
      </c>
      <c r="F139" s="65" t="s">
        <v>176</v>
      </c>
      <c r="G139" s="64" t="s">
        <v>41</v>
      </c>
      <c r="H139" s="64"/>
      <c r="I139" s="58">
        <f>IF(G139&lt;&gt;"",5,"0")</f>
        <v>5</v>
      </c>
      <c r="J139" s="63"/>
    </row>
    <row r="140" spans="1:10" hidden="1">
      <c r="A140" s="347"/>
      <c r="B140" s="84" t="s">
        <v>89</v>
      </c>
      <c r="C140" s="347"/>
      <c r="D140" s="63" t="s">
        <v>46</v>
      </c>
      <c r="E140" s="64"/>
      <c r="F140" s="65" t="s">
        <v>177</v>
      </c>
      <c r="G140" s="64"/>
      <c r="H140" s="64" t="s">
        <v>41</v>
      </c>
      <c r="I140" s="58">
        <f>IF(G140&lt;&gt;"",5,0)</f>
        <v>0</v>
      </c>
      <c r="J140" s="63" t="s">
        <v>178</v>
      </c>
    </row>
    <row r="141" spans="1:10" hidden="1">
      <c r="A141" s="347"/>
      <c r="B141" s="84" t="s">
        <v>89</v>
      </c>
      <c r="C141" s="347"/>
      <c r="D141" s="63" t="s">
        <v>48</v>
      </c>
      <c r="E141" s="64"/>
      <c r="F141" s="65"/>
      <c r="G141" s="64" t="s">
        <v>41</v>
      </c>
      <c r="H141" s="64"/>
      <c r="I141" s="58">
        <f>IF(G141&lt;&gt;"",5,"0")</f>
        <v>5</v>
      </c>
      <c r="J141" s="63"/>
    </row>
    <row r="142" spans="1:10" hidden="1">
      <c r="A142" s="347"/>
      <c r="B142" s="84" t="s">
        <v>89</v>
      </c>
      <c r="C142" s="347"/>
      <c r="D142" s="66" t="s">
        <v>50</v>
      </c>
      <c r="E142" s="67"/>
      <c r="F142" s="68"/>
      <c r="G142" s="67"/>
      <c r="H142" s="67"/>
      <c r="I142" s="67">
        <f>SUM(I138:I141)</f>
        <v>10</v>
      </c>
      <c r="J142" s="63"/>
    </row>
    <row r="143" spans="1:10">
      <c r="A143" s="347">
        <v>29</v>
      </c>
      <c r="B143" s="84" t="s">
        <v>68</v>
      </c>
      <c r="C143" s="347" t="s">
        <v>179</v>
      </c>
      <c r="D143" s="63" t="s">
        <v>39</v>
      </c>
      <c r="E143" s="64"/>
      <c r="F143" s="65" t="s">
        <v>180</v>
      </c>
      <c r="G143" s="64" t="s">
        <v>41</v>
      </c>
      <c r="H143" s="64"/>
      <c r="I143" s="64">
        <f>IF(G143&lt;&gt;"",5,"")</f>
        <v>5</v>
      </c>
      <c r="J143" s="63"/>
    </row>
    <row r="144" spans="1:10" hidden="1">
      <c r="A144" s="347"/>
      <c r="B144" s="84" t="s">
        <v>68</v>
      </c>
      <c r="C144" s="347"/>
      <c r="D144" s="63" t="s">
        <v>43</v>
      </c>
      <c r="E144" s="64" t="s">
        <v>44</v>
      </c>
      <c r="F144" s="65" t="s">
        <v>181</v>
      </c>
      <c r="G144" s="64" t="s">
        <v>41</v>
      </c>
      <c r="H144" s="64"/>
      <c r="I144" s="64">
        <f>IF(G144&lt;&gt;"",5,"")</f>
        <v>5</v>
      </c>
      <c r="J144" s="63"/>
    </row>
    <row r="145" spans="1:10" hidden="1">
      <c r="A145" s="347"/>
      <c r="B145" s="84" t="s">
        <v>68</v>
      </c>
      <c r="C145" s="347"/>
      <c r="D145" s="63" t="s">
        <v>46</v>
      </c>
      <c r="E145" s="64"/>
      <c r="F145" s="65" t="s">
        <v>182</v>
      </c>
      <c r="G145" s="64" t="s">
        <v>41</v>
      </c>
      <c r="H145" s="64"/>
      <c r="I145" s="64">
        <f>IF(G145&lt;&gt;"",5,"")</f>
        <v>5</v>
      </c>
      <c r="J145" s="63"/>
    </row>
    <row r="146" spans="1:10" hidden="1">
      <c r="A146" s="347"/>
      <c r="B146" s="84" t="s">
        <v>68</v>
      </c>
      <c r="C146" s="347"/>
      <c r="D146" s="63" t="s">
        <v>48</v>
      </c>
      <c r="E146" s="64"/>
      <c r="F146" s="65"/>
      <c r="G146" s="64" t="s">
        <v>41</v>
      </c>
      <c r="H146" s="64"/>
      <c r="I146" s="64">
        <f>IF(G146&lt;&gt;"",5,"")</f>
        <v>5</v>
      </c>
      <c r="J146" s="63"/>
    </row>
    <row r="147" spans="1:10" hidden="1">
      <c r="A147" s="347"/>
      <c r="B147" s="84" t="s">
        <v>68</v>
      </c>
      <c r="C147" s="347"/>
      <c r="D147" s="66" t="s">
        <v>50</v>
      </c>
      <c r="E147" s="67"/>
      <c r="F147" s="68"/>
      <c r="G147" s="67"/>
      <c r="H147" s="67"/>
      <c r="I147" s="67">
        <f>SUM(I143:I146)</f>
        <v>20</v>
      </c>
      <c r="J147" s="63"/>
    </row>
    <row r="148" spans="1:10">
      <c r="A148" s="347">
        <v>30</v>
      </c>
      <c r="B148" s="84" t="s">
        <v>68</v>
      </c>
      <c r="C148" s="347" t="s">
        <v>183</v>
      </c>
      <c r="D148" s="63" t="s">
        <v>39</v>
      </c>
      <c r="E148" s="64"/>
      <c r="F148" s="65" t="s">
        <v>184</v>
      </c>
      <c r="G148" s="64"/>
      <c r="H148" s="64" t="s">
        <v>41</v>
      </c>
      <c r="I148" s="58">
        <f>IF(G148&lt;&gt;"",5,0)</f>
        <v>0</v>
      </c>
      <c r="J148" s="63" t="s">
        <v>185</v>
      </c>
    </row>
    <row r="149" spans="1:10" hidden="1">
      <c r="A149" s="347"/>
      <c r="B149" s="84" t="s">
        <v>68</v>
      </c>
      <c r="C149" s="347"/>
      <c r="D149" s="63" t="s">
        <v>43</v>
      </c>
      <c r="E149" s="64" t="s">
        <v>44</v>
      </c>
      <c r="F149" s="65" t="s">
        <v>186</v>
      </c>
      <c r="G149" s="64"/>
      <c r="H149" s="64" t="s">
        <v>41</v>
      </c>
      <c r="I149" s="58">
        <f>IF(G149&lt;&gt;"",5,0)</f>
        <v>0</v>
      </c>
      <c r="J149" s="63"/>
    </row>
    <row r="150" spans="1:10" hidden="1">
      <c r="A150" s="347"/>
      <c r="B150" s="84" t="s">
        <v>68</v>
      </c>
      <c r="C150" s="347"/>
      <c r="D150" s="63" t="s">
        <v>46</v>
      </c>
      <c r="E150" s="64"/>
      <c r="F150" s="65" t="s">
        <v>187</v>
      </c>
      <c r="G150" s="64" t="s">
        <v>41</v>
      </c>
      <c r="H150" s="64"/>
      <c r="I150" s="58">
        <f>IF(G150&lt;&gt;"",5,0)</f>
        <v>5</v>
      </c>
      <c r="J150" s="63"/>
    </row>
    <row r="151" spans="1:10" hidden="1">
      <c r="A151" s="347"/>
      <c r="B151" s="84" t="s">
        <v>68</v>
      </c>
      <c r="C151" s="347"/>
      <c r="D151" s="63" t="s">
        <v>48</v>
      </c>
      <c r="E151" s="64"/>
      <c r="F151" s="65"/>
      <c r="G151" s="64"/>
      <c r="H151" s="64" t="s">
        <v>41</v>
      </c>
      <c r="I151" s="58">
        <f>IF(G151&lt;&gt;"",5,0)</f>
        <v>0</v>
      </c>
      <c r="J151" s="63" t="s">
        <v>188</v>
      </c>
    </row>
    <row r="152" spans="1:10" hidden="1">
      <c r="A152" s="347"/>
      <c r="B152" s="84" t="s">
        <v>68</v>
      </c>
      <c r="C152" s="347"/>
      <c r="D152" s="66" t="s">
        <v>50</v>
      </c>
      <c r="E152" s="67"/>
      <c r="F152" s="68"/>
      <c r="G152" s="67"/>
      <c r="H152" s="67"/>
      <c r="I152" s="67">
        <f>SUM(I148:I151)</f>
        <v>5</v>
      </c>
      <c r="J152" s="63"/>
    </row>
    <row r="153" spans="1:10">
      <c r="A153" s="347">
        <v>31</v>
      </c>
      <c r="B153" s="84" t="s">
        <v>68</v>
      </c>
      <c r="C153" s="347" t="s">
        <v>189</v>
      </c>
      <c r="D153" s="63" t="s">
        <v>39</v>
      </c>
      <c r="E153" s="64"/>
      <c r="F153" s="65" t="s">
        <v>180</v>
      </c>
      <c r="G153" s="64" t="s">
        <v>41</v>
      </c>
      <c r="H153" s="64"/>
      <c r="I153" s="64">
        <f>IF(G153&lt;&gt;"",5,"")</f>
        <v>5</v>
      </c>
      <c r="J153" s="63"/>
    </row>
    <row r="154" spans="1:10" hidden="1">
      <c r="A154" s="347"/>
      <c r="B154" s="84" t="s">
        <v>68</v>
      </c>
      <c r="C154" s="347"/>
      <c r="D154" s="63" t="s">
        <v>43</v>
      </c>
      <c r="E154" s="64" t="s">
        <v>44</v>
      </c>
      <c r="F154" s="65" t="s">
        <v>181</v>
      </c>
      <c r="G154" s="64" t="s">
        <v>41</v>
      </c>
      <c r="H154" s="64"/>
      <c r="I154" s="64">
        <f>IF(G154&lt;&gt;"",5,"")</f>
        <v>5</v>
      </c>
      <c r="J154" s="63"/>
    </row>
    <row r="155" spans="1:10" hidden="1">
      <c r="A155" s="347"/>
      <c r="B155" s="84" t="s">
        <v>68</v>
      </c>
      <c r="C155" s="347"/>
      <c r="D155" s="63" t="s">
        <v>46</v>
      </c>
      <c r="E155" s="64"/>
      <c r="F155" s="65" t="s">
        <v>182</v>
      </c>
      <c r="G155" s="64" t="s">
        <v>41</v>
      </c>
      <c r="H155" s="64"/>
      <c r="I155" s="64">
        <f>IF(G155&lt;&gt;"",5,"")</f>
        <v>5</v>
      </c>
      <c r="J155" s="63"/>
    </row>
    <row r="156" spans="1:10" hidden="1">
      <c r="A156" s="347"/>
      <c r="B156" s="84" t="s">
        <v>68</v>
      </c>
      <c r="C156" s="347"/>
      <c r="D156" s="63" t="s">
        <v>48</v>
      </c>
      <c r="E156" s="64"/>
      <c r="F156" s="65"/>
      <c r="G156" s="64" t="s">
        <v>41</v>
      </c>
      <c r="H156" s="64"/>
      <c r="I156" s="64">
        <f>IF(G156&lt;&gt;"",5,"")</f>
        <v>5</v>
      </c>
      <c r="J156" s="63"/>
    </row>
    <row r="157" spans="1:10" hidden="1">
      <c r="A157" s="347"/>
      <c r="B157" s="84" t="s">
        <v>68</v>
      </c>
      <c r="C157" s="347"/>
      <c r="D157" s="66" t="s">
        <v>50</v>
      </c>
      <c r="E157" s="67"/>
      <c r="F157" s="68"/>
      <c r="G157" s="67"/>
      <c r="H157" s="67"/>
      <c r="I157" s="67">
        <f>SUM(I153:I156)</f>
        <v>20</v>
      </c>
      <c r="J157" s="63"/>
    </row>
    <row r="158" spans="1:10">
      <c r="A158" s="347">
        <v>32</v>
      </c>
      <c r="B158" s="84" t="s">
        <v>89</v>
      </c>
      <c r="C158" s="347" t="s">
        <v>190</v>
      </c>
      <c r="D158" s="63" t="s">
        <v>39</v>
      </c>
      <c r="E158" s="64"/>
      <c r="F158" s="65" t="s">
        <v>191</v>
      </c>
      <c r="G158" s="64"/>
      <c r="H158" s="64" t="s">
        <v>41</v>
      </c>
      <c r="I158" s="58">
        <f>IF(G158&lt;&gt;"",5,0)</f>
        <v>0</v>
      </c>
      <c r="J158" s="63" t="s">
        <v>192</v>
      </c>
    </row>
    <row r="159" spans="1:10" hidden="1">
      <c r="A159" s="347"/>
      <c r="B159" s="84" t="s">
        <v>89</v>
      </c>
      <c r="C159" s="347"/>
      <c r="D159" s="63" t="s">
        <v>43</v>
      </c>
      <c r="E159" s="64" t="s">
        <v>44</v>
      </c>
      <c r="F159" s="65" t="s">
        <v>193</v>
      </c>
      <c r="G159" s="64"/>
      <c r="H159" s="64" t="s">
        <v>41</v>
      </c>
      <c r="I159" s="58">
        <f>IF(G159&lt;&gt;"",5,0)</f>
        <v>0</v>
      </c>
      <c r="J159" s="63"/>
    </row>
    <row r="160" spans="1:10" hidden="1">
      <c r="A160" s="347"/>
      <c r="B160" s="84" t="s">
        <v>89</v>
      </c>
      <c r="C160" s="347"/>
      <c r="D160" s="63" t="s">
        <v>46</v>
      </c>
      <c r="E160" s="64"/>
      <c r="F160" s="65" t="s">
        <v>194</v>
      </c>
      <c r="G160" s="64"/>
      <c r="H160" s="64" t="s">
        <v>41</v>
      </c>
      <c r="I160" s="58">
        <f>IF(G160&lt;&gt;"",5,0)</f>
        <v>0</v>
      </c>
      <c r="J160" s="63"/>
    </row>
    <row r="161" spans="1:10" hidden="1">
      <c r="A161" s="347"/>
      <c r="B161" s="84" t="s">
        <v>89</v>
      </c>
      <c r="C161" s="347"/>
      <c r="D161" s="63" t="s">
        <v>48</v>
      </c>
      <c r="E161" s="64"/>
      <c r="F161" s="65"/>
      <c r="G161" s="64"/>
      <c r="H161" s="64" t="s">
        <v>41</v>
      </c>
      <c r="I161" s="58">
        <f>IF(G161&lt;&gt;"",5,0)</f>
        <v>0</v>
      </c>
      <c r="J161" s="63" t="s">
        <v>188</v>
      </c>
    </row>
    <row r="162" spans="1:10" hidden="1">
      <c r="A162" s="347"/>
      <c r="B162" s="84" t="s">
        <v>89</v>
      </c>
      <c r="C162" s="347"/>
      <c r="D162" s="66" t="s">
        <v>50</v>
      </c>
      <c r="E162" s="67"/>
      <c r="F162" s="68"/>
      <c r="G162" s="67"/>
      <c r="H162" s="67"/>
      <c r="I162" s="67">
        <f>SUM(I158:I161)</f>
        <v>0</v>
      </c>
      <c r="J162" s="63"/>
    </row>
    <row r="163" spans="1:10">
      <c r="A163" s="347">
        <v>33</v>
      </c>
      <c r="B163" s="84" t="s">
        <v>154</v>
      </c>
      <c r="C163" s="347" t="s">
        <v>195</v>
      </c>
      <c r="D163" s="63" t="s">
        <v>39</v>
      </c>
      <c r="E163" s="64"/>
      <c r="F163" s="65" t="s">
        <v>196</v>
      </c>
      <c r="G163" s="64" t="s">
        <v>41</v>
      </c>
      <c r="H163" s="64"/>
      <c r="I163" s="64">
        <f>IF(G163&lt;&gt;"",5,"")</f>
        <v>5</v>
      </c>
      <c r="J163" s="63"/>
    </row>
    <row r="164" spans="1:10" hidden="1">
      <c r="A164" s="347"/>
      <c r="B164" s="84" t="s">
        <v>154</v>
      </c>
      <c r="C164" s="347"/>
      <c r="D164" s="63" t="s">
        <v>43</v>
      </c>
      <c r="E164" s="64" t="s">
        <v>44</v>
      </c>
      <c r="F164" s="65" t="s">
        <v>197</v>
      </c>
      <c r="G164" s="64" t="s">
        <v>41</v>
      </c>
      <c r="H164" s="64"/>
      <c r="I164" s="64">
        <f>IF(G164&lt;&gt;"",5,"")</f>
        <v>5</v>
      </c>
      <c r="J164" s="63"/>
    </row>
    <row r="165" spans="1:10" hidden="1">
      <c r="A165" s="347"/>
      <c r="B165" s="84" t="s">
        <v>154</v>
      </c>
      <c r="C165" s="347"/>
      <c r="D165" s="63" t="s">
        <v>46</v>
      </c>
      <c r="E165" s="64"/>
      <c r="F165" s="65" t="s">
        <v>198</v>
      </c>
      <c r="G165" s="64" t="s">
        <v>41</v>
      </c>
      <c r="H165" s="64"/>
      <c r="I165" s="64">
        <f>IF(G165&lt;&gt;"",5,"")</f>
        <v>5</v>
      </c>
      <c r="J165" s="63"/>
    </row>
    <row r="166" spans="1:10" hidden="1">
      <c r="A166" s="347"/>
      <c r="B166" s="84" t="s">
        <v>154</v>
      </c>
      <c r="C166" s="347"/>
      <c r="D166" s="63" t="s">
        <v>48</v>
      </c>
      <c r="E166" s="64"/>
      <c r="F166" s="65"/>
      <c r="G166" s="64" t="s">
        <v>41</v>
      </c>
      <c r="H166" s="64"/>
      <c r="I166" s="64">
        <f>IF(G166&lt;&gt;"",5,"")</f>
        <v>5</v>
      </c>
      <c r="J166" s="63"/>
    </row>
    <row r="167" spans="1:10" hidden="1">
      <c r="A167" s="347"/>
      <c r="B167" s="84" t="s">
        <v>154</v>
      </c>
      <c r="C167" s="347"/>
      <c r="D167" s="66" t="s">
        <v>50</v>
      </c>
      <c r="E167" s="67"/>
      <c r="F167" s="68"/>
      <c r="G167" s="67"/>
      <c r="H167" s="67"/>
      <c r="I167" s="67">
        <f>SUM(I163:I166)</f>
        <v>20</v>
      </c>
      <c r="J167" s="63"/>
    </row>
    <row r="168" spans="1:10">
      <c r="A168" s="347">
        <v>34</v>
      </c>
      <c r="B168" s="84" t="s">
        <v>199</v>
      </c>
      <c r="C168" s="347" t="s">
        <v>200</v>
      </c>
      <c r="D168" s="63" t="s">
        <v>39</v>
      </c>
      <c r="E168" s="64"/>
      <c r="F168" s="65" t="s">
        <v>201</v>
      </c>
      <c r="G168" s="64" t="s">
        <v>41</v>
      </c>
      <c r="H168" s="64"/>
      <c r="I168" s="64">
        <f>IF(G168&lt;&gt;"",5,"")</f>
        <v>5</v>
      </c>
      <c r="J168" s="63"/>
    </row>
    <row r="169" spans="1:10" hidden="1">
      <c r="A169" s="347"/>
      <c r="B169" s="84" t="s">
        <v>199</v>
      </c>
      <c r="C169" s="347"/>
      <c r="D169" s="63" t="s">
        <v>43</v>
      </c>
      <c r="E169" s="64" t="s">
        <v>44</v>
      </c>
      <c r="F169" s="65" t="s">
        <v>202</v>
      </c>
      <c r="G169" s="64" t="s">
        <v>41</v>
      </c>
      <c r="H169" s="64"/>
      <c r="I169" s="64">
        <f>IF(G169&lt;&gt;"",5,"")</f>
        <v>5</v>
      </c>
      <c r="J169" s="63"/>
    </row>
    <row r="170" spans="1:10" hidden="1">
      <c r="A170" s="347"/>
      <c r="B170" s="84" t="s">
        <v>199</v>
      </c>
      <c r="C170" s="347"/>
      <c r="D170" s="63" t="s">
        <v>46</v>
      </c>
      <c r="E170" s="64"/>
      <c r="F170" s="65" t="s">
        <v>203</v>
      </c>
      <c r="G170" s="64" t="s">
        <v>41</v>
      </c>
      <c r="H170" s="64"/>
      <c r="I170" s="64">
        <f>IF(G170&lt;&gt;"",5,"")</f>
        <v>5</v>
      </c>
      <c r="J170" s="63"/>
    </row>
    <row r="171" spans="1:10" hidden="1">
      <c r="A171" s="347"/>
      <c r="B171" s="84" t="s">
        <v>199</v>
      </c>
      <c r="C171" s="347"/>
      <c r="D171" s="63" t="s">
        <v>48</v>
      </c>
      <c r="E171" s="64"/>
      <c r="F171" s="65"/>
      <c r="G171" s="64" t="s">
        <v>41</v>
      </c>
      <c r="H171" s="64"/>
      <c r="I171" s="64">
        <f>IF(G171&lt;&gt;"",5,"")</f>
        <v>5</v>
      </c>
      <c r="J171" s="63"/>
    </row>
    <row r="172" spans="1:10" hidden="1">
      <c r="A172" s="347"/>
      <c r="B172" s="84" t="s">
        <v>199</v>
      </c>
      <c r="C172" s="347"/>
      <c r="D172" s="66" t="s">
        <v>50</v>
      </c>
      <c r="E172" s="67"/>
      <c r="F172" s="68"/>
      <c r="G172" s="67"/>
      <c r="H172" s="67"/>
      <c r="I172" s="67">
        <f>SUM(I168:I171)</f>
        <v>20</v>
      </c>
      <c r="J172" s="63"/>
    </row>
    <row r="173" spans="1:10">
      <c r="A173" s="347">
        <v>35</v>
      </c>
      <c r="B173" s="84" t="s">
        <v>37</v>
      </c>
      <c r="C173" s="347" t="s">
        <v>204</v>
      </c>
      <c r="D173" s="63" t="s">
        <v>39</v>
      </c>
      <c r="E173" s="64"/>
      <c r="F173" s="65" t="s">
        <v>205</v>
      </c>
      <c r="G173" s="64" t="s">
        <v>41</v>
      </c>
      <c r="H173" s="64"/>
      <c r="I173" s="64">
        <f>IF(G173&lt;&gt;"",5,"")</f>
        <v>5</v>
      </c>
      <c r="J173" s="63"/>
    </row>
    <row r="174" spans="1:10" hidden="1">
      <c r="A174" s="347"/>
      <c r="B174" s="84" t="s">
        <v>37</v>
      </c>
      <c r="C174" s="347"/>
      <c r="D174" s="63" t="s">
        <v>43</v>
      </c>
      <c r="E174" s="64" t="s">
        <v>44</v>
      </c>
      <c r="F174" s="65" t="s">
        <v>206</v>
      </c>
      <c r="G174" s="64" t="s">
        <v>41</v>
      </c>
      <c r="H174" s="64"/>
      <c r="I174" s="64">
        <f>IF(G174&lt;&gt;"",5,"")</f>
        <v>5</v>
      </c>
      <c r="J174" s="63"/>
    </row>
    <row r="175" spans="1:10" hidden="1">
      <c r="A175" s="347"/>
      <c r="B175" s="84" t="s">
        <v>37</v>
      </c>
      <c r="C175" s="347"/>
      <c r="D175" s="63" t="s">
        <v>46</v>
      </c>
      <c r="E175" s="64"/>
      <c r="F175" s="65" t="s">
        <v>207</v>
      </c>
      <c r="G175" s="64" t="s">
        <v>41</v>
      </c>
      <c r="H175" s="64"/>
      <c r="I175" s="64">
        <f>IF(G175&lt;&gt;"",5,"")</f>
        <v>5</v>
      </c>
      <c r="J175" s="63"/>
    </row>
    <row r="176" spans="1:10" hidden="1">
      <c r="A176" s="347"/>
      <c r="B176" s="84" t="s">
        <v>37</v>
      </c>
      <c r="C176" s="347"/>
      <c r="D176" s="63" t="s">
        <v>48</v>
      </c>
      <c r="E176" s="64"/>
      <c r="F176" s="65"/>
      <c r="G176" s="64" t="s">
        <v>41</v>
      </c>
      <c r="H176" s="64"/>
      <c r="I176" s="64">
        <f>IF(G176&lt;&gt;"",5,"")</f>
        <v>5</v>
      </c>
      <c r="J176" s="63"/>
    </row>
    <row r="177" spans="1:10" hidden="1">
      <c r="A177" s="347"/>
      <c r="B177" s="84" t="s">
        <v>37</v>
      </c>
      <c r="C177" s="347"/>
      <c r="D177" s="66" t="s">
        <v>50</v>
      </c>
      <c r="E177" s="67"/>
      <c r="F177" s="68"/>
      <c r="G177" s="67"/>
      <c r="H177" s="67"/>
      <c r="I177" s="67">
        <f>SUM(I173:I176)</f>
        <v>20</v>
      </c>
      <c r="J177" s="63"/>
    </row>
    <row r="178" spans="1:10" s="70" customFormat="1" ht="15" customHeight="1">
      <c r="A178" s="350">
        <v>36</v>
      </c>
      <c r="B178" s="85" t="s">
        <v>89</v>
      </c>
      <c r="C178" s="351" t="s">
        <v>208</v>
      </c>
      <c r="D178" s="71" t="s">
        <v>39</v>
      </c>
      <c r="E178" s="72"/>
      <c r="F178" s="73" t="s">
        <v>209</v>
      </c>
      <c r="G178" s="72" t="s">
        <v>41</v>
      </c>
      <c r="H178" s="72"/>
      <c r="I178" s="58">
        <f>IF(G178&lt;&gt;"",5,"0")</f>
        <v>5</v>
      </c>
      <c r="J178" s="86" t="s">
        <v>97</v>
      </c>
    </row>
    <row r="179" spans="1:10" s="70" customFormat="1" hidden="1">
      <c r="A179" s="350"/>
      <c r="B179" s="85" t="s">
        <v>89</v>
      </c>
      <c r="C179" s="351"/>
      <c r="D179" s="71" t="s">
        <v>43</v>
      </c>
      <c r="E179" s="72" t="s">
        <v>44</v>
      </c>
      <c r="F179" s="73" t="s">
        <v>115</v>
      </c>
      <c r="G179" s="72" t="s">
        <v>41</v>
      </c>
      <c r="H179" s="72"/>
      <c r="I179" s="58">
        <f>IF(G179&lt;&gt;"",5,"0")</f>
        <v>5</v>
      </c>
      <c r="J179" s="86" t="s">
        <v>97</v>
      </c>
    </row>
    <row r="180" spans="1:10" s="70" customFormat="1" hidden="1">
      <c r="A180" s="350"/>
      <c r="B180" s="85" t="s">
        <v>89</v>
      </c>
      <c r="C180" s="351"/>
      <c r="D180" s="71" t="s">
        <v>46</v>
      </c>
      <c r="E180" s="72"/>
      <c r="F180" s="73" t="s">
        <v>210</v>
      </c>
      <c r="G180" s="72" t="s">
        <v>41</v>
      </c>
      <c r="H180" s="72"/>
      <c r="I180" s="58">
        <f>IF(G180&lt;&gt;"",5,"0")</f>
        <v>5</v>
      </c>
      <c r="J180" s="86" t="s">
        <v>97</v>
      </c>
    </row>
    <row r="181" spans="1:10" s="70" customFormat="1" hidden="1">
      <c r="A181" s="350"/>
      <c r="B181" s="85" t="s">
        <v>89</v>
      </c>
      <c r="C181" s="351"/>
      <c r="D181" s="71" t="s">
        <v>48</v>
      </c>
      <c r="E181" s="72"/>
      <c r="F181" s="73" t="s">
        <v>126</v>
      </c>
      <c r="G181" s="72" t="s">
        <v>41</v>
      </c>
      <c r="H181" s="72"/>
      <c r="I181" s="58">
        <f>IF(G181&lt;&gt;"",5,"0")</f>
        <v>5</v>
      </c>
      <c r="J181" s="86" t="s">
        <v>97</v>
      </c>
    </row>
    <row r="182" spans="1:10" s="70" customFormat="1" hidden="1">
      <c r="A182" s="350"/>
      <c r="B182" s="85" t="s">
        <v>89</v>
      </c>
      <c r="C182" s="351"/>
      <c r="D182" s="74" t="s">
        <v>50</v>
      </c>
      <c r="E182" s="75"/>
      <c r="F182" s="76"/>
      <c r="G182" s="75"/>
      <c r="H182" s="75"/>
      <c r="I182" s="75">
        <f>+SUM(I178:I181)</f>
        <v>20</v>
      </c>
      <c r="J182" s="87"/>
    </row>
    <row r="183" spans="1:10" s="70" customFormat="1" ht="15" customHeight="1">
      <c r="A183" s="350">
        <v>37</v>
      </c>
      <c r="B183" s="85" t="s">
        <v>75</v>
      </c>
      <c r="C183" s="351" t="s">
        <v>211</v>
      </c>
      <c r="D183" s="71" t="s">
        <v>39</v>
      </c>
      <c r="E183" s="72"/>
      <c r="F183" s="73" t="s">
        <v>212</v>
      </c>
      <c r="G183" s="72"/>
      <c r="H183" s="72" t="s">
        <v>41</v>
      </c>
      <c r="I183" s="72">
        <v>0</v>
      </c>
      <c r="J183" s="86" t="s">
        <v>97</v>
      </c>
    </row>
    <row r="184" spans="1:10" s="70" customFormat="1" hidden="1">
      <c r="A184" s="350"/>
      <c r="B184" s="85" t="s">
        <v>75</v>
      </c>
      <c r="C184" s="351"/>
      <c r="D184" s="71" t="s">
        <v>43</v>
      </c>
      <c r="E184" s="72" t="s">
        <v>44</v>
      </c>
      <c r="F184" s="73" t="s">
        <v>115</v>
      </c>
      <c r="G184" s="72" t="s">
        <v>41</v>
      </c>
      <c r="H184" s="72"/>
      <c r="I184" s="72">
        <v>5</v>
      </c>
      <c r="J184" s="86" t="s">
        <v>97</v>
      </c>
    </row>
    <row r="185" spans="1:10" s="70" customFormat="1" ht="30" hidden="1">
      <c r="A185" s="350"/>
      <c r="B185" s="85" t="s">
        <v>75</v>
      </c>
      <c r="C185" s="351"/>
      <c r="D185" s="71" t="s">
        <v>46</v>
      </c>
      <c r="E185" s="72"/>
      <c r="F185" s="73" t="s">
        <v>213</v>
      </c>
      <c r="G185" s="72" t="s">
        <v>41</v>
      </c>
      <c r="H185" s="72"/>
      <c r="I185" s="72">
        <v>5</v>
      </c>
      <c r="J185" s="86" t="s">
        <v>97</v>
      </c>
    </row>
    <row r="186" spans="1:10" s="70" customFormat="1" hidden="1">
      <c r="A186" s="350"/>
      <c r="B186" s="85" t="s">
        <v>75</v>
      </c>
      <c r="C186" s="351"/>
      <c r="D186" s="71" t="s">
        <v>48</v>
      </c>
      <c r="E186" s="72"/>
      <c r="F186" s="73" t="s">
        <v>214</v>
      </c>
      <c r="G186" s="72" t="s">
        <v>41</v>
      </c>
      <c r="H186" s="72"/>
      <c r="I186" s="72">
        <v>5</v>
      </c>
      <c r="J186" s="86" t="s">
        <v>97</v>
      </c>
    </row>
    <row r="187" spans="1:10" s="70" customFormat="1" hidden="1">
      <c r="A187" s="350"/>
      <c r="B187" s="85" t="s">
        <v>75</v>
      </c>
      <c r="C187" s="351"/>
      <c r="D187" s="74" t="s">
        <v>50</v>
      </c>
      <c r="E187" s="75"/>
      <c r="F187" s="76"/>
      <c r="G187" s="75"/>
      <c r="H187" s="75"/>
      <c r="I187" s="75">
        <v>15</v>
      </c>
      <c r="J187" s="87"/>
    </row>
    <row r="188" spans="1:10">
      <c r="A188" s="347">
        <v>38</v>
      </c>
      <c r="B188" s="84" t="s">
        <v>94</v>
      </c>
      <c r="C188" s="348" t="s">
        <v>215</v>
      </c>
      <c r="D188" s="57" t="s">
        <v>39</v>
      </c>
      <c r="E188" s="58"/>
      <c r="F188" s="59" t="s">
        <v>216</v>
      </c>
      <c r="G188" s="58"/>
      <c r="H188" s="58" t="s">
        <v>41</v>
      </c>
      <c r="I188" s="58">
        <f>IF(G188&lt;&gt;"",5,0)</f>
        <v>0</v>
      </c>
      <c r="J188" s="58" t="s">
        <v>71</v>
      </c>
    </row>
    <row r="189" spans="1:10" hidden="1">
      <c r="A189" s="347"/>
      <c r="B189" s="84" t="s">
        <v>94</v>
      </c>
      <c r="C189" s="348"/>
      <c r="D189" s="57" t="s">
        <v>43</v>
      </c>
      <c r="E189" s="58" t="s">
        <v>44</v>
      </c>
      <c r="F189" s="59" t="s">
        <v>217</v>
      </c>
      <c r="G189" s="58" t="s">
        <v>41</v>
      </c>
      <c r="H189" s="58"/>
      <c r="I189" s="58">
        <v>5</v>
      </c>
      <c r="J189" s="58" t="s">
        <v>97</v>
      </c>
    </row>
    <row r="190" spans="1:10" hidden="1">
      <c r="A190" s="347"/>
      <c r="B190" s="84" t="s">
        <v>94</v>
      </c>
      <c r="C190" s="348"/>
      <c r="D190" s="57" t="s">
        <v>46</v>
      </c>
      <c r="E190" s="58"/>
      <c r="F190" s="59" t="s">
        <v>61</v>
      </c>
      <c r="G190" s="58" t="s">
        <v>41</v>
      </c>
      <c r="H190" s="58"/>
      <c r="I190" s="58">
        <v>5</v>
      </c>
      <c r="J190" s="58" t="s">
        <v>97</v>
      </c>
    </row>
    <row r="191" spans="1:10" hidden="1">
      <c r="A191" s="347"/>
      <c r="B191" s="84" t="s">
        <v>94</v>
      </c>
      <c r="C191" s="348"/>
      <c r="D191" s="57" t="s">
        <v>48</v>
      </c>
      <c r="E191" s="58"/>
      <c r="F191" s="59" t="s">
        <v>218</v>
      </c>
      <c r="G191" s="58"/>
      <c r="H191" s="58" t="s">
        <v>41</v>
      </c>
      <c r="I191" s="58">
        <f>IF(G191&lt;&gt;"",5,0)</f>
        <v>0</v>
      </c>
      <c r="J191" s="58" t="s">
        <v>97</v>
      </c>
    </row>
    <row r="192" spans="1:10" hidden="1">
      <c r="A192" s="347"/>
      <c r="B192" s="84" t="s">
        <v>94</v>
      </c>
      <c r="C192" s="348"/>
      <c r="D192" s="60" t="s">
        <v>50</v>
      </c>
      <c r="E192" s="61"/>
      <c r="F192" s="62"/>
      <c r="G192" s="61"/>
      <c r="H192" s="61"/>
      <c r="I192" s="61">
        <v>10</v>
      </c>
      <c r="J192" s="61"/>
    </row>
    <row r="193" spans="1:10" s="70" customFormat="1">
      <c r="A193" s="350">
        <v>39</v>
      </c>
      <c r="B193" s="85" t="s">
        <v>94</v>
      </c>
      <c r="C193" s="348" t="s">
        <v>219</v>
      </c>
      <c r="D193" s="57" t="s">
        <v>39</v>
      </c>
      <c r="E193" s="58"/>
      <c r="F193" s="59" t="s">
        <v>220</v>
      </c>
      <c r="G193" s="58"/>
      <c r="H193" s="58" t="s">
        <v>41</v>
      </c>
      <c r="I193" s="58">
        <f>IF(G193&lt;&gt;"",5,0)</f>
        <v>0</v>
      </c>
      <c r="J193" s="58" t="s">
        <v>97</v>
      </c>
    </row>
    <row r="194" spans="1:10" s="70" customFormat="1" hidden="1">
      <c r="A194" s="350"/>
      <c r="B194" s="85" t="s">
        <v>94</v>
      </c>
      <c r="C194" s="348"/>
      <c r="D194" s="57" t="s">
        <v>43</v>
      </c>
      <c r="E194" s="58" t="s">
        <v>44</v>
      </c>
      <c r="F194" s="59" t="s">
        <v>108</v>
      </c>
      <c r="G194" s="58" t="s">
        <v>41</v>
      </c>
      <c r="H194" s="58"/>
      <c r="I194" s="58">
        <f>IF(G194&lt;&gt;"",5,0)</f>
        <v>5</v>
      </c>
      <c r="J194" s="58" t="s">
        <v>97</v>
      </c>
    </row>
    <row r="195" spans="1:10" s="70" customFormat="1" hidden="1">
      <c r="A195" s="350"/>
      <c r="B195" s="85" t="s">
        <v>94</v>
      </c>
      <c r="C195" s="348"/>
      <c r="D195" s="57" t="s">
        <v>46</v>
      </c>
      <c r="E195" s="58"/>
      <c r="F195" s="59" t="s">
        <v>109</v>
      </c>
      <c r="G195" s="58" t="s">
        <v>41</v>
      </c>
      <c r="H195" s="58"/>
      <c r="I195" s="58">
        <f>IF(G195&lt;&gt;"",5,0)</f>
        <v>5</v>
      </c>
      <c r="J195" s="58" t="s">
        <v>97</v>
      </c>
    </row>
    <row r="196" spans="1:10" s="70" customFormat="1" hidden="1">
      <c r="A196" s="350"/>
      <c r="B196" s="85" t="s">
        <v>94</v>
      </c>
      <c r="C196" s="348"/>
      <c r="D196" s="57" t="s">
        <v>48</v>
      </c>
      <c r="E196" s="58"/>
      <c r="F196" s="59"/>
      <c r="G196" s="58" t="s">
        <v>41</v>
      </c>
      <c r="H196" s="58"/>
      <c r="I196" s="58">
        <f>IF(G196&lt;&gt;"",5,0)</f>
        <v>5</v>
      </c>
      <c r="J196" s="58" t="s">
        <v>97</v>
      </c>
    </row>
    <row r="197" spans="1:10" s="70" customFormat="1" hidden="1">
      <c r="A197" s="350"/>
      <c r="B197" s="85" t="s">
        <v>94</v>
      </c>
      <c r="C197" s="348"/>
      <c r="D197" s="60" t="s">
        <v>50</v>
      </c>
      <c r="E197" s="61"/>
      <c r="F197" s="62"/>
      <c r="G197" s="61"/>
      <c r="H197" s="61"/>
      <c r="I197" s="61">
        <f>+SUM(I193:I196)</f>
        <v>15</v>
      </c>
      <c r="J197" s="61"/>
    </row>
    <row r="198" spans="1:10">
      <c r="A198" s="347">
        <v>40</v>
      </c>
      <c r="B198" s="84" t="s">
        <v>199</v>
      </c>
      <c r="C198" s="349" t="s">
        <v>221</v>
      </c>
      <c r="D198" s="57" t="s">
        <v>39</v>
      </c>
      <c r="E198" s="58"/>
      <c r="F198" s="59" t="s">
        <v>222</v>
      </c>
      <c r="G198" s="58" t="s">
        <v>41</v>
      </c>
      <c r="H198" s="58"/>
      <c r="I198" s="58">
        <f>IF(G198&lt;&gt;"",5,0)</f>
        <v>5</v>
      </c>
      <c r="J198" s="58" t="s">
        <v>223</v>
      </c>
    </row>
    <row r="199" spans="1:10" hidden="1">
      <c r="A199" s="347"/>
      <c r="B199" s="84" t="s">
        <v>199</v>
      </c>
      <c r="C199" s="349"/>
      <c r="D199" s="57" t="s">
        <v>43</v>
      </c>
      <c r="E199" s="58" t="s">
        <v>44</v>
      </c>
      <c r="F199" s="59" t="s">
        <v>108</v>
      </c>
      <c r="G199" s="58" t="s">
        <v>41</v>
      </c>
      <c r="H199" s="58"/>
      <c r="I199" s="58">
        <v>5</v>
      </c>
      <c r="J199" s="58" t="s">
        <v>141</v>
      </c>
    </row>
    <row r="200" spans="1:10" hidden="1">
      <c r="A200" s="347"/>
      <c r="B200" s="84" t="s">
        <v>199</v>
      </c>
      <c r="C200" s="349"/>
      <c r="D200" s="57" t="s">
        <v>46</v>
      </c>
      <c r="E200" s="58"/>
      <c r="F200" s="59" t="s">
        <v>109</v>
      </c>
      <c r="G200" s="58" t="s">
        <v>41</v>
      </c>
      <c r="H200" s="58"/>
      <c r="I200" s="58">
        <f>IF(G200&lt;&gt;"",5,0)</f>
        <v>5</v>
      </c>
      <c r="J200" s="58" t="s">
        <v>141</v>
      </c>
    </row>
    <row r="201" spans="1:10" hidden="1">
      <c r="A201" s="347"/>
      <c r="B201" s="84" t="s">
        <v>199</v>
      </c>
      <c r="C201" s="349"/>
      <c r="D201" s="57" t="s">
        <v>48</v>
      </c>
      <c r="E201" s="58"/>
      <c r="F201" s="59"/>
      <c r="G201" s="58"/>
      <c r="H201" s="58" t="s">
        <v>41</v>
      </c>
      <c r="I201" s="58" t="str">
        <f>IF(G201&lt;&gt;"",5,"")</f>
        <v/>
      </c>
      <c r="J201" s="58" t="s">
        <v>224</v>
      </c>
    </row>
    <row r="202" spans="1:10" hidden="1">
      <c r="A202" s="347"/>
      <c r="B202" s="84" t="s">
        <v>199</v>
      </c>
      <c r="C202" s="349"/>
      <c r="D202" s="60" t="s">
        <v>50</v>
      </c>
      <c r="E202" s="61"/>
      <c r="F202" s="62"/>
      <c r="G202" s="61"/>
      <c r="H202" s="61"/>
      <c r="I202" s="61">
        <f>SUM(I198:I201)</f>
        <v>15</v>
      </c>
      <c r="J202" s="61"/>
    </row>
    <row r="203" spans="1:10">
      <c r="A203" s="347">
        <v>41</v>
      </c>
      <c r="B203" s="84" t="s">
        <v>199</v>
      </c>
      <c r="C203" s="349" t="s">
        <v>225</v>
      </c>
      <c r="D203" s="57" t="s">
        <v>39</v>
      </c>
      <c r="E203" s="58"/>
      <c r="F203" s="59" t="s">
        <v>222</v>
      </c>
      <c r="G203" s="58" t="s">
        <v>41</v>
      </c>
      <c r="H203" s="58"/>
      <c r="I203" s="58">
        <f>IF(G203&lt;&gt;"",5,0)</f>
        <v>5</v>
      </c>
      <c r="J203" s="58" t="s">
        <v>223</v>
      </c>
    </row>
    <row r="204" spans="1:10" hidden="1">
      <c r="A204" s="347"/>
      <c r="B204" s="84" t="s">
        <v>199</v>
      </c>
      <c r="C204" s="349"/>
      <c r="D204" s="57" t="s">
        <v>43</v>
      </c>
      <c r="E204" s="58" t="s">
        <v>44</v>
      </c>
      <c r="F204" s="59" t="s">
        <v>108</v>
      </c>
      <c r="G204" s="58" t="s">
        <v>41</v>
      </c>
      <c r="H204" s="58"/>
      <c r="I204" s="58">
        <v>5</v>
      </c>
      <c r="J204" s="58" t="s">
        <v>141</v>
      </c>
    </row>
    <row r="205" spans="1:10" hidden="1">
      <c r="A205" s="347"/>
      <c r="B205" s="84" t="s">
        <v>199</v>
      </c>
      <c r="C205" s="349"/>
      <c r="D205" s="57" t="s">
        <v>46</v>
      </c>
      <c r="E205" s="58"/>
      <c r="F205" s="59" t="s">
        <v>109</v>
      </c>
      <c r="G205" s="58" t="s">
        <v>41</v>
      </c>
      <c r="H205" s="58"/>
      <c r="I205" s="58">
        <f>IF(G205&lt;&gt;"",5,0)</f>
        <v>5</v>
      </c>
      <c r="J205" s="58" t="s">
        <v>141</v>
      </c>
    </row>
    <row r="206" spans="1:10" hidden="1">
      <c r="A206" s="347"/>
      <c r="B206" s="84" t="s">
        <v>199</v>
      </c>
      <c r="C206" s="349"/>
      <c r="D206" s="57" t="s">
        <v>48</v>
      </c>
      <c r="E206" s="58"/>
      <c r="F206" s="59"/>
      <c r="G206" s="58" t="s">
        <v>41</v>
      </c>
      <c r="H206" s="58"/>
      <c r="I206" s="58">
        <f>IF(G206&lt;&gt;"",5,"")</f>
        <v>5</v>
      </c>
      <c r="J206" s="58" t="s">
        <v>226</v>
      </c>
    </row>
    <row r="207" spans="1:10" hidden="1">
      <c r="A207" s="347"/>
      <c r="B207" s="84" t="s">
        <v>199</v>
      </c>
      <c r="C207" s="349"/>
      <c r="D207" s="60" t="s">
        <v>50</v>
      </c>
      <c r="E207" s="61"/>
      <c r="F207" s="62"/>
      <c r="G207" s="61"/>
      <c r="H207" s="61"/>
      <c r="I207" s="61">
        <f>SUM(I203:I206)</f>
        <v>20</v>
      </c>
      <c r="J207" s="61"/>
    </row>
    <row r="208" spans="1:10">
      <c r="A208" s="347">
        <v>42</v>
      </c>
      <c r="B208" s="84" t="s">
        <v>199</v>
      </c>
      <c r="C208" s="349" t="s">
        <v>227</v>
      </c>
      <c r="D208" s="57" t="s">
        <v>39</v>
      </c>
      <c r="E208" s="58"/>
      <c r="F208" s="59" t="s">
        <v>222</v>
      </c>
      <c r="G208" s="58" t="s">
        <v>41</v>
      </c>
      <c r="H208" s="58"/>
      <c r="I208" s="58">
        <f>IF(G208&lt;&gt;"",5,0)</f>
        <v>5</v>
      </c>
      <c r="J208" s="58" t="s">
        <v>223</v>
      </c>
    </row>
    <row r="209" spans="1:10" hidden="1">
      <c r="A209" s="347"/>
      <c r="B209" s="84" t="s">
        <v>199</v>
      </c>
      <c r="C209" s="349"/>
      <c r="D209" s="57" t="s">
        <v>43</v>
      </c>
      <c r="E209" s="58" t="s">
        <v>44</v>
      </c>
      <c r="F209" s="59" t="s">
        <v>108</v>
      </c>
      <c r="G209" s="58" t="s">
        <v>41</v>
      </c>
      <c r="H209" s="58"/>
      <c r="I209" s="58">
        <f>IF(G209&lt;&gt;"",5,"0")</f>
        <v>5</v>
      </c>
      <c r="J209" s="58" t="s">
        <v>141</v>
      </c>
    </row>
    <row r="210" spans="1:10" hidden="1">
      <c r="A210" s="347"/>
      <c r="B210" s="84" t="s">
        <v>199</v>
      </c>
      <c r="C210" s="349"/>
      <c r="D210" s="57" t="s">
        <v>46</v>
      </c>
      <c r="E210" s="58"/>
      <c r="F210" s="59" t="s">
        <v>109</v>
      </c>
      <c r="G210" s="58" t="s">
        <v>41</v>
      </c>
      <c r="H210" s="58"/>
      <c r="I210" s="58">
        <f>IF(G210&lt;&gt;"",5,0)</f>
        <v>5</v>
      </c>
      <c r="J210" s="58" t="s">
        <v>141</v>
      </c>
    </row>
    <row r="211" spans="1:10" hidden="1">
      <c r="A211" s="347"/>
      <c r="B211" s="84" t="s">
        <v>199</v>
      </c>
      <c r="C211" s="349"/>
      <c r="D211" s="57" t="s">
        <v>48</v>
      </c>
      <c r="E211" s="58"/>
      <c r="F211" s="59"/>
      <c r="G211" s="58" t="s">
        <v>41</v>
      </c>
      <c r="H211" s="58"/>
      <c r="I211" s="58">
        <f>IF(G211&lt;&gt;"",5,0)</f>
        <v>5</v>
      </c>
      <c r="J211" s="58" t="s">
        <v>226</v>
      </c>
    </row>
    <row r="212" spans="1:10" hidden="1">
      <c r="A212" s="347"/>
      <c r="B212" s="84" t="s">
        <v>199</v>
      </c>
      <c r="C212" s="349"/>
      <c r="D212" s="60" t="s">
        <v>50</v>
      </c>
      <c r="E212" s="61"/>
      <c r="F212" s="62"/>
      <c r="G212" s="61"/>
      <c r="H212" s="61"/>
      <c r="I212" s="61">
        <f>SUM(I208:I211)</f>
        <v>20</v>
      </c>
      <c r="J212" s="61"/>
    </row>
    <row r="213" spans="1:10">
      <c r="A213" s="347">
        <v>43</v>
      </c>
      <c r="B213" s="84" t="s">
        <v>199</v>
      </c>
      <c r="C213" s="349" t="s">
        <v>228</v>
      </c>
      <c r="D213" s="57" t="s">
        <v>39</v>
      </c>
      <c r="E213" s="58"/>
      <c r="F213" s="59" t="s">
        <v>222</v>
      </c>
      <c r="G213" s="58" t="s">
        <v>41</v>
      </c>
      <c r="H213" s="58"/>
      <c r="I213" s="58">
        <f>IF(G213&lt;&gt;"",5,0)</f>
        <v>5</v>
      </c>
      <c r="J213" s="58" t="s">
        <v>223</v>
      </c>
    </row>
    <row r="214" spans="1:10" hidden="1">
      <c r="A214" s="347"/>
      <c r="B214" s="84" t="s">
        <v>199</v>
      </c>
      <c r="C214" s="349"/>
      <c r="D214" s="57" t="s">
        <v>43</v>
      </c>
      <c r="E214" s="58" t="s">
        <v>44</v>
      </c>
      <c r="F214" s="59" t="s">
        <v>108</v>
      </c>
      <c r="G214" s="58" t="s">
        <v>41</v>
      </c>
      <c r="H214" s="58"/>
      <c r="I214" s="58">
        <f>IF(G214&lt;&gt;"",5,"0")</f>
        <v>5</v>
      </c>
      <c r="J214" s="58" t="s">
        <v>141</v>
      </c>
    </row>
    <row r="215" spans="1:10" hidden="1">
      <c r="A215" s="347"/>
      <c r="B215" s="84" t="s">
        <v>199</v>
      </c>
      <c r="C215" s="349"/>
      <c r="D215" s="57" t="s">
        <v>46</v>
      </c>
      <c r="E215" s="58"/>
      <c r="F215" s="59" t="s">
        <v>109</v>
      </c>
      <c r="G215" s="58" t="s">
        <v>41</v>
      </c>
      <c r="H215" s="58"/>
      <c r="I215" s="58">
        <f>IF(G215&lt;&gt;"",5,0)</f>
        <v>5</v>
      </c>
      <c r="J215" s="58" t="s">
        <v>141</v>
      </c>
    </row>
    <row r="216" spans="1:10" hidden="1">
      <c r="A216" s="347"/>
      <c r="B216" s="84" t="s">
        <v>199</v>
      </c>
      <c r="C216" s="349"/>
      <c r="D216" s="57" t="s">
        <v>48</v>
      </c>
      <c r="E216" s="58"/>
      <c r="F216" s="59"/>
      <c r="G216" s="58" t="s">
        <v>41</v>
      </c>
      <c r="H216" s="58"/>
      <c r="I216" s="58">
        <f>IF(G216&lt;&gt;"",5,0)</f>
        <v>5</v>
      </c>
      <c r="J216" s="58" t="s">
        <v>226</v>
      </c>
    </row>
    <row r="217" spans="1:10" hidden="1">
      <c r="A217" s="347"/>
      <c r="B217" s="84" t="s">
        <v>199</v>
      </c>
      <c r="C217" s="349"/>
      <c r="D217" s="60" t="s">
        <v>50</v>
      </c>
      <c r="E217" s="61"/>
      <c r="F217" s="62"/>
      <c r="G217" s="61"/>
      <c r="H217" s="61"/>
      <c r="I217" s="61">
        <f>SUM(I213:I216)</f>
        <v>20</v>
      </c>
      <c r="J217" s="61"/>
    </row>
    <row r="218" spans="1:10" ht="15" customHeight="1">
      <c r="A218" s="347">
        <v>44</v>
      </c>
      <c r="B218" s="84" t="s">
        <v>154</v>
      </c>
      <c r="C218" s="348" t="s">
        <v>229</v>
      </c>
      <c r="D218" s="57" t="s">
        <v>39</v>
      </c>
      <c r="E218" s="58"/>
      <c r="F218" s="59" t="s">
        <v>222</v>
      </c>
      <c r="G218" s="58" t="s">
        <v>41</v>
      </c>
      <c r="H218" s="58"/>
      <c r="I218" s="58">
        <v>5</v>
      </c>
      <c r="J218" s="58" t="s">
        <v>97</v>
      </c>
    </row>
    <row r="219" spans="1:10" hidden="1">
      <c r="A219" s="347"/>
      <c r="B219" s="84" t="s">
        <v>154</v>
      </c>
      <c r="C219" s="348"/>
      <c r="D219" s="57" t="s">
        <v>43</v>
      </c>
      <c r="E219" s="58" t="s">
        <v>44</v>
      </c>
      <c r="F219" s="59" t="s">
        <v>108</v>
      </c>
      <c r="G219" s="58" t="s">
        <v>41</v>
      </c>
      <c r="H219" s="58"/>
      <c r="I219" s="58">
        <v>5</v>
      </c>
      <c r="J219" s="58" t="s">
        <v>97</v>
      </c>
    </row>
    <row r="220" spans="1:10" hidden="1">
      <c r="A220" s="347"/>
      <c r="B220" s="84" t="s">
        <v>154</v>
      </c>
      <c r="C220" s="348"/>
      <c r="D220" s="57" t="s">
        <v>46</v>
      </c>
      <c r="E220" s="58"/>
      <c r="F220" s="59" t="s">
        <v>109</v>
      </c>
      <c r="G220" s="58" t="s">
        <v>41</v>
      </c>
      <c r="H220" s="58"/>
      <c r="I220" s="58">
        <v>5</v>
      </c>
      <c r="J220" s="58" t="s">
        <v>97</v>
      </c>
    </row>
    <row r="221" spans="1:10" hidden="1">
      <c r="A221" s="347"/>
      <c r="B221" s="84" t="s">
        <v>154</v>
      </c>
      <c r="C221" s="348"/>
      <c r="D221" s="57" t="s">
        <v>48</v>
      </c>
      <c r="E221" s="58"/>
      <c r="F221" s="59"/>
      <c r="G221" s="58" t="s">
        <v>41</v>
      </c>
      <c r="H221" s="58"/>
      <c r="I221" s="58">
        <v>5</v>
      </c>
      <c r="J221" s="58" t="s">
        <v>97</v>
      </c>
    </row>
    <row r="222" spans="1:10" hidden="1">
      <c r="A222" s="347"/>
      <c r="B222" s="84" t="s">
        <v>154</v>
      </c>
      <c r="C222" s="348"/>
      <c r="D222" s="60" t="s">
        <v>50</v>
      </c>
      <c r="E222" s="61"/>
      <c r="F222" s="62"/>
      <c r="G222" s="61"/>
      <c r="H222" s="61"/>
      <c r="I222" s="61">
        <v>20</v>
      </c>
      <c r="J222" s="61"/>
    </row>
    <row r="223" spans="1:10">
      <c r="A223" s="347">
        <v>45</v>
      </c>
      <c r="B223" s="84" t="s">
        <v>154</v>
      </c>
      <c r="C223" s="348" t="s">
        <v>230</v>
      </c>
      <c r="D223" s="57" t="s">
        <v>39</v>
      </c>
      <c r="E223" s="58"/>
      <c r="F223" s="59" t="s">
        <v>222</v>
      </c>
      <c r="G223" s="58" t="s">
        <v>41</v>
      </c>
      <c r="H223" s="58"/>
      <c r="I223" s="58">
        <f>IF(G223&lt;&gt;"",5,"0")</f>
        <v>5</v>
      </c>
      <c r="J223" s="58" t="s">
        <v>97</v>
      </c>
    </row>
    <row r="224" spans="1:10" hidden="1">
      <c r="A224" s="347"/>
      <c r="B224" s="84" t="s">
        <v>154</v>
      </c>
      <c r="C224" s="348"/>
      <c r="D224" s="57" t="s">
        <v>43</v>
      </c>
      <c r="E224" s="58" t="s">
        <v>44</v>
      </c>
      <c r="F224" s="59" t="s">
        <v>231</v>
      </c>
      <c r="G224" s="58"/>
      <c r="H224" s="58"/>
      <c r="I224" s="58">
        <f>IF(G224&lt;&gt;"",5,0)</f>
        <v>0</v>
      </c>
      <c r="J224" s="58" t="s">
        <v>97</v>
      </c>
    </row>
    <row r="225" spans="1:10" hidden="1">
      <c r="A225" s="347"/>
      <c r="B225" s="84" t="s">
        <v>154</v>
      </c>
      <c r="C225" s="348"/>
      <c r="D225" s="57" t="s">
        <v>46</v>
      </c>
      <c r="E225" s="58"/>
      <c r="F225" s="59" t="s">
        <v>109</v>
      </c>
      <c r="G225" s="58" t="s">
        <v>41</v>
      </c>
      <c r="H225" s="58"/>
      <c r="I225" s="58">
        <f>IF(G225&lt;&gt;"",5,"0")</f>
        <v>5</v>
      </c>
      <c r="J225" s="58" t="s">
        <v>97</v>
      </c>
    </row>
    <row r="226" spans="1:10" hidden="1">
      <c r="A226" s="347"/>
      <c r="B226" s="84" t="s">
        <v>154</v>
      </c>
      <c r="C226" s="348"/>
      <c r="D226" s="57" t="s">
        <v>48</v>
      </c>
      <c r="E226" s="58"/>
      <c r="F226" s="59"/>
      <c r="G226" s="58" t="s">
        <v>41</v>
      </c>
      <c r="H226" s="58"/>
      <c r="I226" s="58">
        <f>IF(G226&lt;&gt;"",5,"0")</f>
        <v>5</v>
      </c>
      <c r="J226" s="58" t="s">
        <v>97</v>
      </c>
    </row>
    <row r="227" spans="1:10" hidden="1">
      <c r="A227" s="347"/>
      <c r="B227" s="84" t="s">
        <v>154</v>
      </c>
      <c r="C227" s="348"/>
      <c r="D227" s="60" t="s">
        <v>50</v>
      </c>
      <c r="E227" s="61"/>
      <c r="F227" s="62"/>
      <c r="G227" s="61"/>
      <c r="H227" s="61"/>
      <c r="I227" s="61">
        <v>15</v>
      </c>
      <c r="J227" s="61"/>
    </row>
    <row r="228" spans="1:10">
      <c r="A228" s="347">
        <v>46</v>
      </c>
      <c r="B228" s="84" t="s">
        <v>154</v>
      </c>
      <c r="C228" s="348" t="s">
        <v>232</v>
      </c>
      <c r="D228" s="57" t="s">
        <v>39</v>
      </c>
      <c r="E228" s="58"/>
      <c r="F228" s="59" t="s">
        <v>233</v>
      </c>
      <c r="G228" s="58"/>
      <c r="H228" s="58" t="s">
        <v>41</v>
      </c>
      <c r="I228" s="58">
        <f>IF(G228&lt;&gt;"",5,0)</f>
        <v>0</v>
      </c>
      <c r="J228" s="58" t="s">
        <v>97</v>
      </c>
    </row>
    <row r="229" spans="1:10" hidden="1">
      <c r="A229" s="347"/>
      <c r="B229" s="84" t="s">
        <v>154</v>
      </c>
      <c r="C229" s="348"/>
      <c r="D229" s="57" t="s">
        <v>43</v>
      </c>
      <c r="E229" s="58" t="s">
        <v>44</v>
      </c>
      <c r="F229" s="59" t="s">
        <v>108</v>
      </c>
      <c r="G229" s="58" t="s">
        <v>41</v>
      </c>
      <c r="H229" s="58"/>
      <c r="I229" s="58">
        <f>IF(G229&lt;&gt;"",5,"0")</f>
        <v>5</v>
      </c>
      <c r="J229" s="58" t="s">
        <v>97</v>
      </c>
    </row>
    <row r="230" spans="1:10" hidden="1">
      <c r="A230" s="347"/>
      <c r="B230" s="84" t="s">
        <v>154</v>
      </c>
      <c r="C230" s="348"/>
      <c r="D230" s="57" t="s">
        <v>46</v>
      </c>
      <c r="E230" s="58"/>
      <c r="F230" s="59" t="s">
        <v>109</v>
      </c>
      <c r="G230" s="58" t="s">
        <v>41</v>
      </c>
      <c r="H230" s="58"/>
      <c r="I230" s="58">
        <f>IF(G230&lt;&gt;"",5,"0")</f>
        <v>5</v>
      </c>
      <c r="J230" s="58" t="s">
        <v>97</v>
      </c>
    </row>
    <row r="231" spans="1:10" hidden="1">
      <c r="A231" s="347"/>
      <c r="B231" s="84" t="s">
        <v>154</v>
      </c>
      <c r="C231" s="348"/>
      <c r="D231" s="57" t="s">
        <v>48</v>
      </c>
      <c r="E231" s="58"/>
      <c r="F231" s="59"/>
      <c r="G231" s="58" t="s">
        <v>41</v>
      </c>
      <c r="H231" s="58"/>
      <c r="I231" s="58">
        <f>IF(G231&lt;&gt;"",5,"0")</f>
        <v>5</v>
      </c>
      <c r="J231" s="58" t="s">
        <v>97</v>
      </c>
    </row>
    <row r="232" spans="1:10" hidden="1">
      <c r="A232" s="347"/>
      <c r="B232" s="84" t="s">
        <v>154</v>
      </c>
      <c r="C232" s="348"/>
      <c r="D232" s="60" t="s">
        <v>50</v>
      </c>
      <c r="E232" s="61"/>
      <c r="F232" s="62"/>
      <c r="G232" s="61"/>
      <c r="H232" s="61"/>
      <c r="I232" s="61">
        <v>15</v>
      </c>
      <c r="J232" s="61"/>
    </row>
    <row r="233" spans="1:10">
      <c r="A233" s="347">
        <v>47</v>
      </c>
      <c r="B233" s="84" t="s">
        <v>101</v>
      </c>
      <c r="C233" s="348" t="s">
        <v>234</v>
      </c>
      <c r="D233" s="57" t="s">
        <v>39</v>
      </c>
      <c r="E233" s="58"/>
      <c r="F233" s="59" t="s">
        <v>235</v>
      </c>
      <c r="G233" s="58" t="s">
        <v>41</v>
      </c>
      <c r="H233" s="58"/>
      <c r="I233" s="58">
        <v>5</v>
      </c>
      <c r="J233" s="58" t="s">
        <v>97</v>
      </c>
    </row>
    <row r="234" spans="1:10" hidden="1">
      <c r="A234" s="347"/>
      <c r="B234" s="84" t="s">
        <v>101</v>
      </c>
      <c r="C234" s="348"/>
      <c r="D234" s="57" t="s">
        <v>43</v>
      </c>
      <c r="E234" s="58" t="s">
        <v>44</v>
      </c>
      <c r="F234" s="59" t="s">
        <v>108</v>
      </c>
      <c r="G234" s="58" t="s">
        <v>41</v>
      </c>
      <c r="H234" s="58"/>
      <c r="I234" s="58">
        <v>5</v>
      </c>
      <c r="J234" s="58" t="s">
        <v>97</v>
      </c>
    </row>
    <row r="235" spans="1:10" hidden="1">
      <c r="A235" s="347"/>
      <c r="B235" s="84" t="s">
        <v>101</v>
      </c>
      <c r="C235" s="348"/>
      <c r="D235" s="57" t="s">
        <v>46</v>
      </c>
      <c r="E235" s="58"/>
      <c r="F235" s="59" t="s">
        <v>109</v>
      </c>
      <c r="G235" s="58" t="s">
        <v>41</v>
      </c>
      <c r="H235" s="58"/>
      <c r="I235" s="58">
        <v>5</v>
      </c>
      <c r="J235" s="58" t="s">
        <v>97</v>
      </c>
    </row>
    <row r="236" spans="1:10" hidden="1">
      <c r="A236" s="347"/>
      <c r="B236" s="84" t="s">
        <v>101</v>
      </c>
      <c r="C236" s="348"/>
      <c r="D236" s="57" t="s">
        <v>48</v>
      </c>
      <c r="E236" s="58"/>
      <c r="F236" s="59" t="s">
        <v>236</v>
      </c>
      <c r="G236" s="58" t="s">
        <v>41</v>
      </c>
      <c r="H236" s="58"/>
      <c r="I236" s="58">
        <v>5</v>
      </c>
      <c r="J236" s="58" t="s">
        <v>97</v>
      </c>
    </row>
    <row r="237" spans="1:10" hidden="1">
      <c r="A237" s="347"/>
      <c r="B237" s="84" t="s">
        <v>101</v>
      </c>
      <c r="C237" s="348"/>
      <c r="D237" s="60" t="s">
        <v>50</v>
      </c>
      <c r="E237" s="61"/>
      <c r="F237" s="62"/>
      <c r="G237" s="61"/>
      <c r="H237" s="61"/>
      <c r="I237" s="61">
        <f>SUM(I233:I236)</f>
        <v>20</v>
      </c>
      <c r="J237" s="61"/>
    </row>
    <row r="238" spans="1:10">
      <c r="A238" s="347">
        <v>48</v>
      </c>
      <c r="B238" s="84" t="s">
        <v>101</v>
      </c>
      <c r="C238" s="348" t="s">
        <v>237</v>
      </c>
      <c r="D238" s="57" t="s">
        <v>39</v>
      </c>
      <c r="E238" s="58"/>
      <c r="F238" s="59" t="s">
        <v>238</v>
      </c>
      <c r="G238" s="58"/>
      <c r="H238" s="58" t="s">
        <v>41</v>
      </c>
      <c r="I238" s="58">
        <f>IF(G238&lt;&gt;"",5,0)</f>
        <v>0</v>
      </c>
      <c r="J238" s="58" t="s">
        <v>239</v>
      </c>
    </row>
    <row r="239" spans="1:10" hidden="1">
      <c r="A239" s="347"/>
      <c r="B239" s="84" t="s">
        <v>101</v>
      </c>
      <c r="C239" s="348"/>
      <c r="D239" s="57" t="s">
        <v>43</v>
      </c>
      <c r="E239" s="58" t="s">
        <v>44</v>
      </c>
      <c r="F239" s="59" t="s">
        <v>108</v>
      </c>
      <c r="G239" s="58" t="s">
        <v>41</v>
      </c>
      <c r="H239" s="58"/>
      <c r="I239" s="58">
        <f>IF(G239&lt;&gt;"",5,"0")</f>
        <v>5</v>
      </c>
      <c r="J239" s="58" t="s">
        <v>97</v>
      </c>
    </row>
    <row r="240" spans="1:10" hidden="1">
      <c r="A240" s="347"/>
      <c r="B240" s="84" t="s">
        <v>101</v>
      </c>
      <c r="C240" s="348"/>
      <c r="D240" s="57" t="s">
        <v>46</v>
      </c>
      <c r="E240" s="58"/>
      <c r="F240" s="59" t="s">
        <v>109</v>
      </c>
      <c r="G240" s="58" t="s">
        <v>41</v>
      </c>
      <c r="H240" s="58"/>
      <c r="I240" s="58">
        <f>IF(G240&lt;&gt;"",5,"0")</f>
        <v>5</v>
      </c>
      <c r="J240" s="58" t="s">
        <v>97</v>
      </c>
    </row>
    <row r="241" spans="1:10" hidden="1">
      <c r="A241" s="347"/>
      <c r="B241" s="84" t="s">
        <v>101</v>
      </c>
      <c r="C241" s="348"/>
      <c r="D241" s="57" t="s">
        <v>48</v>
      </c>
      <c r="E241" s="58"/>
      <c r="F241" s="59"/>
      <c r="G241" s="58" t="s">
        <v>41</v>
      </c>
      <c r="H241" s="58"/>
      <c r="I241" s="58">
        <f>IF(G241&lt;&gt;"",5,"0")</f>
        <v>5</v>
      </c>
      <c r="J241" s="58" t="s">
        <v>97</v>
      </c>
    </row>
    <row r="242" spans="1:10" hidden="1">
      <c r="A242" s="347"/>
      <c r="B242" s="84" t="s">
        <v>101</v>
      </c>
      <c r="C242" s="348"/>
      <c r="D242" s="60" t="s">
        <v>50</v>
      </c>
      <c r="E242" s="61"/>
      <c r="F242" s="62"/>
      <c r="G242" s="61"/>
      <c r="H242" s="61"/>
      <c r="I242" s="61">
        <v>15</v>
      </c>
      <c r="J242" s="61"/>
    </row>
    <row r="243" spans="1:10">
      <c r="A243" s="347">
        <v>49</v>
      </c>
      <c r="B243" s="84" t="s">
        <v>94</v>
      </c>
      <c r="C243" s="348" t="s">
        <v>240</v>
      </c>
      <c r="D243" s="57" t="s">
        <v>39</v>
      </c>
      <c r="E243" s="58"/>
      <c r="F243" s="59" t="s">
        <v>241</v>
      </c>
      <c r="G243" s="58" t="s">
        <v>41</v>
      </c>
      <c r="H243" s="58"/>
      <c r="I243" s="58">
        <v>5</v>
      </c>
      <c r="J243" s="58" t="s">
        <v>97</v>
      </c>
    </row>
    <row r="244" spans="1:10" hidden="1">
      <c r="A244" s="347"/>
      <c r="B244" s="84" t="s">
        <v>94</v>
      </c>
      <c r="C244" s="348"/>
      <c r="D244" s="57" t="s">
        <v>43</v>
      </c>
      <c r="E244" s="58" t="s">
        <v>44</v>
      </c>
      <c r="F244" s="59" t="s">
        <v>108</v>
      </c>
      <c r="G244" s="58" t="s">
        <v>41</v>
      </c>
      <c r="H244" s="58"/>
      <c r="I244" s="58">
        <v>5</v>
      </c>
      <c r="J244" s="58" t="s">
        <v>97</v>
      </c>
    </row>
    <row r="245" spans="1:10" hidden="1">
      <c r="A245" s="347"/>
      <c r="B245" s="84" t="s">
        <v>94</v>
      </c>
      <c r="C245" s="348"/>
      <c r="D245" s="57" t="s">
        <v>46</v>
      </c>
      <c r="E245" s="58"/>
      <c r="F245" s="59" t="s">
        <v>109</v>
      </c>
      <c r="G245" s="58" t="s">
        <v>41</v>
      </c>
      <c r="H245" s="58"/>
      <c r="I245" s="58">
        <v>5</v>
      </c>
      <c r="J245" s="58" t="s">
        <v>97</v>
      </c>
    </row>
    <row r="246" spans="1:10" hidden="1">
      <c r="A246" s="347"/>
      <c r="B246" s="84" t="s">
        <v>94</v>
      </c>
      <c r="C246" s="348"/>
      <c r="D246" s="57" t="s">
        <v>48</v>
      </c>
      <c r="E246" s="58"/>
      <c r="F246" s="59"/>
      <c r="G246" s="58" t="s">
        <v>41</v>
      </c>
      <c r="H246" s="58"/>
      <c r="I246" s="58">
        <v>5</v>
      </c>
      <c r="J246" s="58" t="s">
        <v>97</v>
      </c>
    </row>
    <row r="247" spans="1:10" hidden="1">
      <c r="A247" s="347"/>
      <c r="B247" s="84" t="s">
        <v>94</v>
      </c>
      <c r="C247" s="348"/>
      <c r="D247" s="60" t="s">
        <v>50</v>
      </c>
      <c r="E247" s="61"/>
      <c r="F247" s="62"/>
      <c r="G247" s="61"/>
      <c r="H247" s="61"/>
      <c r="I247" s="61">
        <v>20</v>
      </c>
      <c r="J247" s="61"/>
    </row>
    <row r="248" spans="1:10">
      <c r="A248" s="347">
        <v>50</v>
      </c>
      <c r="B248" s="84" t="s">
        <v>55</v>
      </c>
      <c r="C248" s="348" t="s">
        <v>242</v>
      </c>
      <c r="D248" s="57" t="s">
        <v>39</v>
      </c>
      <c r="E248" s="58"/>
      <c r="F248" s="59" t="s">
        <v>243</v>
      </c>
      <c r="G248" s="58"/>
      <c r="H248" s="58" t="s">
        <v>41</v>
      </c>
      <c r="I248" s="58">
        <f>IF(G248&lt;&gt;"",5,0)</f>
        <v>0</v>
      </c>
      <c r="J248" s="58" t="s">
        <v>97</v>
      </c>
    </row>
    <row r="249" spans="1:10" hidden="1">
      <c r="A249" s="347"/>
      <c r="B249" s="84" t="s">
        <v>55</v>
      </c>
      <c r="C249" s="348"/>
      <c r="D249" s="57" t="s">
        <v>43</v>
      </c>
      <c r="E249" s="58" t="s">
        <v>44</v>
      </c>
      <c r="F249" s="59" t="s">
        <v>108</v>
      </c>
      <c r="G249" s="58" t="s">
        <v>41</v>
      </c>
      <c r="H249" s="58"/>
      <c r="I249" s="58">
        <f>IF(G249&lt;&gt;"",5,"0")</f>
        <v>5</v>
      </c>
      <c r="J249" s="58" t="s">
        <v>97</v>
      </c>
    </row>
    <row r="250" spans="1:10" hidden="1">
      <c r="A250" s="347"/>
      <c r="B250" s="84" t="s">
        <v>55</v>
      </c>
      <c r="C250" s="348"/>
      <c r="D250" s="57" t="s">
        <v>46</v>
      </c>
      <c r="E250" s="58"/>
      <c r="F250" s="59" t="s">
        <v>109</v>
      </c>
      <c r="G250" s="58" t="s">
        <v>41</v>
      </c>
      <c r="H250" s="58"/>
      <c r="I250" s="58">
        <f>IF(G250&lt;&gt;"",5,"0")</f>
        <v>5</v>
      </c>
      <c r="J250" s="58" t="s">
        <v>97</v>
      </c>
    </row>
    <row r="251" spans="1:10" hidden="1">
      <c r="A251" s="347"/>
      <c r="B251" s="84" t="s">
        <v>55</v>
      </c>
      <c r="C251" s="348"/>
      <c r="D251" s="57" t="s">
        <v>48</v>
      </c>
      <c r="E251" s="58"/>
      <c r="F251" s="59" t="s">
        <v>236</v>
      </c>
      <c r="G251" s="58"/>
      <c r="H251" s="58" t="s">
        <v>41</v>
      </c>
      <c r="I251" s="58">
        <f>IF(G251&lt;&gt;"",5,0)</f>
        <v>0</v>
      </c>
      <c r="J251" s="58" t="s">
        <v>97</v>
      </c>
    </row>
    <row r="252" spans="1:10" hidden="1">
      <c r="A252" s="347"/>
      <c r="B252" s="84" t="s">
        <v>55</v>
      </c>
      <c r="C252" s="348"/>
      <c r="D252" s="60" t="s">
        <v>50</v>
      </c>
      <c r="E252" s="61"/>
      <c r="F252" s="62"/>
      <c r="G252" s="61"/>
      <c r="H252" s="61"/>
      <c r="I252" s="61">
        <v>10</v>
      </c>
      <c r="J252" s="61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16" sqref="E16"/>
    </sheetView>
  </sheetViews>
  <sheetFormatPr defaultRowHeight="15"/>
  <cols>
    <col min="3" max="4" width="15.28515625" bestFit="1" customWidth="1"/>
  </cols>
  <sheetData>
    <row r="1" spans="1:4">
      <c r="A1" s="142" t="s">
        <v>296</v>
      </c>
      <c r="B1" s="142"/>
      <c r="C1" s="142" t="s">
        <v>294</v>
      </c>
      <c r="D1" s="142" t="s">
        <v>295</v>
      </c>
    </row>
    <row r="2" spans="1:4">
      <c r="A2" s="142" t="s">
        <v>293</v>
      </c>
      <c r="B2" s="142">
        <v>26</v>
      </c>
      <c r="C2" s="143">
        <f>B2*6000000</f>
        <v>156000000</v>
      </c>
      <c r="D2" s="143">
        <f>C2</f>
        <v>156000000</v>
      </c>
    </row>
    <row r="3" spans="1:4">
      <c r="A3" s="142" t="s">
        <v>17</v>
      </c>
      <c r="B3" s="142">
        <v>5</v>
      </c>
      <c r="C3" s="143">
        <f>7200000*B3</f>
        <v>36000000</v>
      </c>
      <c r="D3" s="143">
        <f>(7200000-1920000)*5</f>
        <v>26400000</v>
      </c>
    </row>
    <row r="4" spans="1:4">
      <c r="A4" s="142" t="s">
        <v>17</v>
      </c>
      <c r="B4" s="142">
        <v>2</v>
      </c>
      <c r="C4" s="143">
        <f>10200000*B4</f>
        <v>20400000</v>
      </c>
      <c r="D4" s="143">
        <f>4200000*2</f>
        <v>8400000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5" tint="-0.249977111117893"/>
  </sheetPr>
  <dimension ref="A1:AF852"/>
  <sheetViews>
    <sheetView zoomScale="82" zoomScaleNormal="82" workbookViewId="0">
      <pane xSplit="7" ySplit="3" topLeftCell="N728" activePane="bottomRight" state="frozen"/>
      <selection activeCell="H37" sqref="H37:H38"/>
      <selection pane="topRight" activeCell="H37" sqref="H37:H38"/>
      <selection pane="bottomLeft" activeCell="H37" sqref="H37:H38"/>
      <selection pane="bottomRight" activeCell="D865" sqref="D865"/>
    </sheetView>
  </sheetViews>
  <sheetFormatPr defaultColWidth="15.5703125" defaultRowHeight="15"/>
  <cols>
    <col min="1" max="1" width="8.85546875" style="181" customWidth="1"/>
    <col min="2" max="2" width="12.7109375" style="181" customWidth="1"/>
    <col min="3" max="3" width="15.85546875" style="181" customWidth="1"/>
    <col min="4" max="6" width="15.5703125" style="181"/>
    <col min="7" max="7" width="23.7109375" style="181" customWidth="1"/>
    <col min="8" max="11" width="15.5703125" style="181" customWidth="1"/>
    <col min="12" max="12" width="15.5703125" style="181"/>
    <col min="13" max="13" width="46.7109375" style="181" customWidth="1"/>
    <col min="14" max="14" width="15.5703125" style="181"/>
    <col min="15" max="17" width="15.5703125" style="181" customWidth="1"/>
    <col min="18" max="18" width="18.5703125" style="181" customWidth="1"/>
    <col min="19" max="19" width="16.85546875" style="181" bestFit="1" customWidth="1"/>
    <col min="20" max="23" width="15.5703125" style="181"/>
    <col min="24" max="24" width="19.7109375" style="181" customWidth="1"/>
    <col min="25" max="25" width="16.85546875" style="181" bestFit="1" customWidth="1"/>
    <col min="26" max="30" width="14.85546875" style="181" customWidth="1"/>
    <col min="31" max="16384" width="15.5703125" style="181"/>
  </cols>
  <sheetData>
    <row r="1" spans="1:32" ht="20.25" customHeight="1">
      <c r="A1" s="176" t="s">
        <v>309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8">
        <f>+'[2]Daily 1st Report tách kênh'!H367</f>
        <v>39591468.352593102</v>
      </c>
      <c r="S1" s="179">
        <f>+R2-R1</f>
        <v>-32596464.976093002</v>
      </c>
      <c r="T1" s="180"/>
      <c r="U1" s="180" t="s">
        <v>310</v>
      </c>
      <c r="V1" s="180" t="s">
        <v>310</v>
      </c>
      <c r="W1" s="180" t="s">
        <v>310</v>
      </c>
    </row>
    <row r="2" spans="1:32" ht="15.75" customHeight="1">
      <c r="A2" s="182"/>
      <c r="B2" s="183"/>
      <c r="C2" s="183" t="s">
        <v>311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4">
        <f>+SUM(N4:N852)-SUMIFS(N4:N852,$G$4:$G$852,"NABATI")</f>
        <v>33783.532999999996</v>
      </c>
      <c r="O2" s="183"/>
      <c r="P2" s="183"/>
      <c r="Q2" s="183"/>
      <c r="R2" s="185">
        <f>+SUM(R4:R852)/1000-SUMIFS(R4:R852,$G$4:$G$852,"NABATI")/1000</f>
        <v>6995003.3765001018</v>
      </c>
      <c r="S2" s="186"/>
      <c r="T2" s="186"/>
      <c r="U2" s="186" t="s">
        <v>310</v>
      </c>
      <c r="V2" s="186" t="s">
        <v>310</v>
      </c>
      <c r="W2" s="186" t="s">
        <v>310</v>
      </c>
      <c r="Z2" s="181" t="s">
        <v>312</v>
      </c>
    </row>
    <row r="3" spans="1:32" s="189" customFormat="1" ht="18" customHeight="1">
      <c r="A3" s="187" t="s">
        <v>313</v>
      </c>
      <c r="B3" s="187" t="s">
        <v>314</v>
      </c>
      <c r="C3" s="187" t="s">
        <v>315</v>
      </c>
      <c r="D3" s="187" t="s">
        <v>316</v>
      </c>
      <c r="E3" s="187" t="s">
        <v>317</v>
      </c>
      <c r="F3" s="187" t="s">
        <v>318</v>
      </c>
      <c r="G3" s="187" t="s">
        <v>319</v>
      </c>
      <c r="H3" s="187" t="s">
        <v>320</v>
      </c>
      <c r="I3" s="187" t="s">
        <v>321</v>
      </c>
      <c r="J3" s="187" t="s">
        <v>322</v>
      </c>
      <c r="K3" s="187" t="s">
        <v>323</v>
      </c>
      <c r="L3" s="187" t="s">
        <v>324</v>
      </c>
      <c r="M3" s="188" t="s">
        <v>325</v>
      </c>
      <c r="N3" s="188" t="s">
        <v>326</v>
      </c>
      <c r="O3" s="187" t="s">
        <v>327</v>
      </c>
      <c r="P3" s="187" t="s">
        <v>328</v>
      </c>
      <c r="Q3" s="187" t="s">
        <v>329</v>
      </c>
      <c r="R3" s="187" t="s">
        <v>330</v>
      </c>
      <c r="S3" s="187" t="s">
        <v>331</v>
      </c>
      <c r="T3" s="187" t="s">
        <v>332</v>
      </c>
      <c r="U3" s="187" t="s">
        <v>333</v>
      </c>
      <c r="V3" s="187" t="s">
        <v>334</v>
      </c>
      <c r="W3" s="187" t="s">
        <v>335</v>
      </c>
      <c r="X3" s="187" t="s">
        <v>336</v>
      </c>
      <c r="Y3" s="187" t="s">
        <v>337</v>
      </c>
      <c r="Z3" s="187" t="s">
        <v>338</v>
      </c>
      <c r="AA3" s="187" t="s">
        <v>339</v>
      </c>
      <c r="AB3" s="187" t="s">
        <v>340</v>
      </c>
      <c r="AC3" s="187" t="s">
        <v>341</v>
      </c>
      <c r="AD3" s="187" t="s">
        <v>342</v>
      </c>
      <c r="AE3" s="187" t="s">
        <v>343</v>
      </c>
      <c r="AF3" s="187" t="s">
        <v>344</v>
      </c>
    </row>
    <row r="4" spans="1:32" ht="12.95" customHeight="1">
      <c r="A4" s="190">
        <v>10249</v>
      </c>
      <c r="B4" s="191">
        <v>43557</v>
      </c>
      <c r="C4" s="190" t="s">
        <v>311</v>
      </c>
      <c r="D4" s="190" t="s">
        <v>345</v>
      </c>
      <c r="E4" s="190" t="s">
        <v>346</v>
      </c>
      <c r="F4" s="190" t="s">
        <v>347</v>
      </c>
      <c r="G4" s="192" t="s">
        <v>348</v>
      </c>
      <c r="H4" s="192" t="s">
        <v>296</v>
      </c>
      <c r="I4" s="192" t="s">
        <v>349</v>
      </c>
      <c r="J4" s="192" t="s">
        <v>350</v>
      </c>
      <c r="K4" s="190" t="s">
        <v>351</v>
      </c>
      <c r="L4" s="190" t="s">
        <v>352</v>
      </c>
      <c r="M4" s="192" t="s">
        <v>353</v>
      </c>
      <c r="N4" s="193">
        <v>-50</v>
      </c>
      <c r="O4" s="193">
        <v>119700.35</v>
      </c>
      <c r="P4" s="194">
        <v>-5985017.5</v>
      </c>
      <c r="Q4" s="194">
        <v>-598501.75</v>
      </c>
      <c r="R4" s="194">
        <v>-6583519.25</v>
      </c>
      <c r="S4" s="192" t="s">
        <v>354</v>
      </c>
      <c r="T4" s="192" t="s">
        <v>355</v>
      </c>
      <c r="U4" s="190">
        <v>0</v>
      </c>
      <c r="V4" s="190"/>
      <c r="W4" s="195" t="s">
        <v>356</v>
      </c>
      <c r="X4" s="196" t="str">
        <f>+IFERROR(VLOOKUP($F4,'[2]Chuyển đổi mã'!$A$1:$C$91,3,0),$F4)&amp;AC4</f>
        <v>Big C South320463</v>
      </c>
      <c r="Y4" s="196" t="str">
        <f>IFERROR(VLOOKUP($F4,'[2]Chuyển đổi mã'!$A$1:$C$184,3,0),F4)</f>
        <v>Big C South</v>
      </c>
      <c r="Z4" s="196" t="str">
        <f>VLOOKUP($G4,'[2]Thông tin NPP'!$B:$D,3,0)</f>
        <v>Big C South</v>
      </c>
      <c r="AA4" s="196" t="str">
        <f>LEFT($M4,10)</f>
        <v>Na 8,5g</v>
      </c>
      <c r="AB4" s="196" t="str">
        <f>IFERROR(VLOOKUP(DAY(B4),'[2]Chuyển đổi mã'!$F$1:$G$32,2,0),0)</f>
        <v>W1</v>
      </c>
      <c r="AC4" s="196" t="str">
        <f>LEFT(L4,6)</f>
        <v>320463</v>
      </c>
      <c r="AD4" s="196" t="str">
        <f>LEFT(F4,3)</f>
        <v>NPP</v>
      </c>
      <c r="AE4" s="196" t="str">
        <f>AD4&amp;AC4</f>
        <v>NPP320463</v>
      </c>
      <c r="AF4" s="196">
        <f>IF(RIGHT(L4,1)="P","P",0)</f>
        <v>0</v>
      </c>
    </row>
    <row r="5" spans="1:32" ht="12.95" customHeight="1">
      <c r="A5" s="190">
        <v>10249</v>
      </c>
      <c r="B5" s="191">
        <v>43557</v>
      </c>
      <c r="C5" s="190" t="s">
        <v>311</v>
      </c>
      <c r="D5" s="190" t="s">
        <v>345</v>
      </c>
      <c r="E5" s="190" t="s">
        <v>346</v>
      </c>
      <c r="F5" s="190" t="s">
        <v>347</v>
      </c>
      <c r="G5" s="192" t="s">
        <v>348</v>
      </c>
      <c r="H5" s="192" t="s">
        <v>296</v>
      </c>
      <c r="I5" s="192" t="s">
        <v>349</v>
      </c>
      <c r="J5" s="192" t="s">
        <v>350</v>
      </c>
      <c r="K5" s="190" t="s">
        <v>351</v>
      </c>
      <c r="L5" s="190" t="s">
        <v>357</v>
      </c>
      <c r="M5" s="192" t="s">
        <v>358</v>
      </c>
      <c r="N5" s="193">
        <v>-1</v>
      </c>
      <c r="O5" s="193">
        <v>213273</v>
      </c>
      <c r="P5" s="194">
        <v>-213273</v>
      </c>
      <c r="Q5" s="194">
        <v>-21327.3</v>
      </c>
      <c r="R5" s="194">
        <v>-234600.3</v>
      </c>
      <c r="S5" s="192"/>
      <c r="T5" s="192" t="s">
        <v>310</v>
      </c>
      <c r="U5" s="190">
        <v>0</v>
      </c>
      <c r="V5" s="190"/>
      <c r="W5" s="195" t="s">
        <v>356</v>
      </c>
      <c r="X5" s="196" t="str">
        <f>+IFERROR(VLOOKUP($F5,'[2]Chuyển đổi mã'!$A$1:$C$91,3,0),$F5)&amp;AC5</f>
        <v>Big C South323555</v>
      </c>
      <c r="Y5" s="196" t="str">
        <f>IFERROR(VLOOKUP($F5,'[2]Chuyển đổi mã'!$A$1:$C$184,3,0),F5)</f>
        <v>Big C South</v>
      </c>
      <c r="Z5" s="196" t="str">
        <f>VLOOKUP($G5,'[2]Thông tin NPP'!$B:$D,3,0)</f>
        <v>Big C South</v>
      </c>
      <c r="AA5" s="196" t="str">
        <f t="shared" ref="AA5:AA9" si="0">LEFT($M5,10)</f>
        <v>Na 17g - M</v>
      </c>
      <c r="AB5" s="196" t="str">
        <f>IFERROR(VLOOKUP(DAY(B5),'[2]Chuyển đổi mã'!$F$1:$G$32,2,0),0)</f>
        <v>W1</v>
      </c>
      <c r="AC5" s="196" t="str">
        <f t="shared" ref="AC5:AC9" si="1">LEFT(L5,6)</f>
        <v>323555</v>
      </c>
      <c r="AD5" s="196" t="str">
        <f t="shared" ref="AD5:AD9" si="2">LEFT(F5,3)</f>
        <v>NPP</v>
      </c>
      <c r="AE5" s="196" t="str">
        <f t="shared" ref="AE5:AE9" si="3">AD5&amp;AC5</f>
        <v>NPP323555</v>
      </c>
      <c r="AF5" s="196">
        <f t="shared" ref="AF5:AF9" si="4">IF(RIGHT(L5,1)="P","P",0)</f>
        <v>0</v>
      </c>
    </row>
    <row r="6" spans="1:32" ht="12.95" customHeight="1">
      <c r="A6" s="190">
        <v>10249</v>
      </c>
      <c r="B6" s="191">
        <v>43557</v>
      </c>
      <c r="C6" s="190" t="s">
        <v>311</v>
      </c>
      <c r="D6" s="190" t="s">
        <v>345</v>
      </c>
      <c r="E6" s="190" t="s">
        <v>346</v>
      </c>
      <c r="F6" s="190" t="s">
        <v>347</v>
      </c>
      <c r="G6" s="192" t="s">
        <v>348</v>
      </c>
      <c r="H6" s="192" t="s">
        <v>296</v>
      </c>
      <c r="I6" s="192" t="s">
        <v>349</v>
      </c>
      <c r="J6" s="192" t="s">
        <v>350</v>
      </c>
      <c r="K6" s="190" t="s">
        <v>351</v>
      </c>
      <c r="L6" s="190" t="s">
        <v>359</v>
      </c>
      <c r="M6" s="192" t="s">
        <v>360</v>
      </c>
      <c r="N6" s="193">
        <v>-1</v>
      </c>
      <c r="O6" s="193">
        <v>313636</v>
      </c>
      <c r="P6" s="194">
        <v>-313636</v>
      </c>
      <c r="Q6" s="194">
        <v>-31363.599999999999</v>
      </c>
      <c r="R6" s="194">
        <v>-344999.6</v>
      </c>
      <c r="S6" s="192"/>
      <c r="T6" s="192" t="s">
        <v>310</v>
      </c>
      <c r="U6" s="190">
        <v>0</v>
      </c>
      <c r="V6" s="190"/>
      <c r="W6" s="195" t="s">
        <v>356</v>
      </c>
      <c r="X6" s="196" t="str">
        <f>+IFERROR(VLOOKUP($F6,'[2]Chuyển đổi mã'!$A$1:$C$91,3,0),$F6)&amp;AC6</f>
        <v>Big C South320445</v>
      </c>
      <c r="Y6" s="196" t="str">
        <f>IFERROR(VLOOKUP($F6,'[2]Chuyển đổi mã'!$A$1:$C$184,3,0),F6)</f>
        <v>Big C South</v>
      </c>
      <c r="Z6" s="196" t="str">
        <f>VLOOKUP($G6,'[2]Thông tin NPP'!$B:$D,3,0)</f>
        <v>Big C South</v>
      </c>
      <c r="AA6" s="196" t="str">
        <f t="shared" si="0"/>
        <v>Na 58g</v>
      </c>
      <c r="AB6" s="196" t="str">
        <f>IFERROR(VLOOKUP(DAY(B6),'[2]Chuyển đổi mã'!$F$1:$G$32,2,0),0)</f>
        <v>W1</v>
      </c>
      <c r="AC6" s="196" t="str">
        <f t="shared" si="1"/>
        <v>320445</v>
      </c>
      <c r="AD6" s="196" t="str">
        <f t="shared" si="2"/>
        <v>NPP</v>
      </c>
      <c r="AE6" s="196" t="str">
        <f t="shared" si="3"/>
        <v>NPP320445</v>
      </c>
      <c r="AF6" s="196">
        <f t="shared" si="4"/>
        <v>0</v>
      </c>
    </row>
    <row r="7" spans="1:32" ht="12.95" customHeight="1">
      <c r="A7" s="190">
        <v>10249</v>
      </c>
      <c r="B7" s="191">
        <v>43557</v>
      </c>
      <c r="C7" s="190" t="s">
        <v>311</v>
      </c>
      <c r="D7" s="190" t="s">
        <v>345</v>
      </c>
      <c r="E7" s="190" t="s">
        <v>346</v>
      </c>
      <c r="F7" s="190" t="s">
        <v>347</v>
      </c>
      <c r="G7" s="192" t="s">
        <v>348</v>
      </c>
      <c r="H7" s="192" t="s">
        <v>296</v>
      </c>
      <c r="I7" s="192" t="s">
        <v>349</v>
      </c>
      <c r="J7" s="192" t="s">
        <v>350</v>
      </c>
      <c r="K7" s="190" t="s">
        <v>351</v>
      </c>
      <c r="L7" s="190" t="s">
        <v>361</v>
      </c>
      <c r="M7" s="192" t="s">
        <v>362</v>
      </c>
      <c r="N7" s="193">
        <v>-1</v>
      </c>
      <c r="O7" s="193">
        <v>313636</v>
      </c>
      <c r="P7" s="194">
        <v>-313636</v>
      </c>
      <c r="Q7" s="194">
        <v>-31363.599999999999</v>
      </c>
      <c r="R7" s="194">
        <v>-344999.6</v>
      </c>
      <c r="S7" s="192"/>
      <c r="T7" s="192" t="s">
        <v>310</v>
      </c>
      <c r="U7" s="190">
        <v>0</v>
      </c>
      <c r="V7" s="190"/>
      <c r="W7" s="195" t="s">
        <v>356</v>
      </c>
      <c r="X7" s="196" t="str">
        <f>+IFERROR(VLOOKUP($F7,'[2]Chuyển đổi mã'!$A$1:$C$91,3,0),$F7)&amp;AC7</f>
        <v>Big C South331017</v>
      </c>
      <c r="Y7" s="196" t="str">
        <f>IFERROR(VLOOKUP($F7,'[2]Chuyển đổi mã'!$A$1:$C$184,3,0),F7)</f>
        <v>Big C South</v>
      </c>
      <c r="Z7" s="196" t="str">
        <f>VLOOKUP($G7,'[2]Thông tin NPP'!$B:$D,3,0)</f>
        <v>Big C South</v>
      </c>
      <c r="AA7" s="196" t="str">
        <f t="shared" si="0"/>
        <v>Richoco Wf</v>
      </c>
      <c r="AB7" s="196" t="str">
        <f>IFERROR(VLOOKUP(DAY(B7),'[2]Chuyển đổi mã'!$F$1:$G$32,2,0),0)</f>
        <v>W1</v>
      </c>
      <c r="AC7" s="196" t="str">
        <f t="shared" si="1"/>
        <v>331017</v>
      </c>
      <c r="AD7" s="196" t="str">
        <f t="shared" si="2"/>
        <v>NPP</v>
      </c>
      <c r="AE7" s="196" t="str">
        <f t="shared" si="3"/>
        <v>NPP331017</v>
      </c>
      <c r="AF7" s="196">
        <f t="shared" si="4"/>
        <v>0</v>
      </c>
    </row>
    <row r="8" spans="1:32" ht="12.95" customHeight="1">
      <c r="A8" s="190">
        <v>10249</v>
      </c>
      <c r="B8" s="191">
        <v>43557</v>
      </c>
      <c r="C8" s="190" t="s">
        <v>311</v>
      </c>
      <c r="D8" s="190" t="s">
        <v>345</v>
      </c>
      <c r="E8" s="190" t="s">
        <v>346</v>
      </c>
      <c r="F8" s="190" t="s">
        <v>347</v>
      </c>
      <c r="G8" s="192" t="s">
        <v>348</v>
      </c>
      <c r="H8" s="192" t="s">
        <v>296</v>
      </c>
      <c r="I8" s="192" t="s">
        <v>349</v>
      </c>
      <c r="J8" s="192" t="s">
        <v>350</v>
      </c>
      <c r="K8" s="190" t="s">
        <v>351</v>
      </c>
      <c r="L8" s="190" t="s">
        <v>363</v>
      </c>
      <c r="M8" s="192" t="s">
        <v>364</v>
      </c>
      <c r="N8" s="193">
        <v>-1</v>
      </c>
      <c r="O8" s="193">
        <v>334545</v>
      </c>
      <c r="P8" s="194">
        <v>-334545</v>
      </c>
      <c r="Q8" s="194">
        <v>-33454.5</v>
      </c>
      <c r="R8" s="194">
        <v>-367999.5</v>
      </c>
      <c r="S8" s="192"/>
      <c r="T8" s="192" t="s">
        <v>310</v>
      </c>
      <c r="U8" s="190">
        <v>0</v>
      </c>
      <c r="V8" s="190"/>
      <c r="W8" s="195" t="s">
        <v>356</v>
      </c>
      <c r="X8" s="196" t="str">
        <f>+IFERROR(VLOOKUP($F8,'[2]Chuyển đổi mã'!$A$1:$C$91,3,0),$F8)&amp;AC8</f>
        <v>Big C South323708</v>
      </c>
      <c r="Y8" s="196" t="str">
        <f>IFERROR(VLOOKUP($F8,'[2]Chuyển đổi mã'!$A$1:$C$184,3,0),F8)</f>
        <v>Big C South</v>
      </c>
      <c r="Z8" s="196" t="str">
        <f>VLOOKUP($G8,'[2]Thông tin NPP'!$B:$D,3,0)</f>
        <v>Big C South</v>
      </c>
      <c r="AA8" s="196" t="str">
        <f t="shared" si="0"/>
        <v>Nextar Bro</v>
      </c>
      <c r="AB8" s="196" t="str">
        <f>IFERROR(VLOOKUP(DAY(B8),'[2]Chuyển đổi mã'!$F$1:$G$32,2,0),0)</f>
        <v>W1</v>
      </c>
      <c r="AC8" s="196" t="str">
        <f t="shared" si="1"/>
        <v>323708</v>
      </c>
      <c r="AD8" s="196" t="str">
        <f t="shared" si="2"/>
        <v>NPP</v>
      </c>
      <c r="AE8" s="196" t="str">
        <f t="shared" si="3"/>
        <v>NPP323708</v>
      </c>
      <c r="AF8" s="196">
        <f t="shared" si="4"/>
        <v>0</v>
      </c>
    </row>
    <row r="9" spans="1:32" ht="12.95" customHeight="1">
      <c r="A9" s="190">
        <v>10249</v>
      </c>
      <c r="B9" s="191">
        <v>43557</v>
      </c>
      <c r="C9" s="190" t="s">
        <v>311</v>
      </c>
      <c r="D9" s="190" t="s">
        <v>345</v>
      </c>
      <c r="E9" s="190" t="s">
        <v>346</v>
      </c>
      <c r="F9" s="190" t="s">
        <v>347</v>
      </c>
      <c r="G9" s="192" t="s">
        <v>348</v>
      </c>
      <c r="H9" s="192" t="s">
        <v>296</v>
      </c>
      <c r="I9" s="192" t="s">
        <v>349</v>
      </c>
      <c r="J9" s="192" t="s">
        <v>350</v>
      </c>
      <c r="K9" s="190" t="s">
        <v>351</v>
      </c>
      <c r="L9" s="190" t="s">
        <v>365</v>
      </c>
      <c r="M9" s="192" t="s">
        <v>366</v>
      </c>
      <c r="N9" s="193">
        <v>-1</v>
      </c>
      <c r="O9" s="193">
        <v>313636</v>
      </c>
      <c r="P9" s="194">
        <v>-313636</v>
      </c>
      <c r="Q9" s="194">
        <v>-31363.599999999999</v>
      </c>
      <c r="R9" s="194">
        <v>-344999.6</v>
      </c>
      <c r="S9" s="192"/>
      <c r="T9" s="192" t="s">
        <v>310</v>
      </c>
      <c r="U9" s="190">
        <v>0</v>
      </c>
      <c r="V9" s="190"/>
      <c r="W9" s="195" t="s">
        <v>356</v>
      </c>
      <c r="X9" s="196" t="str">
        <f>+IFERROR(VLOOKUP($F9,'[2]Chuyển đổi mã'!$A$1:$C$91,3,0),$F9)&amp;AC9</f>
        <v>Big C South323709</v>
      </c>
      <c r="Y9" s="196" t="str">
        <f>IFERROR(VLOOKUP($F9,'[2]Chuyển đổi mã'!$A$1:$C$184,3,0),F9)</f>
        <v>Big C South</v>
      </c>
      <c r="Z9" s="196" t="str">
        <f>VLOOKUP($G9,'[2]Thông tin NPP'!$B:$D,3,0)</f>
        <v>Big C South</v>
      </c>
      <c r="AA9" s="196" t="str">
        <f t="shared" si="0"/>
        <v>Nextar Bro</v>
      </c>
      <c r="AB9" s="196" t="str">
        <f>IFERROR(VLOOKUP(DAY(B9),'[2]Chuyển đổi mã'!$F$1:$G$32,2,0),0)</f>
        <v>W1</v>
      </c>
      <c r="AC9" s="196" t="str">
        <f t="shared" si="1"/>
        <v>323709</v>
      </c>
      <c r="AD9" s="196" t="str">
        <f t="shared" si="2"/>
        <v>NPP</v>
      </c>
      <c r="AE9" s="196" t="str">
        <f t="shared" si="3"/>
        <v>NPP323709</v>
      </c>
      <c r="AF9" s="196">
        <f t="shared" si="4"/>
        <v>0</v>
      </c>
    </row>
    <row r="10" spans="1:32" ht="12.95" hidden="1" customHeight="1">
      <c r="A10" s="190">
        <v>10566</v>
      </c>
      <c r="B10" s="191">
        <v>43572</v>
      </c>
      <c r="C10" s="190" t="s">
        <v>311</v>
      </c>
      <c r="D10" s="190"/>
      <c r="E10" s="190"/>
      <c r="F10" s="190" t="s">
        <v>389</v>
      </c>
      <c r="G10" s="192" t="s">
        <v>390</v>
      </c>
      <c r="H10" s="192" t="s">
        <v>296</v>
      </c>
      <c r="I10" s="192" t="s">
        <v>391</v>
      </c>
      <c r="J10" s="192" t="s">
        <v>350</v>
      </c>
      <c r="K10" s="190" t="s">
        <v>351</v>
      </c>
      <c r="L10" s="190" t="s">
        <v>370</v>
      </c>
      <c r="M10" s="192" t="s">
        <v>371</v>
      </c>
      <c r="N10" s="193">
        <v>-290.5</v>
      </c>
      <c r="O10" s="193">
        <v>185640</v>
      </c>
      <c r="P10" s="194">
        <v>-53928420</v>
      </c>
      <c r="Q10" s="194">
        <v>-5392842</v>
      </c>
      <c r="R10" s="194">
        <v>-59321262</v>
      </c>
      <c r="S10" s="192"/>
      <c r="T10" s="192" t="s">
        <v>310</v>
      </c>
      <c r="U10" s="190">
        <v>0</v>
      </c>
      <c r="V10" s="190"/>
      <c r="W10" s="195" t="s">
        <v>369</v>
      </c>
      <c r="X10" s="196" t="str">
        <f>+IFERROR(VLOOKUP($F10,'[2]Chuyển đổi mã'!$A$1:$C$91,3,0),$F10)&amp;AC10</f>
        <v>NPP00000468321268</v>
      </c>
      <c r="Y10" s="196" t="str">
        <f>IFERROR(VLOOKUP($F10,'[2]Chuyển đổi mã'!$A$1:$C$184,3,0),F10)</f>
        <v>NPP00000468</v>
      </c>
      <c r="Z10" s="196" t="e">
        <f>VLOOKUP($G10,'[2]Thông tin NPP'!$B:$D,3,0)</f>
        <v>#N/A</v>
      </c>
      <c r="AA10" s="196" t="str">
        <f t="shared" ref="AA10:AA19" si="5">LEFT($M10,10)</f>
        <v>Richoco Wf</v>
      </c>
      <c r="AB10" s="196" t="str">
        <f>IFERROR(VLOOKUP(DAY(B10),'[2]Chuyển đổi mã'!$F$1:$G$32,2,0),0)</f>
        <v>W3</v>
      </c>
      <c r="AC10" s="196" t="str">
        <f t="shared" ref="AC10:AC19" si="6">LEFT(L10,6)</f>
        <v>321268</v>
      </c>
      <c r="AD10" s="196" t="str">
        <f t="shared" ref="AD10:AD19" si="7">LEFT(F10,3)</f>
        <v>NPP</v>
      </c>
      <c r="AE10" s="196" t="str">
        <f t="shared" ref="AE10:AE19" si="8">AD10&amp;AC10</f>
        <v>NPP321268</v>
      </c>
      <c r="AF10" s="196">
        <f t="shared" ref="AF10:AF19" si="9">IF(RIGHT(L10,1)="P","P",0)</f>
        <v>0</v>
      </c>
    </row>
    <row r="11" spans="1:32" ht="12.95" hidden="1" customHeight="1">
      <c r="A11" s="190">
        <v>10531</v>
      </c>
      <c r="B11" s="191">
        <v>43571</v>
      </c>
      <c r="C11" s="190" t="s">
        <v>311</v>
      </c>
      <c r="D11" s="190" t="s">
        <v>392</v>
      </c>
      <c r="E11" s="190" t="s">
        <v>346</v>
      </c>
      <c r="F11" s="190" t="s">
        <v>393</v>
      </c>
      <c r="G11" s="192" t="s">
        <v>394</v>
      </c>
      <c r="H11" s="192" t="s">
        <v>296</v>
      </c>
      <c r="I11" s="192" t="s">
        <v>395</v>
      </c>
      <c r="J11" s="192" t="s">
        <v>350</v>
      </c>
      <c r="K11" s="190" t="s">
        <v>351</v>
      </c>
      <c r="L11" s="190" t="s">
        <v>387</v>
      </c>
      <c r="M11" s="192" t="s">
        <v>388</v>
      </c>
      <c r="N11" s="193">
        <v>-1</v>
      </c>
      <c r="O11" s="193">
        <v>355455</v>
      </c>
      <c r="P11" s="194">
        <v>-355455</v>
      </c>
      <c r="Q11" s="194">
        <v>-35545.5</v>
      </c>
      <c r="R11" s="194">
        <v>-391000.5</v>
      </c>
      <c r="S11" s="192"/>
      <c r="T11" s="192" t="s">
        <v>310</v>
      </c>
      <c r="U11" s="190">
        <v>0</v>
      </c>
      <c r="V11" s="190"/>
      <c r="W11" s="195" t="s">
        <v>356</v>
      </c>
      <c r="X11" s="196" t="str">
        <f>+IFERROR(VLOOKUP($F11,'[2]Chuyển đổi mã'!$A$1:$C$91,3,0),$F11)&amp;AC11</f>
        <v>Big C North323620</v>
      </c>
      <c r="Y11" s="196" t="str">
        <f>IFERROR(VLOOKUP($F11,'[2]Chuyển đổi mã'!$A$1:$C$184,3,0),F11)</f>
        <v>Big C North</v>
      </c>
      <c r="Z11" s="196" t="str">
        <f>VLOOKUP($G11,'[2]Thông tin NPP'!$B:$D,3,0)</f>
        <v>BIG C North</v>
      </c>
      <c r="AA11" s="196" t="str">
        <f t="shared" si="5"/>
        <v>Ahh 16g</v>
      </c>
      <c r="AB11" s="196" t="str">
        <f>IFERROR(VLOOKUP(DAY(B11),'[2]Chuyển đổi mã'!$F$1:$G$32,2,0),0)</f>
        <v>W3</v>
      </c>
      <c r="AC11" s="196" t="str">
        <f t="shared" si="6"/>
        <v>323620</v>
      </c>
      <c r="AD11" s="196" t="str">
        <f t="shared" si="7"/>
        <v>NPP</v>
      </c>
      <c r="AE11" s="196" t="str">
        <f t="shared" si="8"/>
        <v>NPP323620</v>
      </c>
      <c r="AF11" s="196">
        <f t="shared" si="9"/>
        <v>0</v>
      </c>
    </row>
    <row r="12" spans="1:32" ht="12.95" hidden="1" customHeight="1">
      <c r="A12" s="190">
        <v>10531</v>
      </c>
      <c r="B12" s="191">
        <v>43571</v>
      </c>
      <c r="C12" s="190" t="s">
        <v>311</v>
      </c>
      <c r="D12" s="190" t="s">
        <v>392</v>
      </c>
      <c r="E12" s="190" t="s">
        <v>346</v>
      </c>
      <c r="F12" s="190" t="s">
        <v>393</v>
      </c>
      <c r="G12" s="192" t="s">
        <v>394</v>
      </c>
      <c r="H12" s="192" t="s">
        <v>296</v>
      </c>
      <c r="I12" s="192" t="s">
        <v>395</v>
      </c>
      <c r="J12" s="192" t="s">
        <v>350</v>
      </c>
      <c r="K12" s="190" t="s">
        <v>351</v>
      </c>
      <c r="L12" s="190" t="s">
        <v>357</v>
      </c>
      <c r="M12" s="192" t="s">
        <v>358</v>
      </c>
      <c r="N12" s="193">
        <v>-3</v>
      </c>
      <c r="O12" s="193">
        <v>213273</v>
      </c>
      <c r="P12" s="194">
        <v>-639819</v>
      </c>
      <c r="Q12" s="194">
        <v>-63981.9</v>
      </c>
      <c r="R12" s="194">
        <v>-703800.9</v>
      </c>
      <c r="S12" s="192"/>
      <c r="T12" s="192" t="s">
        <v>310</v>
      </c>
      <c r="U12" s="190">
        <v>0</v>
      </c>
      <c r="V12" s="190"/>
      <c r="W12" s="195" t="s">
        <v>356</v>
      </c>
      <c r="X12" s="196" t="str">
        <f>+IFERROR(VLOOKUP($F12,'[2]Chuyển đổi mã'!$A$1:$C$91,3,0),$F12)&amp;AC12</f>
        <v>Big C North323555</v>
      </c>
      <c r="Y12" s="196" t="str">
        <f>IFERROR(VLOOKUP($F12,'[2]Chuyển đổi mã'!$A$1:$C$184,3,0),F12)</f>
        <v>Big C North</v>
      </c>
      <c r="Z12" s="196" t="str">
        <f>VLOOKUP($G12,'[2]Thông tin NPP'!$B:$D,3,0)</f>
        <v>BIG C North</v>
      </c>
      <c r="AA12" s="196" t="str">
        <f t="shared" si="5"/>
        <v>Na 17g - M</v>
      </c>
      <c r="AB12" s="196" t="str">
        <f>IFERROR(VLOOKUP(DAY(B12),'[2]Chuyển đổi mã'!$F$1:$G$32,2,0),0)</f>
        <v>W3</v>
      </c>
      <c r="AC12" s="196" t="str">
        <f t="shared" si="6"/>
        <v>323555</v>
      </c>
      <c r="AD12" s="196" t="str">
        <f t="shared" si="7"/>
        <v>NPP</v>
      </c>
      <c r="AE12" s="196" t="str">
        <f t="shared" si="8"/>
        <v>NPP323555</v>
      </c>
      <c r="AF12" s="196">
        <f t="shared" si="9"/>
        <v>0</v>
      </c>
    </row>
    <row r="13" spans="1:32" ht="12.95" hidden="1" customHeight="1">
      <c r="A13" s="190">
        <v>10531</v>
      </c>
      <c r="B13" s="191">
        <v>43571</v>
      </c>
      <c r="C13" s="190" t="s">
        <v>311</v>
      </c>
      <c r="D13" s="190" t="s">
        <v>392</v>
      </c>
      <c r="E13" s="190" t="s">
        <v>346</v>
      </c>
      <c r="F13" s="190" t="s">
        <v>393</v>
      </c>
      <c r="G13" s="192" t="s">
        <v>394</v>
      </c>
      <c r="H13" s="192" t="s">
        <v>296</v>
      </c>
      <c r="I13" s="192" t="s">
        <v>395</v>
      </c>
      <c r="J13" s="192" t="s">
        <v>350</v>
      </c>
      <c r="K13" s="190" t="s">
        <v>351</v>
      </c>
      <c r="L13" s="190" t="s">
        <v>359</v>
      </c>
      <c r="M13" s="192" t="s">
        <v>360</v>
      </c>
      <c r="N13" s="193">
        <v>-2</v>
      </c>
      <c r="O13" s="193">
        <v>313636</v>
      </c>
      <c r="P13" s="194">
        <v>-627272</v>
      </c>
      <c r="Q13" s="194">
        <v>-62727.199999999997</v>
      </c>
      <c r="R13" s="194">
        <v>-689999.2</v>
      </c>
      <c r="S13" s="192"/>
      <c r="T13" s="192" t="s">
        <v>310</v>
      </c>
      <c r="U13" s="190">
        <v>0</v>
      </c>
      <c r="V13" s="190"/>
      <c r="W13" s="195" t="s">
        <v>356</v>
      </c>
      <c r="X13" s="196" t="str">
        <f>+IFERROR(VLOOKUP($F13,'[2]Chuyển đổi mã'!$A$1:$C$91,3,0),$F13)&amp;AC13</f>
        <v>Big C North320445</v>
      </c>
      <c r="Y13" s="196" t="str">
        <f>IFERROR(VLOOKUP($F13,'[2]Chuyển đổi mã'!$A$1:$C$184,3,0),F13)</f>
        <v>Big C North</v>
      </c>
      <c r="Z13" s="196" t="str">
        <f>VLOOKUP($G13,'[2]Thông tin NPP'!$B:$D,3,0)</f>
        <v>BIG C North</v>
      </c>
      <c r="AA13" s="196" t="str">
        <f t="shared" si="5"/>
        <v>Na 58g</v>
      </c>
      <c r="AB13" s="196" t="str">
        <f>IFERROR(VLOOKUP(DAY(B13),'[2]Chuyển đổi mã'!$F$1:$G$32,2,0),0)</f>
        <v>W3</v>
      </c>
      <c r="AC13" s="196" t="str">
        <f t="shared" si="6"/>
        <v>320445</v>
      </c>
      <c r="AD13" s="196" t="str">
        <f t="shared" si="7"/>
        <v>NPP</v>
      </c>
      <c r="AE13" s="196" t="str">
        <f t="shared" si="8"/>
        <v>NPP320445</v>
      </c>
      <c r="AF13" s="196">
        <f t="shared" si="9"/>
        <v>0</v>
      </c>
    </row>
    <row r="14" spans="1:32" ht="12.95" hidden="1" customHeight="1">
      <c r="A14" s="190">
        <v>10531</v>
      </c>
      <c r="B14" s="191">
        <v>43571</v>
      </c>
      <c r="C14" s="190" t="s">
        <v>311</v>
      </c>
      <c r="D14" s="190" t="s">
        <v>392</v>
      </c>
      <c r="E14" s="190" t="s">
        <v>346</v>
      </c>
      <c r="F14" s="190" t="s">
        <v>393</v>
      </c>
      <c r="G14" s="192" t="s">
        <v>394</v>
      </c>
      <c r="H14" s="192" t="s">
        <v>296</v>
      </c>
      <c r="I14" s="192" t="s">
        <v>395</v>
      </c>
      <c r="J14" s="192" t="s">
        <v>350</v>
      </c>
      <c r="K14" s="190" t="s">
        <v>351</v>
      </c>
      <c r="L14" s="190" t="s">
        <v>361</v>
      </c>
      <c r="M14" s="192" t="s">
        <v>362</v>
      </c>
      <c r="N14" s="193">
        <v>-2</v>
      </c>
      <c r="O14" s="193">
        <v>313636</v>
      </c>
      <c r="P14" s="194">
        <v>-627272</v>
      </c>
      <c r="Q14" s="194">
        <v>-62727.199999999997</v>
      </c>
      <c r="R14" s="194">
        <v>-689999.2</v>
      </c>
      <c r="S14" s="192"/>
      <c r="T14" s="192" t="s">
        <v>310</v>
      </c>
      <c r="U14" s="190">
        <v>0</v>
      </c>
      <c r="V14" s="190"/>
      <c r="W14" s="195" t="s">
        <v>356</v>
      </c>
      <c r="X14" s="196" t="str">
        <f>+IFERROR(VLOOKUP($F14,'[2]Chuyển đổi mã'!$A$1:$C$91,3,0),$F14)&amp;AC14</f>
        <v>Big C North331017</v>
      </c>
      <c r="Y14" s="196" t="str">
        <f>IFERROR(VLOOKUP($F14,'[2]Chuyển đổi mã'!$A$1:$C$184,3,0),F14)</f>
        <v>Big C North</v>
      </c>
      <c r="Z14" s="196" t="str">
        <f>VLOOKUP($G14,'[2]Thông tin NPP'!$B:$D,3,0)</f>
        <v>BIG C North</v>
      </c>
      <c r="AA14" s="196" t="str">
        <f t="shared" si="5"/>
        <v>Richoco Wf</v>
      </c>
      <c r="AB14" s="196" t="str">
        <f>IFERROR(VLOOKUP(DAY(B14),'[2]Chuyển đổi mã'!$F$1:$G$32,2,0),0)</f>
        <v>W3</v>
      </c>
      <c r="AC14" s="196" t="str">
        <f t="shared" si="6"/>
        <v>331017</v>
      </c>
      <c r="AD14" s="196" t="str">
        <f t="shared" si="7"/>
        <v>NPP</v>
      </c>
      <c r="AE14" s="196" t="str">
        <f t="shared" si="8"/>
        <v>NPP331017</v>
      </c>
      <c r="AF14" s="196">
        <f t="shared" si="9"/>
        <v>0</v>
      </c>
    </row>
    <row r="15" spans="1:32" ht="12.95" hidden="1" customHeight="1">
      <c r="A15" s="190">
        <v>10532</v>
      </c>
      <c r="B15" s="191">
        <v>43571</v>
      </c>
      <c r="C15" s="190" t="s">
        <v>311</v>
      </c>
      <c r="D15" s="190" t="s">
        <v>396</v>
      </c>
      <c r="E15" s="190" t="s">
        <v>346</v>
      </c>
      <c r="F15" s="190" t="s">
        <v>397</v>
      </c>
      <c r="G15" s="192" t="s">
        <v>398</v>
      </c>
      <c r="H15" s="192" t="s">
        <v>296</v>
      </c>
      <c r="I15" s="192" t="s">
        <v>395</v>
      </c>
      <c r="J15" s="192" t="s">
        <v>350</v>
      </c>
      <c r="K15" s="190" t="s">
        <v>351</v>
      </c>
      <c r="L15" s="190" t="s">
        <v>352</v>
      </c>
      <c r="M15" s="192" t="s">
        <v>353</v>
      </c>
      <c r="N15" s="193">
        <v>-5</v>
      </c>
      <c r="O15" s="193">
        <v>119700.35</v>
      </c>
      <c r="P15" s="194">
        <v>-598501.75</v>
      </c>
      <c r="Q15" s="194">
        <v>-59850.175000000003</v>
      </c>
      <c r="R15" s="194">
        <v>-658351.92500000005</v>
      </c>
      <c r="S15" s="192" t="s">
        <v>354</v>
      </c>
      <c r="T15" s="192" t="s">
        <v>355</v>
      </c>
      <c r="U15" s="190">
        <v>0</v>
      </c>
      <c r="V15" s="190"/>
      <c r="W15" s="195" t="s">
        <v>356</v>
      </c>
      <c r="X15" s="196" t="str">
        <f>+IFERROR(VLOOKUP($F15,'[2]Chuyển đổi mã'!$A$1:$C$91,3,0),$F15)&amp;AC15</f>
        <v>Big C North320463</v>
      </c>
      <c r="Y15" s="196" t="str">
        <f>IFERROR(VLOOKUP($F15,'[2]Chuyển đổi mã'!$A$1:$C$184,3,0),F15)</f>
        <v>Big C North</v>
      </c>
      <c r="Z15" s="196" t="str">
        <f>VLOOKUP($G15,'[2]Thông tin NPP'!$B:$D,3,0)</f>
        <v>BIG C North</v>
      </c>
      <c r="AA15" s="196" t="str">
        <f t="shared" si="5"/>
        <v>Na 8,5g</v>
      </c>
      <c r="AB15" s="196" t="str">
        <f>IFERROR(VLOOKUP(DAY(B15),'[2]Chuyển đổi mã'!$F$1:$G$32,2,0),0)</f>
        <v>W3</v>
      </c>
      <c r="AC15" s="196" t="str">
        <f t="shared" si="6"/>
        <v>320463</v>
      </c>
      <c r="AD15" s="196" t="str">
        <f t="shared" si="7"/>
        <v>NPP</v>
      </c>
      <c r="AE15" s="196" t="str">
        <f t="shared" si="8"/>
        <v>NPP320463</v>
      </c>
      <c r="AF15" s="196">
        <f t="shared" si="9"/>
        <v>0</v>
      </c>
    </row>
    <row r="16" spans="1:32" ht="12.95" hidden="1" customHeight="1">
      <c r="A16" s="190">
        <v>10532</v>
      </c>
      <c r="B16" s="191">
        <v>43571</v>
      </c>
      <c r="C16" s="190" t="s">
        <v>311</v>
      </c>
      <c r="D16" s="190" t="s">
        <v>396</v>
      </c>
      <c r="E16" s="190" t="s">
        <v>346</v>
      </c>
      <c r="F16" s="190" t="s">
        <v>397</v>
      </c>
      <c r="G16" s="192" t="s">
        <v>398</v>
      </c>
      <c r="H16" s="192" t="s">
        <v>296</v>
      </c>
      <c r="I16" s="192" t="s">
        <v>395</v>
      </c>
      <c r="J16" s="192" t="s">
        <v>350</v>
      </c>
      <c r="K16" s="190" t="s">
        <v>351</v>
      </c>
      <c r="L16" s="190" t="s">
        <v>357</v>
      </c>
      <c r="M16" s="192" t="s">
        <v>358</v>
      </c>
      <c r="N16" s="193">
        <v>-6</v>
      </c>
      <c r="O16" s="193">
        <v>213273</v>
      </c>
      <c r="P16" s="194">
        <v>-1279638</v>
      </c>
      <c r="Q16" s="194">
        <v>-127963.8</v>
      </c>
      <c r="R16" s="194">
        <v>-1407601.8</v>
      </c>
      <c r="S16" s="192"/>
      <c r="T16" s="192" t="s">
        <v>310</v>
      </c>
      <c r="U16" s="190">
        <v>0</v>
      </c>
      <c r="V16" s="190"/>
      <c r="W16" s="195" t="s">
        <v>356</v>
      </c>
      <c r="X16" s="196" t="str">
        <f>+IFERROR(VLOOKUP($F16,'[2]Chuyển đổi mã'!$A$1:$C$91,3,0),$F16)&amp;AC16</f>
        <v>Big C North323555</v>
      </c>
      <c r="Y16" s="196" t="str">
        <f>IFERROR(VLOOKUP($F16,'[2]Chuyển đổi mã'!$A$1:$C$184,3,0),F16)</f>
        <v>Big C North</v>
      </c>
      <c r="Z16" s="196" t="str">
        <f>VLOOKUP($G16,'[2]Thông tin NPP'!$B:$D,3,0)</f>
        <v>BIG C North</v>
      </c>
      <c r="AA16" s="196" t="str">
        <f t="shared" si="5"/>
        <v>Na 17g - M</v>
      </c>
      <c r="AB16" s="196" t="str">
        <f>IFERROR(VLOOKUP(DAY(B16),'[2]Chuyển đổi mã'!$F$1:$G$32,2,0),0)</f>
        <v>W3</v>
      </c>
      <c r="AC16" s="196" t="str">
        <f t="shared" si="6"/>
        <v>323555</v>
      </c>
      <c r="AD16" s="196" t="str">
        <f t="shared" si="7"/>
        <v>NPP</v>
      </c>
      <c r="AE16" s="196" t="str">
        <f t="shared" si="8"/>
        <v>NPP323555</v>
      </c>
      <c r="AF16" s="196">
        <f t="shared" si="9"/>
        <v>0</v>
      </c>
    </row>
    <row r="17" spans="1:32" ht="12.95" hidden="1" customHeight="1">
      <c r="A17" s="190">
        <v>10532</v>
      </c>
      <c r="B17" s="191">
        <v>43571</v>
      </c>
      <c r="C17" s="190" t="s">
        <v>311</v>
      </c>
      <c r="D17" s="190" t="s">
        <v>396</v>
      </c>
      <c r="E17" s="190" t="s">
        <v>346</v>
      </c>
      <c r="F17" s="190" t="s">
        <v>397</v>
      </c>
      <c r="G17" s="192" t="s">
        <v>398</v>
      </c>
      <c r="H17" s="192" t="s">
        <v>296</v>
      </c>
      <c r="I17" s="192" t="s">
        <v>395</v>
      </c>
      <c r="J17" s="192" t="s">
        <v>350</v>
      </c>
      <c r="K17" s="190" t="s">
        <v>351</v>
      </c>
      <c r="L17" s="190" t="s">
        <v>359</v>
      </c>
      <c r="M17" s="192" t="s">
        <v>360</v>
      </c>
      <c r="N17" s="193">
        <v>-1</v>
      </c>
      <c r="O17" s="193">
        <v>313636</v>
      </c>
      <c r="P17" s="194">
        <v>-313636</v>
      </c>
      <c r="Q17" s="194">
        <v>-31363.599999999999</v>
      </c>
      <c r="R17" s="194">
        <v>-344999.6</v>
      </c>
      <c r="S17" s="192"/>
      <c r="T17" s="192" t="s">
        <v>310</v>
      </c>
      <c r="U17" s="190">
        <v>0</v>
      </c>
      <c r="V17" s="190"/>
      <c r="W17" s="195" t="s">
        <v>356</v>
      </c>
      <c r="X17" s="196" t="str">
        <f>+IFERROR(VLOOKUP($F17,'[2]Chuyển đổi mã'!$A$1:$C$91,3,0),$F17)&amp;AC17</f>
        <v>Big C North320445</v>
      </c>
      <c r="Y17" s="196" t="str">
        <f>IFERROR(VLOOKUP($F17,'[2]Chuyển đổi mã'!$A$1:$C$184,3,0),F17)</f>
        <v>Big C North</v>
      </c>
      <c r="Z17" s="196" t="str">
        <f>VLOOKUP($G17,'[2]Thông tin NPP'!$B:$D,3,0)</f>
        <v>BIG C North</v>
      </c>
      <c r="AA17" s="196" t="str">
        <f t="shared" si="5"/>
        <v>Na 58g</v>
      </c>
      <c r="AB17" s="196" t="str">
        <f>IFERROR(VLOOKUP(DAY(B17),'[2]Chuyển đổi mã'!$F$1:$G$32,2,0),0)</f>
        <v>W3</v>
      </c>
      <c r="AC17" s="196" t="str">
        <f t="shared" si="6"/>
        <v>320445</v>
      </c>
      <c r="AD17" s="196" t="str">
        <f t="shared" si="7"/>
        <v>NPP</v>
      </c>
      <c r="AE17" s="196" t="str">
        <f t="shared" si="8"/>
        <v>NPP320445</v>
      </c>
      <c r="AF17" s="196">
        <f t="shared" si="9"/>
        <v>0</v>
      </c>
    </row>
    <row r="18" spans="1:32" ht="12.95" hidden="1" customHeight="1">
      <c r="A18" s="190">
        <v>10397</v>
      </c>
      <c r="B18" s="191">
        <v>43563</v>
      </c>
      <c r="C18" s="190" t="s">
        <v>311</v>
      </c>
      <c r="D18" s="190" t="s">
        <v>399</v>
      </c>
      <c r="E18" s="190" t="s">
        <v>346</v>
      </c>
      <c r="F18" s="190" t="s">
        <v>389</v>
      </c>
      <c r="G18" s="192" t="s">
        <v>390</v>
      </c>
      <c r="H18" s="192" t="s">
        <v>296</v>
      </c>
      <c r="I18" s="192" t="s">
        <v>391</v>
      </c>
      <c r="J18" s="192" t="s">
        <v>350</v>
      </c>
      <c r="K18" s="190" t="s">
        <v>351</v>
      </c>
      <c r="L18" s="190" t="s">
        <v>387</v>
      </c>
      <c r="M18" s="192" t="s">
        <v>388</v>
      </c>
      <c r="N18" s="193">
        <v>-50</v>
      </c>
      <c r="O18" s="193">
        <v>309400</v>
      </c>
      <c r="P18" s="194">
        <v>-15470000</v>
      </c>
      <c r="Q18" s="194">
        <v>-1547000</v>
      </c>
      <c r="R18" s="194">
        <v>-17017000</v>
      </c>
      <c r="S18" s="192"/>
      <c r="T18" s="192" t="s">
        <v>310</v>
      </c>
      <c r="U18" s="190">
        <v>0</v>
      </c>
      <c r="V18" s="190"/>
      <c r="W18" s="195" t="s">
        <v>356</v>
      </c>
      <c r="X18" s="196" t="str">
        <f>+IFERROR(VLOOKUP($F18,'[2]Chuyển đổi mã'!$A$1:$C$91,3,0),$F18)&amp;AC18</f>
        <v>NPP00000468323620</v>
      </c>
      <c r="Y18" s="196" t="str">
        <f>IFERROR(VLOOKUP($F18,'[2]Chuyển đổi mã'!$A$1:$C$184,3,0),F18)</f>
        <v>NPP00000468</v>
      </c>
      <c r="Z18" s="196" t="e">
        <f>VLOOKUP($G18,'[2]Thông tin NPP'!$B:$D,3,0)</f>
        <v>#N/A</v>
      </c>
      <c r="AA18" s="196" t="str">
        <f t="shared" si="5"/>
        <v>Ahh 16g</v>
      </c>
      <c r="AB18" s="196" t="str">
        <f>IFERROR(VLOOKUP(DAY(B18),'[2]Chuyển đổi mã'!$F$1:$G$32,2,0),0)</f>
        <v>W2</v>
      </c>
      <c r="AC18" s="196" t="str">
        <f t="shared" si="6"/>
        <v>323620</v>
      </c>
      <c r="AD18" s="196" t="str">
        <f t="shared" si="7"/>
        <v>NPP</v>
      </c>
      <c r="AE18" s="196" t="str">
        <f t="shared" si="8"/>
        <v>NPP323620</v>
      </c>
      <c r="AF18" s="196">
        <f t="shared" si="9"/>
        <v>0</v>
      </c>
    </row>
    <row r="19" spans="1:32" ht="12.95" hidden="1" customHeight="1">
      <c r="A19" s="190">
        <v>10397</v>
      </c>
      <c r="B19" s="191">
        <v>43563</v>
      </c>
      <c r="C19" s="190" t="s">
        <v>311</v>
      </c>
      <c r="D19" s="190" t="s">
        <v>399</v>
      </c>
      <c r="E19" s="190" t="s">
        <v>346</v>
      </c>
      <c r="F19" s="190" t="s">
        <v>389</v>
      </c>
      <c r="G19" s="192" t="s">
        <v>390</v>
      </c>
      <c r="H19" s="192" t="s">
        <v>296</v>
      </c>
      <c r="I19" s="192" t="s">
        <v>391</v>
      </c>
      <c r="J19" s="192" t="s">
        <v>350</v>
      </c>
      <c r="K19" s="190" t="s">
        <v>351</v>
      </c>
      <c r="L19" s="190" t="s">
        <v>357</v>
      </c>
      <c r="M19" s="192" t="s">
        <v>358</v>
      </c>
      <c r="N19" s="193">
        <v>-400</v>
      </c>
      <c r="O19" s="193">
        <v>185640</v>
      </c>
      <c r="P19" s="194">
        <v>-74256000</v>
      </c>
      <c r="Q19" s="194">
        <v>-7425600</v>
      </c>
      <c r="R19" s="194">
        <v>-81681600</v>
      </c>
      <c r="S19" s="192"/>
      <c r="T19" s="192" t="s">
        <v>310</v>
      </c>
      <c r="U19" s="190">
        <v>0</v>
      </c>
      <c r="V19" s="190"/>
      <c r="W19" s="195" t="s">
        <v>356</v>
      </c>
      <c r="X19" s="196" t="str">
        <f>+IFERROR(VLOOKUP($F19,'[2]Chuyển đổi mã'!$A$1:$C$91,3,0),$F19)&amp;AC19</f>
        <v>NPP00000468323555</v>
      </c>
      <c r="Y19" s="196" t="str">
        <f>IFERROR(VLOOKUP($F19,'[2]Chuyển đổi mã'!$A$1:$C$184,3,0),F19)</f>
        <v>NPP00000468</v>
      </c>
      <c r="Z19" s="196" t="e">
        <f>VLOOKUP($G19,'[2]Thông tin NPP'!$B:$D,3,0)</f>
        <v>#N/A</v>
      </c>
      <c r="AA19" s="196" t="str">
        <f t="shared" si="5"/>
        <v>Na 17g - M</v>
      </c>
      <c r="AB19" s="196" t="str">
        <f>IFERROR(VLOOKUP(DAY(B19),'[2]Chuyển đổi mã'!$F$1:$G$32,2,0),0)</f>
        <v>W2</v>
      </c>
      <c r="AC19" s="196" t="str">
        <f t="shared" si="6"/>
        <v>323555</v>
      </c>
      <c r="AD19" s="196" t="str">
        <f t="shared" si="7"/>
        <v>NPP</v>
      </c>
      <c r="AE19" s="196" t="str">
        <f t="shared" si="8"/>
        <v>NPP323555</v>
      </c>
      <c r="AF19" s="196">
        <f t="shared" si="9"/>
        <v>0</v>
      </c>
    </row>
    <row r="20" spans="1:32" ht="12.95" hidden="1" customHeight="1">
      <c r="A20" s="190">
        <v>10585</v>
      </c>
      <c r="B20" s="191">
        <v>43573</v>
      </c>
      <c r="C20" s="190" t="s">
        <v>311</v>
      </c>
      <c r="D20" s="190"/>
      <c r="E20" s="190"/>
      <c r="F20" s="190" t="s">
        <v>414</v>
      </c>
      <c r="G20" s="192" t="s">
        <v>415</v>
      </c>
      <c r="H20" s="192" t="s">
        <v>296</v>
      </c>
      <c r="I20" s="192" t="s">
        <v>416</v>
      </c>
      <c r="J20" s="192" t="s">
        <v>350</v>
      </c>
      <c r="K20" s="190" t="s">
        <v>380</v>
      </c>
      <c r="L20" s="190" t="s">
        <v>357</v>
      </c>
      <c r="M20" s="192" t="s">
        <v>358</v>
      </c>
      <c r="N20" s="193">
        <v>-21</v>
      </c>
      <c r="O20" s="193">
        <v>187680</v>
      </c>
      <c r="P20" s="194">
        <v>-3941280</v>
      </c>
      <c r="Q20" s="194">
        <v>-394128</v>
      </c>
      <c r="R20" s="194">
        <v>-4335408</v>
      </c>
      <c r="S20" s="192"/>
      <c r="T20" s="192" t="s">
        <v>310</v>
      </c>
      <c r="U20" s="190">
        <v>0</v>
      </c>
      <c r="V20" s="190"/>
      <c r="W20" s="195" t="s">
        <v>369</v>
      </c>
      <c r="X20" s="196" t="str">
        <f>+IFERROR(VLOOKUP($F20,'[2]Chuyển đổi mã'!$A$1:$C$91,3,0),$F20)&amp;AC20</f>
        <v>NPP00000119323555</v>
      </c>
      <c r="Y20" s="196" t="str">
        <f>IFERROR(VLOOKUP($F20,'[2]Chuyển đổi mã'!$A$1:$C$184,3,0),F20)</f>
        <v>NPP00000119</v>
      </c>
      <c r="Z20" s="196" t="str">
        <f>VLOOKUP($G20,'[2]Thông tin NPP'!$B:$D,3,0)</f>
        <v>NGUYỄN DUNG</v>
      </c>
      <c r="AA20" s="196" t="str">
        <f t="shared" ref="AA20:AA72" si="10">LEFT($M20,10)</f>
        <v>Na 17g - M</v>
      </c>
      <c r="AB20" s="196" t="str">
        <f>IFERROR(VLOOKUP(DAY(B20),'[2]Chuyển đổi mã'!$F$1:$G$32,2,0),0)</f>
        <v>W3</v>
      </c>
      <c r="AC20" s="196" t="str">
        <f t="shared" ref="AC20:AC72" si="11">LEFT(L20,6)</f>
        <v>323555</v>
      </c>
      <c r="AD20" s="196" t="str">
        <f t="shared" ref="AD20:AD72" si="12">LEFT(F20,3)</f>
        <v>NPP</v>
      </c>
      <c r="AE20" s="196" t="str">
        <f t="shared" ref="AE20:AE72" si="13">AD20&amp;AC20</f>
        <v>NPP323555</v>
      </c>
      <c r="AF20" s="196">
        <f t="shared" ref="AF20:AF72" si="14">IF(RIGHT(L20,1)="P","P",0)</f>
        <v>0</v>
      </c>
    </row>
    <row r="21" spans="1:32" ht="12.95" hidden="1" customHeight="1">
      <c r="A21" s="190">
        <v>10585</v>
      </c>
      <c r="B21" s="191">
        <v>43573</v>
      </c>
      <c r="C21" s="190" t="s">
        <v>311</v>
      </c>
      <c r="D21" s="190"/>
      <c r="E21" s="190"/>
      <c r="F21" s="190" t="s">
        <v>414</v>
      </c>
      <c r="G21" s="192" t="s">
        <v>415</v>
      </c>
      <c r="H21" s="192" t="s">
        <v>296</v>
      </c>
      <c r="I21" s="192" t="s">
        <v>416</v>
      </c>
      <c r="J21" s="192" t="s">
        <v>350</v>
      </c>
      <c r="K21" s="190" t="s">
        <v>380</v>
      </c>
      <c r="L21" s="190" t="s">
        <v>378</v>
      </c>
      <c r="M21" s="192" t="s">
        <v>379</v>
      </c>
      <c r="N21" s="193">
        <v>-22</v>
      </c>
      <c r="O21" s="193">
        <v>187680</v>
      </c>
      <c r="P21" s="194">
        <v>-4128960</v>
      </c>
      <c r="Q21" s="194">
        <v>-412896</v>
      </c>
      <c r="R21" s="194">
        <v>-4541856</v>
      </c>
      <c r="S21" s="192"/>
      <c r="T21" s="192" t="s">
        <v>310</v>
      </c>
      <c r="U21" s="190">
        <v>0</v>
      </c>
      <c r="V21" s="190"/>
      <c r="W21" s="195" t="s">
        <v>369</v>
      </c>
      <c r="X21" s="196" t="str">
        <f>+IFERROR(VLOOKUP($F21,'[2]Chuyển đổi mã'!$A$1:$C$91,3,0),$F21)&amp;AC21</f>
        <v>NPP00000119321238</v>
      </c>
      <c r="Y21" s="196" t="str">
        <f>IFERROR(VLOOKUP($F21,'[2]Chuyển đổi mã'!$A$1:$C$184,3,0),F21)</f>
        <v>NPP00000119</v>
      </c>
      <c r="Z21" s="196" t="str">
        <f>VLOOKUP($G21,'[2]Thông tin NPP'!$B:$D,3,0)</f>
        <v>NGUYỄN DUNG</v>
      </c>
      <c r="AA21" s="196" t="str">
        <f t="shared" si="10"/>
        <v>Richoco Wf</v>
      </c>
      <c r="AB21" s="196" t="str">
        <f>IFERROR(VLOOKUP(DAY(B21),'[2]Chuyển đổi mã'!$F$1:$G$32,2,0),0)</f>
        <v>W3</v>
      </c>
      <c r="AC21" s="196" t="str">
        <f t="shared" si="11"/>
        <v>321238</v>
      </c>
      <c r="AD21" s="196" t="str">
        <f t="shared" si="12"/>
        <v>NPP</v>
      </c>
      <c r="AE21" s="196" t="str">
        <f t="shared" si="13"/>
        <v>NPP321238</v>
      </c>
      <c r="AF21" s="196">
        <f t="shared" si="14"/>
        <v>0</v>
      </c>
    </row>
    <row r="22" spans="1:32" ht="12.95" hidden="1" customHeight="1">
      <c r="A22" s="190">
        <v>10597</v>
      </c>
      <c r="B22" s="191">
        <v>43573</v>
      </c>
      <c r="C22" s="190" t="s">
        <v>311</v>
      </c>
      <c r="D22" s="190"/>
      <c r="E22" s="190"/>
      <c r="F22" s="190" t="s">
        <v>414</v>
      </c>
      <c r="G22" s="192" t="s">
        <v>415</v>
      </c>
      <c r="H22" s="192" t="s">
        <v>296</v>
      </c>
      <c r="I22" s="192" t="s">
        <v>416</v>
      </c>
      <c r="J22" s="192" t="s">
        <v>350</v>
      </c>
      <c r="K22" s="190" t="s">
        <v>380</v>
      </c>
      <c r="L22" s="190" t="s">
        <v>352</v>
      </c>
      <c r="M22" s="192" t="s">
        <v>353</v>
      </c>
      <c r="N22" s="193">
        <v>-12</v>
      </c>
      <c r="O22" s="193">
        <v>140509</v>
      </c>
      <c r="P22" s="194">
        <v>-1686108</v>
      </c>
      <c r="Q22" s="194">
        <v>-168610.8</v>
      </c>
      <c r="R22" s="194">
        <v>-1854718.8</v>
      </c>
      <c r="S22" s="192"/>
      <c r="T22" s="192" t="s">
        <v>310</v>
      </c>
      <c r="U22" s="190">
        <v>0</v>
      </c>
      <c r="V22" s="190"/>
      <c r="W22" s="195" t="s">
        <v>369</v>
      </c>
      <c r="X22" s="196" t="str">
        <f>+IFERROR(VLOOKUP($F22,'[2]Chuyển đổi mã'!$A$1:$C$91,3,0),$F22)&amp;AC22</f>
        <v>NPP00000119320463</v>
      </c>
      <c r="Y22" s="196" t="str">
        <f>IFERROR(VLOOKUP($F22,'[2]Chuyển đổi mã'!$A$1:$C$184,3,0),F22)</f>
        <v>NPP00000119</v>
      </c>
      <c r="Z22" s="196" t="str">
        <f>VLOOKUP($G22,'[2]Thông tin NPP'!$B:$D,3,0)</f>
        <v>NGUYỄN DUNG</v>
      </c>
      <c r="AA22" s="196" t="str">
        <f t="shared" si="10"/>
        <v>Na 8,5g</v>
      </c>
      <c r="AB22" s="196" t="str">
        <f>IFERROR(VLOOKUP(DAY(B22),'[2]Chuyển đổi mã'!$F$1:$G$32,2,0),0)</f>
        <v>W3</v>
      </c>
      <c r="AC22" s="196" t="str">
        <f t="shared" si="11"/>
        <v>320463</v>
      </c>
      <c r="AD22" s="196" t="str">
        <f t="shared" si="12"/>
        <v>NPP</v>
      </c>
      <c r="AE22" s="196" t="str">
        <f t="shared" si="13"/>
        <v>NPP320463</v>
      </c>
      <c r="AF22" s="196">
        <f t="shared" si="14"/>
        <v>0</v>
      </c>
    </row>
    <row r="23" spans="1:32" ht="12.95" hidden="1" customHeight="1">
      <c r="A23" s="190">
        <v>10597</v>
      </c>
      <c r="B23" s="191">
        <v>43573</v>
      </c>
      <c r="C23" s="190" t="s">
        <v>311</v>
      </c>
      <c r="D23" s="190"/>
      <c r="E23" s="190"/>
      <c r="F23" s="190" t="s">
        <v>414</v>
      </c>
      <c r="G23" s="192" t="s">
        <v>415</v>
      </c>
      <c r="H23" s="192" t="s">
        <v>296</v>
      </c>
      <c r="I23" s="192" t="s">
        <v>416</v>
      </c>
      <c r="J23" s="192" t="s">
        <v>350</v>
      </c>
      <c r="K23" s="190" t="s">
        <v>380</v>
      </c>
      <c r="L23" s="190" t="s">
        <v>357</v>
      </c>
      <c r="M23" s="192" t="s">
        <v>358</v>
      </c>
      <c r="N23" s="193">
        <v>-135</v>
      </c>
      <c r="O23" s="193">
        <v>187680</v>
      </c>
      <c r="P23" s="194">
        <v>-25336800</v>
      </c>
      <c r="Q23" s="194">
        <v>-2533680</v>
      </c>
      <c r="R23" s="194">
        <v>-27870480</v>
      </c>
      <c r="S23" s="192"/>
      <c r="T23" s="192" t="s">
        <v>310</v>
      </c>
      <c r="U23" s="190">
        <v>0</v>
      </c>
      <c r="V23" s="190"/>
      <c r="W23" s="195" t="s">
        <v>369</v>
      </c>
      <c r="X23" s="196" t="str">
        <f>+IFERROR(VLOOKUP($F23,'[2]Chuyển đổi mã'!$A$1:$C$91,3,0),$F23)&amp;AC23</f>
        <v>NPP00000119323555</v>
      </c>
      <c r="Y23" s="196" t="str">
        <f>IFERROR(VLOOKUP($F23,'[2]Chuyển đổi mã'!$A$1:$C$184,3,0),F23)</f>
        <v>NPP00000119</v>
      </c>
      <c r="Z23" s="196" t="str">
        <f>VLOOKUP($G23,'[2]Thông tin NPP'!$B:$D,3,0)</f>
        <v>NGUYỄN DUNG</v>
      </c>
      <c r="AA23" s="196" t="str">
        <f t="shared" si="10"/>
        <v>Na 17g - M</v>
      </c>
      <c r="AB23" s="196" t="str">
        <f>IFERROR(VLOOKUP(DAY(B23),'[2]Chuyển đổi mã'!$F$1:$G$32,2,0),0)</f>
        <v>W3</v>
      </c>
      <c r="AC23" s="196" t="str">
        <f t="shared" si="11"/>
        <v>323555</v>
      </c>
      <c r="AD23" s="196" t="str">
        <f t="shared" si="12"/>
        <v>NPP</v>
      </c>
      <c r="AE23" s="196" t="str">
        <f t="shared" si="13"/>
        <v>NPP323555</v>
      </c>
      <c r="AF23" s="196">
        <f t="shared" si="14"/>
        <v>0</v>
      </c>
    </row>
    <row r="24" spans="1:32" ht="12.95" hidden="1" customHeight="1">
      <c r="A24" s="190">
        <v>10597</v>
      </c>
      <c r="B24" s="191">
        <v>43573</v>
      </c>
      <c r="C24" s="190" t="s">
        <v>311</v>
      </c>
      <c r="D24" s="190"/>
      <c r="E24" s="190"/>
      <c r="F24" s="190" t="s">
        <v>414</v>
      </c>
      <c r="G24" s="192" t="s">
        <v>415</v>
      </c>
      <c r="H24" s="192" t="s">
        <v>296</v>
      </c>
      <c r="I24" s="192" t="s">
        <v>416</v>
      </c>
      <c r="J24" s="192" t="s">
        <v>350</v>
      </c>
      <c r="K24" s="190" t="s">
        <v>380</v>
      </c>
      <c r="L24" s="190" t="s">
        <v>359</v>
      </c>
      <c r="M24" s="192" t="s">
        <v>360</v>
      </c>
      <c r="N24" s="193">
        <v>-1</v>
      </c>
      <c r="O24" s="193">
        <v>276000</v>
      </c>
      <c r="P24" s="194">
        <v>-276000</v>
      </c>
      <c r="Q24" s="194">
        <v>-27600</v>
      </c>
      <c r="R24" s="194">
        <v>-303600</v>
      </c>
      <c r="S24" s="192"/>
      <c r="T24" s="192" t="s">
        <v>310</v>
      </c>
      <c r="U24" s="190">
        <v>0</v>
      </c>
      <c r="V24" s="190"/>
      <c r="W24" s="195" t="s">
        <v>369</v>
      </c>
      <c r="X24" s="196" t="str">
        <f>+IFERROR(VLOOKUP($F24,'[2]Chuyển đổi mã'!$A$1:$C$91,3,0),$F24)&amp;AC24</f>
        <v>NPP00000119320445</v>
      </c>
      <c r="Y24" s="196" t="str">
        <f>IFERROR(VLOOKUP($F24,'[2]Chuyển đổi mã'!$A$1:$C$184,3,0),F24)</f>
        <v>NPP00000119</v>
      </c>
      <c r="Z24" s="196" t="str">
        <f>VLOOKUP($G24,'[2]Thông tin NPP'!$B:$D,3,0)</f>
        <v>NGUYỄN DUNG</v>
      </c>
      <c r="AA24" s="196" t="str">
        <f t="shared" si="10"/>
        <v>Na 58g</v>
      </c>
      <c r="AB24" s="196" t="str">
        <f>IFERROR(VLOOKUP(DAY(B24),'[2]Chuyển đổi mã'!$F$1:$G$32,2,0),0)</f>
        <v>W3</v>
      </c>
      <c r="AC24" s="196" t="str">
        <f t="shared" si="11"/>
        <v>320445</v>
      </c>
      <c r="AD24" s="196" t="str">
        <f t="shared" si="12"/>
        <v>NPP</v>
      </c>
      <c r="AE24" s="196" t="str">
        <f t="shared" si="13"/>
        <v>NPP320445</v>
      </c>
      <c r="AF24" s="196">
        <f t="shared" si="14"/>
        <v>0</v>
      </c>
    </row>
    <row r="25" spans="1:32" ht="12.95" hidden="1" customHeight="1">
      <c r="A25" s="190">
        <v>10597</v>
      </c>
      <c r="B25" s="191">
        <v>43573</v>
      </c>
      <c r="C25" s="190" t="s">
        <v>311</v>
      </c>
      <c r="D25" s="190"/>
      <c r="E25" s="190"/>
      <c r="F25" s="190" t="s">
        <v>414</v>
      </c>
      <c r="G25" s="192" t="s">
        <v>415</v>
      </c>
      <c r="H25" s="192" t="s">
        <v>296</v>
      </c>
      <c r="I25" s="192" t="s">
        <v>416</v>
      </c>
      <c r="J25" s="192" t="s">
        <v>350</v>
      </c>
      <c r="K25" s="190" t="s">
        <v>380</v>
      </c>
      <c r="L25" s="190" t="s">
        <v>408</v>
      </c>
      <c r="M25" s="192" t="s">
        <v>409</v>
      </c>
      <c r="N25" s="193">
        <v>-1</v>
      </c>
      <c r="O25" s="193">
        <v>176640</v>
      </c>
      <c r="P25" s="194">
        <v>-176640</v>
      </c>
      <c r="Q25" s="194">
        <v>-17664</v>
      </c>
      <c r="R25" s="194">
        <v>-194304</v>
      </c>
      <c r="S25" s="192"/>
      <c r="T25" s="192" t="s">
        <v>310</v>
      </c>
      <c r="U25" s="190">
        <v>0</v>
      </c>
      <c r="V25" s="190"/>
      <c r="W25" s="195" t="s">
        <v>369</v>
      </c>
      <c r="X25" s="196" t="str">
        <f>+IFERROR(VLOOKUP($F25,'[2]Chuyển đổi mã'!$A$1:$C$91,3,0),$F25)&amp;AC25</f>
        <v>NPP00000119324136</v>
      </c>
      <c r="Y25" s="196" t="str">
        <f>IFERROR(VLOOKUP($F25,'[2]Chuyển đổi mã'!$A$1:$C$184,3,0),F25)</f>
        <v>NPP00000119</v>
      </c>
      <c r="Z25" s="196" t="str">
        <f>VLOOKUP($G25,'[2]Thông tin NPP'!$B:$D,3,0)</f>
        <v>NGUYỄN DUNG</v>
      </c>
      <c r="AA25" s="196" t="str">
        <f t="shared" si="10"/>
        <v>Na 145g</v>
      </c>
      <c r="AB25" s="196" t="str">
        <f>IFERROR(VLOOKUP(DAY(B25),'[2]Chuyển đổi mã'!$F$1:$G$32,2,0),0)</f>
        <v>W3</v>
      </c>
      <c r="AC25" s="196" t="str">
        <f t="shared" si="11"/>
        <v>324136</v>
      </c>
      <c r="AD25" s="196" t="str">
        <f t="shared" si="12"/>
        <v>NPP</v>
      </c>
      <c r="AE25" s="196" t="str">
        <f t="shared" si="13"/>
        <v>NPP324136</v>
      </c>
      <c r="AF25" s="196">
        <f t="shared" si="14"/>
        <v>0</v>
      </c>
    </row>
    <row r="26" spans="1:32" ht="12.95" hidden="1" customHeight="1">
      <c r="A26" s="190">
        <v>10597</v>
      </c>
      <c r="B26" s="191">
        <v>43573</v>
      </c>
      <c r="C26" s="190" t="s">
        <v>311</v>
      </c>
      <c r="D26" s="190"/>
      <c r="E26" s="190"/>
      <c r="F26" s="190" t="s">
        <v>414</v>
      </c>
      <c r="G26" s="192" t="s">
        <v>415</v>
      </c>
      <c r="H26" s="192" t="s">
        <v>296</v>
      </c>
      <c r="I26" s="192" t="s">
        <v>416</v>
      </c>
      <c r="J26" s="192" t="s">
        <v>350</v>
      </c>
      <c r="K26" s="190" t="s">
        <v>380</v>
      </c>
      <c r="L26" s="190" t="s">
        <v>381</v>
      </c>
      <c r="M26" s="192" t="s">
        <v>382</v>
      </c>
      <c r="N26" s="193">
        <v>-45</v>
      </c>
      <c r="O26" s="193">
        <v>276000</v>
      </c>
      <c r="P26" s="194">
        <v>-12420000</v>
      </c>
      <c r="Q26" s="194">
        <v>-1242000</v>
      </c>
      <c r="R26" s="194">
        <v>-13662000</v>
      </c>
      <c r="S26" s="192"/>
      <c r="T26" s="192" t="s">
        <v>310</v>
      </c>
      <c r="U26" s="190">
        <v>0</v>
      </c>
      <c r="V26" s="190"/>
      <c r="W26" s="195" t="s">
        <v>369</v>
      </c>
      <c r="X26" s="196" t="str">
        <f>+IFERROR(VLOOKUP($F26,'[2]Chuyển đổi mã'!$A$1:$C$91,3,0),$F26)&amp;AC26</f>
        <v>NPP00000119320429</v>
      </c>
      <c r="Y26" s="196" t="str">
        <f>IFERROR(VLOOKUP($F26,'[2]Chuyển đổi mã'!$A$1:$C$184,3,0),F26)</f>
        <v>NPP00000119</v>
      </c>
      <c r="Z26" s="196" t="str">
        <f>VLOOKUP($G26,'[2]Thông tin NPP'!$B:$D,3,0)</f>
        <v>NGUYỄN DUNG</v>
      </c>
      <c r="AA26" s="196" t="str">
        <f t="shared" si="10"/>
        <v>Tin Can 35</v>
      </c>
      <c r="AB26" s="196" t="str">
        <f>IFERROR(VLOOKUP(DAY(B26),'[2]Chuyển đổi mã'!$F$1:$G$32,2,0),0)</f>
        <v>W3</v>
      </c>
      <c r="AC26" s="196" t="str">
        <f t="shared" si="11"/>
        <v>320429</v>
      </c>
      <c r="AD26" s="196" t="str">
        <f t="shared" si="12"/>
        <v>NPP</v>
      </c>
      <c r="AE26" s="196" t="str">
        <f t="shared" si="13"/>
        <v>NPP320429</v>
      </c>
      <c r="AF26" s="196">
        <f t="shared" si="14"/>
        <v>0</v>
      </c>
    </row>
    <row r="27" spans="1:32" ht="12.95" hidden="1" customHeight="1">
      <c r="A27" s="190">
        <v>10597</v>
      </c>
      <c r="B27" s="191">
        <v>43573</v>
      </c>
      <c r="C27" s="190" t="s">
        <v>311</v>
      </c>
      <c r="D27" s="190"/>
      <c r="E27" s="190"/>
      <c r="F27" s="190" t="s">
        <v>414</v>
      </c>
      <c r="G27" s="192" t="s">
        <v>415</v>
      </c>
      <c r="H27" s="192" t="s">
        <v>296</v>
      </c>
      <c r="I27" s="192" t="s">
        <v>416</v>
      </c>
      <c r="J27" s="192" t="s">
        <v>350</v>
      </c>
      <c r="K27" s="190" t="s">
        <v>380</v>
      </c>
      <c r="L27" s="190" t="s">
        <v>410</v>
      </c>
      <c r="M27" s="192" t="s">
        <v>411</v>
      </c>
      <c r="N27" s="193">
        <v>-14</v>
      </c>
      <c r="O27" s="193">
        <v>92335</v>
      </c>
      <c r="P27" s="194">
        <v>-1292690</v>
      </c>
      <c r="Q27" s="194">
        <v>-129269</v>
      </c>
      <c r="R27" s="194">
        <v>-1421959</v>
      </c>
      <c r="S27" s="192"/>
      <c r="T27" s="192" t="s">
        <v>310</v>
      </c>
      <c r="U27" s="190">
        <v>0</v>
      </c>
      <c r="V27" s="190"/>
      <c r="W27" s="195" t="s">
        <v>369</v>
      </c>
      <c r="X27" s="196" t="str">
        <f>+IFERROR(VLOOKUP($F27,'[2]Chuyển đổi mã'!$A$1:$C$91,3,0),$F27)&amp;AC27</f>
        <v>NPP00000119320566</v>
      </c>
      <c r="Y27" s="196" t="str">
        <f>IFERROR(VLOOKUP($F27,'[2]Chuyển đổi mã'!$A$1:$C$184,3,0),F27)</f>
        <v>NPP00000119</v>
      </c>
      <c r="Z27" s="196" t="str">
        <f>VLOOKUP($G27,'[2]Thông tin NPP'!$B:$D,3,0)</f>
        <v>NGUYỄN DUNG</v>
      </c>
      <c r="AA27" s="196" t="str">
        <f t="shared" si="10"/>
        <v>Rolls 8g</v>
      </c>
      <c r="AB27" s="196" t="str">
        <f>IFERROR(VLOOKUP(DAY(B27),'[2]Chuyển đổi mã'!$F$1:$G$32,2,0),0)</f>
        <v>W3</v>
      </c>
      <c r="AC27" s="196" t="str">
        <f t="shared" si="11"/>
        <v>320566</v>
      </c>
      <c r="AD27" s="196" t="str">
        <f t="shared" si="12"/>
        <v>NPP</v>
      </c>
      <c r="AE27" s="196" t="str">
        <f t="shared" si="13"/>
        <v>NPP320566</v>
      </c>
      <c r="AF27" s="196">
        <f t="shared" si="14"/>
        <v>0</v>
      </c>
    </row>
    <row r="28" spans="1:32" ht="12.95" hidden="1" customHeight="1">
      <c r="A28" s="190">
        <v>10597</v>
      </c>
      <c r="B28" s="191">
        <v>43573</v>
      </c>
      <c r="C28" s="190" t="s">
        <v>311</v>
      </c>
      <c r="D28" s="190"/>
      <c r="E28" s="190"/>
      <c r="F28" s="190" t="s">
        <v>414</v>
      </c>
      <c r="G28" s="192" t="s">
        <v>415</v>
      </c>
      <c r="H28" s="192" t="s">
        <v>296</v>
      </c>
      <c r="I28" s="192" t="s">
        <v>416</v>
      </c>
      <c r="J28" s="192" t="s">
        <v>350</v>
      </c>
      <c r="K28" s="190" t="s">
        <v>380</v>
      </c>
      <c r="L28" s="190" t="s">
        <v>383</v>
      </c>
      <c r="M28" s="192" t="s">
        <v>384</v>
      </c>
      <c r="N28" s="193">
        <v>-1</v>
      </c>
      <c r="O28" s="193">
        <v>276000</v>
      </c>
      <c r="P28" s="194">
        <v>-276000</v>
      </c>
      <c r="Q28" s="194">
        <v>-27600</v>
      </c>
      <c r="R28" s="194">
        <v>-303600</v>
      </c>
      <c r="S28" s="192"/>
      <c r="T28" s="192" t="s">
        <v>310</v>
      </c>
      <c r="U28" s="190">
        <v>0</v>
      </c>
      <c r="V28" s="190"/>
      <c r="W28" s="195" t="s">
        <v>369</v>
      </c>
      <c r="X28" s="196" t="str">
        <f>+IFERROR(VLOOKUP($F28,'[2]Chuyển đổi mã'!$A$1:$C$91,3,0),$F28)&amp;AC28</f>
        <v>NPP00000119320524</v>
      </c>
      <c r="Y28" s="196" t="str">
        <f>IFERROR(VLOOKUP($F28,'[2]Chuyển đổi mã'!$A$1:$C$184,3,0),F28)</f>
        <v>NPP00000119</v>
      </c>
      <c r="Z28" s="196" t="str">
        <f>VLOOKUP($G28,'[2]Thông tin NPP'!$B:$D,3,0)</f>
        <v>NGUYỄN DUNG</v>
      </c>
      <c r="AA28" s="196" t="str">
        <f t="shared" si="10"/>
        <v>Rolls 140g</v>
      </c>
      <c r="AB28" s="196" t="str">
        <f>IFERROR(VLOOKUP(DAY(B28),'[2]Chuyển đổi mã'!$F$1:$G$32,2,0),0)</f>
        <v>W3</v>
      </c>
      <c r="AC28" s="196" t="str">
        <f t="shared" si="11"/>
        <v>320524</v>
      </c>
      <c r="AD28" s="196" t="str">
        <f t="shared" si="12"/>
        <v>NPP</v>
      </c>
      <c r="AE28" s="196" t="str">
        <f t="shared" si="13"/>
        <v>NPP320524</v>
      </c>
      <c r="AF28" s="196">
        <f t="shared" si="14"/>
        <v>0</v>
      </c>
    </row>
    <row r="29" spans="1:32" ht="12.95" hidden="1" customHeight="1">
      <c r="A29" s="190">
        <v>10597</v>
      </c>
      <c r="B29" s="191">
        <v>43573</v>
      </c>
      <c r="C29" s="190" t="s">
        <v>311</v>
      </c>
      <c r="D29" s="190"/>
      <c r="E29" s="190"/>
      <c r="F29" s="190" t="s">
        <v>414</v>
      </c>
      <c r="G29" s="192" t="s">
        <v>415</v>
      </c>
      <c r="H29" s="192" t="s">
        <v>296</v>
      </c>
      <c r="I29" s="192" t="s">
        <v>416</v>
      </c>
      <c r="J29" s="192" t="s">
        <v>350</v>
      </c>
      <c r="K29" s="190" t="s">
        <v>380</v>
      </c>
      <c r="L29" s="190" t="s">
        <v>387</v>
      </c>
      <c r="M29" s="192" t="s">
        <v>388</v>
      </c>
      <c r="N29" s="193">
        <v>-41</v>
      </c>
      <c r="O29" s="193">
        <v>312800</v>
      </c>
      <c r="P29" s="194">
        <v>-12824800</v>
      </c>
      <c r="Q29" s="194">
        <v>-1282480</v>
      </c>
      <c r="R29" s="194">
        <v>-14107280</v>
      </c>
      <c r="S29" s="192"/>
      <c r="T29" s="192" t="s">
        <v>310</v>
      </c>
      <c r="U29" s="190">
        <v>0</v>
      </c>
      <c r="V29" s="190"/>
      <c r="W29" s="195" t="s">
        <v>369</v>
      </c>
      <c r="X29" s="196" t="str">
        <f>+IFERROR(VLOOKUP($F29,'[2]Chuyển đổi mã'!$A$1:$C$91,3,0),$F29)&amp;AC29</f>
        <v>NPP00000119323620</v>
      </c>
      <c r="Y29" s="196" t="str">
        <f>IFERROR(VLOOKUP($F29,'[2]Chuyển đổi mã'!$A$1:$C$184,3,0),F29)</f>
        <v>NPP00000119</v>
      </c>
      <c r="Z29" s="196" t="str">
        <f>VLOOKUP($G29,'[2]Thông tin NPP'!$B:$D,3,0)</f>
        <v>NGUYỄN DUNG</v>
      </c>
      <c r="AA29" s="196" t="str">
        <f t="shared" si="10"/>
        <v>Ahh 16g</v>
      </c>
      <c r="AB29" s="196" t="str">
        <f>IFERROR(VLOOKUP(DAY(B29),'[2]Chuyển đổi mã'!$F$1:$G$32,2,0),0)</f>
        <v>W3</v>
      </c>
      <c r="AC29" s="196" t="str">
        <f t="shared" si="11"/>
        <v>323620</v>
      </c>
      <c r="AD29" s="196" t="str">
        <f t="shared" si="12"/>
        <v>NPP</v>
      </c>
      <c r="AE29" s="196" t="str">
        <f t="shared" si="13"/>
        <v>NPP323620</v>
      </c>
      <c r="AF29" s="196">
        <f t="shared" si="14"/>
        <v>0</v>
      </c>
    </row>
    <row r="30" spans="1:32" ht="12.95" hidden="1" customHeight="1">
      <c r="A30" s="190">
        <v>10597</v>
      </c>
      <c r="B30" s="191">
        <v>43573</v>
      </c>
      <c r="C30" s="190" t="s">
        <v>311</v>
      </c>
      <c r="D30" s="190"/>
      <c r="E30" s="190"/>
      <c r="F30" s="190" t="s">
        <v>414</v>
      </c>
      <c r="G30" s="192" t="s">
        <v>415</v>
      </c>
      <c r="H30" s="192" t="s">
        <v>296</v>
      </c>
      <c r="I30" s="192" t="s">
        <v>416</v>
      </c>
      <c r="J30" s="192" t="s">
        <v>350</v>
      </c>
      <c r="K30" s="190" t="s">
        <v>380</v>
      </c>
      <c r="L30" s="190" t="s">
        <v>378</v>
      </c>
      <c r="M30" s="192" t="s">
        <v>379</v>
      </c>
      <c r="N30" s="193">
        <v>-47</v>
      </c>
      <c r="O30" s="193">
        <v>187680</v>
      </c>
      <c r="P30" s="194">
        <v>-8820960</v>
      </c>
      <c r="Q30" s="194">
        <v>-882096</v>
      </c>
      <c r="R30" s="194">
        <v>-9703056</v>
      </c>
      <c r="S30" s="192"/>
      <c r="T30" s="192" t="s">
        <v>310</v>
      </c>
      <c r="U30" s="190">
        <v>0</v>
      </c>
      <c r="V30" s="190"/>
      <c r="W30" s="195" t="s">
        <v>369</v>
      </c>
      <c r="X30" s="196" t="str">
        <f>+IFERROR(VLOOKUP($F30,'[2]Chuyển đổi mã'!$A$1:$C$91,3,0),$F30)&amp;AC30</f>
        <v>NPP00000119321238</v>
      </c>
      <c r="Y30" s="196" t="str">
        <f>IFERROR(VLOOKUP($F30,'[2]Chuyển đổi mã'!$A$1:$C$184,3,0),F30)</f>
        <v>NPP00000119</v>
      </c>
      <c r="Z30" s="196" t="str">
        <f>VLOOKUP($G30,'[2]Thông tin NPP'!$B:$D,3,0)</f>
        <v>NGUYỄN DUNG</v>
      </c>
      <c r="AA30" s="196" t="str">
        <f t="shared" si="10"/>
        <v>Richoco Wf</v>
      </c>
      <c r="AB30" s="196" t="str">
        <f>IFERROR(VLOOKUP(DAY(B30),'[2]Chuyển đổi mã'!$F$1:$G$32,2,0),0)</f>
        <v>W3</v>
      </c>
      <c r="AC30" s="196" t="str">
        <f t="shared" si="11"/>
        <v>321238</v>
      </c>
      <c r="AD30" s="196" t="str">
        <f t="shared" si="12"/>
        <v>NPP</v>
      </c>
      <c r="AE30" s="196" t="str">
        <f t="shared" si="13"/>
        <v>NPP321238</v>
      </c>
      <c r="AF30" s="196">
        <f t="shared" si="14"/>
        <v>0</v>
      </c>
    </row>
    <row r="31" spans="1:32" ht="12.95" hidden="1" customHeight="1">
      <c r="A31" s="190">
        <v>10597</v>
      </c>
      <c r="B31" s="191">
        <v>43573</v>
      </c>
      <c r="C31" s="190" t="s">
        <v>311</v>
      </c>
      <c r="D31" s="190"/>
      <c r="E31" s="190"/>
      <c r="F31" s="190" t="s">
        <v>414</v>
      </c>
      <c r="G31" s="192" t="s">
        <v>415</v>
      </c>
      <c r="H31" s="192" t="s">
        <v>296</v>
      </c>
      <c r="I31" s="192" t="s">
        <v>416</v>
      </c>
      <c r="J31" s="192" t="s">
        <v>350</v>
      </c>
      <c r="K31" s="190" t="s">
        <v>380</v>
      </c>
      <c r="L31" s="190" t="s">
        <v>412</v>
      </c>
      <c r="M31" s="192" t="s">
        <v>413</v>
      </c>
      <c r="N31" s="193">
        <v>-18</v>
      </c>
      <c r="O31" s="193">
        <v>92335</v>
      </c>
      <c r="P31" s="194">
        <v>-1662030</v>
      </c>
      <c r="Q31" s="194">
        <v>-166203</v>
      </c>
      <c r="R31" s="194">
        <v>-1828233</v>
      </c>
      <c r="S31" s="192"/>
      <c r="T31" s="192" t="s">
        <v>310</v>
      </c>
      <c r="U31" s="190">
        <v>0</v>
      </c>
      <c r="V31" s="190"/>
      <c r="W31" s="195" t="s">
        <v>369</v>
      </c>
      <c r="X31" s="196" t="str">
        <f>+IFERROR(VLOOKUP($F31,'[2]Chuyển đổi mã'!$A$1:$C$91,3,0),$F31)&amp;AC31</f>
        <v>NPP00000119322206</v>
      </c>
      <c r="Y31" s="196" t="str">
        <f>IFERROR(VLOOKUP($F31,'[2]Chuyển đổi mã'!$A$1:$C$184,3,0),F31)</f>
        <v>NPP00000119</v>
      </c>
      <c r="Z31" s="196" t="str">
        <f>VLOOKUP($G31,'[2]Thông tin NPP'!$B:$D,3,0)</f>
        <v>NGUYỄN DUNG</v>
      </c>
      <c r="AA31" s="196" t="str">
        <f t="shared" si="10"/>
        <v>Richoco Ro</v>
      </c>
      <c r="AB31" s="196" t="str">
        <f>IFERROR(VLOOKUP(DAY(B31),'[2]Chuyển đổi mã'!$F$1:$G$32,2,0),0)</f>
        <v>W3</v>
      </c>
      <c r="AC31" s="196" t="str">
        <f t="shared" si="11"/>
        <v>322206</v>
      </c>
      <c r="AD31" s="196" t="str">
        <f t="shared" si="12"/>
        <v>NPP</v>
      </c>
      <c r="AE31" s="196" t="str">
        <f t="shared" si="13"/>
        <v>NPP322206</v>
      </c>
      <c r="AF31" s="196">
        <f t="shared" si="14"/>
        <v>0</v>
      </c>
    </row>
    <row r="32" spans="1:32" ht="12.95" hidden="1" customHeight="1">
      <c r="A32" s="190">
        <v>10597</v>
      </c>
      <c r="B32" s="191">
        <v>43573</v>
      </c>
      <c r="C32" s="190" t="s">
        <v>311</v>
      </c>
      <c r="D32" s="190"/>
      <c r="E32" s="190"/>
      <c r="F32" s="190" t="s">
        <v>414</v>
      </c>
      <c r="G32" s="192" t="s">
        <v>415</v>
      </c>
      <c r="H32" s="192" t="s">
        <v>296</v>
      </c>
      <c r="I32" s="192" t="s">
        <v>416</v>
      </c>
      <c r="J32" s="192" t="s">
        <v>350</v>
      </c>
      <c r="K32" s="190" t="s">
        <v>380</v>
      </c>
      <c r="L32" s="190" t="s">
        <v>363</v>
      </c>
      <c r="M32" s="192" t="s">
        <v>364</v>
      </c>
      <c r="N32" s="193">
        <v>-8</v>
      </c>
      <c r="O32" s="193">
        <v>291200</v>
      </c>
      <c r="P32" s="194">
        <v>-2329600</v>
      </c>
      <c r="Q32" s="194">
        <v>-232960</v>
      </c>
      <c r="R32" s="194">
        <v>-2562560</v>
      </c>
      <c r="S32" s="192"/>
      <c r="T32" s="192" t="s">
        <v>310</v>
      </c>
      <c r="U32" s="190">
        <v>0</v>
      </c>
      <c r="V32" s="190"/>
      <c r="W32" s="195" t="s">
        <v>369</v>
      </c>
      <c r="X32" s="196" t="str">
        <f>+IFERROR(VLOOKUP($F32,'[2]Chuyển đổi mã'!$A$1:$C$91,3,0),$F32)&amp;AC32</f>
        <v>NPP00000119323708</v>
      </c>
      <c r="Y32" s="196" t="str">
        <f>IFERROR(VLOOKUP($F32,'[2]Chuyển đổi mã'!$A$1:$C$184,3,0),F32)</f>
        <v>NPP00000119</v>
      </c>
      <c r="Z32" s="196" t="str">
        <f>VLOOKUP($G32,'[2]Thông tin NPP'!$B:$D,3,0)</f>
        <v>NGUYỄN DUNG</v>
      </c>
      <c r="AA32" s="196" t="str">
        <f t="shared" si="10"/>
        <v>Nextar Bro</v>
      </c>
      <c r="AB32" s="196" t="str">
        <f>IFERROR(VLOOKUP(DAY(B32),'[2]Chuyển đổi mã'!$F$1:$G$32,2,0),0)</f>
        <v>W3</v>
      </c>
      <c r="AC32" s="196" t="str">
        <f t="shared" si="11"/>
        <v>323708</v>
      </c>
      <c r="AD32" s="196" t="str">
        <f t="shared" si="12"/>
        <v>NPP</v>
      </c>
      <c r="AE32" s="196" t="str">
        <f t="shared" si="13"/>
        <v>NPP323708</v>
      </c>
      <c r="AF32" s="196">
        <f t="shared" si="14"/>
        <v>0</v>
      </c>
    </row>
    <row r="33" spans="1:32" ht="12.95" hidden="1" customHeight="1">
      <c r="A33" s="190">
        <v>10597</v>
      </c>
      <c r="B33" s="191">
        <v>43573</v>
      </c>
      <c r="C33" s="190" t="s">
        <v>311</v>
      </c>
      <c r="D33" s="190"/>
      <c r="E33" s="190"/>
      <c r="F33" s="190" t="s">
        <v>414</v>
      </c>
      <c r="G33" s="192" t="s">
        <v>415</v>
      </c>
      <c r="H33" s="192" t="s">
        <v>296</v>
      </c>
      <c r="I33" s="192" t="s">
        <v>416</v>
      </c>
      <c r="J33" s="192" t="s">
        <v>350</v>
      </c>
      <c r="K33" s="190" t="s">
        <v>380</v>
      </c>
      <c r="L33" s="190" t="s">
        <v>365</v>
      </c>
      <c r="M33" s="192" t="s">
        <v>366</v>
      </c>
      <c r="N33" s="193">
        <v>-23</v>
      </c>
      <c r="O33" s="193">
        <v>273000</v>
      </c>
      <c r="P33" s="194">
        <v>-6279000</v>
      </c>
      <c r="Q33" s="194">
        <v>-627900</v>
      </c>
      <c r="R33" s="194">
        <v>-6906900</v>
      </c>
      <c r="S33" s="192"/>
      <c r="T33" s="192" t="s">
        <v>310</v>
      </c>
      <c r="U33" s="190">
        <v>0</v>
      </c>
      <c r="V33" s="190"/>
      <c r="W33" s="195" t="s">
        <v>369</v>
      </c>
      <c r="X33" s="196" t="str">
        <f>+IFERROR(VLOOKUP($F33,'[2]Chuyển đổi mã'!$A$1:$C$91,3,0),$F33)&amp;AC33</f>
        <v>NPP00000119323709</v>
      </c>
      <c r="Y33" s="196" t="str">
        <f>IFERROR(VLOOKUP($F33,'[2]Chuyển đổi mã'!$A$1:$C$184,3,0),F33)</f>
        <v>NPP00000119</v>
      </c>
      <c r="Z33" s="196" t="str">
        <f>VLOOKUP($G33,'[2]Thông tin NPP'!$B:$D,3,0)</f>
        <v>NGUYỄN DUNG</v>
      </c>
      <c r="AA33" s="196" t="str">
        <f t="shared" si="10"/>
        <v>Nextar Bro</v>
      </c>
      <c r="AB33" s="196" t="str">
        <f>IFERROR(VLOOKUP(DAY(B33),'[2]Chuyển đổi mã'!$F$1:$G$32,2,0),0)</f>
        <v>W3</v>
      </c>
      <c r="AC33" s="196" t="str">
        <f t="shared" si="11"/>
        <v>323709</v>
      </c>
      <c r="AD33" s="196" t="str">
        <f t="shared" si="12"/>
        <v>NPP</v>
      </c>
      <c r="AE33" s="196" t="str">
        <f t="shared" si="13"/>
        <v>NPP323709</v>
      </c>
      <c r="AF33" s="196">
        <f t="shared" si="14"/>
        <v>0</v>
      </c>
    </row>
    <row r="34" spans="1:32" ht="12.95" customHeight="1">
      <c r="A34" s="190">
        <v>10594</v>
      </c>
      <c r="B34" s="191">
        <v>43573</v>
      </c>
      <c r="C34" s="190" t="s">
        <v>311</v>
      </c>
      <c r="D34" s="190"/>
      <c r="E34" s="190"/>
      <c r="F34" s="190" t="s">
        <v>417</v>
      </c>
      <c r="G34" s="192" t="s">
        <v>418</v>
      </c>
      <c r="H34" s="192" t="s">
        <v>296</v>
      </c>
      <c r="I34" s="192" t="s">
        <v>349</v>
      </c>
      <c r="J34" s="192" t="s">
        <v>350</v>
      </c>
      <c r="K34" s="190" t="s">
        <v>351</v>
      </c>
      <c r="L34" s="190" t="s">
        <v>381</v>
      </c>
      <c r="M34" s="192" t="s">
        <v>382</v>
      </c>
      <c r="N34" s="193">
        <v>-1.17</v>
      </c>
      <c r="O34" s="193">
        <v>300000</v>
      </c>
      <c r="P34" s="194">
        <v>-351000</v>
      </c>
      <c r="Q34" s="194">
        <v>-35100</v>
      </c>
      <c r="R34" s="194">
        <v>-386100</v>
      </c>
      <c r="S34" s="192"/>
      <c r="T34" s="192" t="s">
        <v>310</v>
      </c>
      <c r="U34" s="190">
        <v>0</v>
      </c>
      <c r="V34" s="190"/>
      <c r="W34" s="195" t="s">
        <v>369</v>
      </c>
      <c r="X34" s="196" t="str">
        <f>+IFERROR(VLOOKUP($F34,'[2]Chuyển đổi mã'!$A$1:$C$91,3,0),$F34)&amp;AC34</f>
        <v>Lotte South320429</v>
      </c>
      <c r="Y34" s="196" t="str">
        <f>IFERROR(VLOOKUP($F34,'[2]Chuyển đổi mã'!$A$1:$C$184,3,0),F34)</f>
        <v>Lotte South</v>
      </c>
      <c r="Z34" s="196" t="str">
        <f>VLOOKUP($G34,'[2]Thông tin NPP'!$B:$D,3,0)</f>
        <v>Lotte South</v>
      </c>
      <c r="AA34" s="196" t="str">
        <f t="shared" si="10"/>
        <v>Tin Can 35</v>
      </c>
      <c r="AB34" s="196" t="str">
        <f>IFERROR(VLOOKUP(DAY(B34),'[2]Chuyển đổi mã'!$F$1:$G$32,2,0),0)</f>
        <v>W3</v>
      </c>
      <c r="AC34" s="196" t="str">
        <f t="shared" si="11"/>
        <v>320429</v>
      </c>
      <c r="AD34" s="196" t="str">
        <f t="shared" si="12"/>
        <v>NPP</v>
      </c>
      <c r="AE34" s="196" t="str">
        <f t="shared" si="13"/>
        <v>NPP320429</v>
      </c>
      <c r="AF34" s="196">
        <f t="shared" si="14"/>
        <v>0</v>
      </c>
    </row>
    <row r="35" spans="1:32" ht="12.95" customHeight="1">
      <c r="A35" s="190">
        <v>10594</v>
      </c>
      <c r="B35" s="191">
        <v>43573</v>
      </c>
      <c r="C35" s="190" t="s">
        <v>311</v>
      </c>
      <c r="D35" s="190"/>
      <c r="E35" s="190"/>
      <c r="F35" s="190" t="s">
        <v>417</v>
      </c>
      <c r="G35" s="192" t="s">
        <v>418</v>
      </c>
      <c r="H35" s="192" t="s">
        <v>296</v>
      </c>
      <c r="I35" s="192" t="s">
        <v>349</v>
      </c>
      <c r="J35" s="192" t="s">
        <v>350</v>
      </c>
      <c r="K35" s="190" t="s">
        <v>351</v>
      </c>
      <c r="L35" s="190" t="s">
        <v>406</v>
      </c>
      <c r="M35" s="192" t="s">
        <v>407</v>
      </c>
      <c r="N35" s="193">
        <v>-17</v>
      </c>
      <c r="O35" s="193">
        <v>252000</v>
      </c>
      <c r="P35" s="194">
        <v>-4284000</v>
      </c>
      <c r="Q35" s="194">
        <v>-428400</v>
      </c>
      <c r="R35" s="194">
        <v>-4712400</v>
      </c>
      <c r="S35" s="192"/>
      <c r="T35" s="192" t="s">
        <v>310</v>
      </c>
      <c r="U35" s="190">
        <v>0</v>
      </c>
      <c r="V35" s="190"/>
      <c r="W35" s="195" t="s">
        <v>369</v>
      </c>
      <c r="X35" s="196" t="str">
        <f>+IFERROR(VLOOKUP($F35,'[2]Chuyển đổi mã'!$A$1:$C$91,3,0),$F35)&amp;AC35</f>
        <v>Lotte South320585</v>
      </c>
      <c r="Y35" s="196" t="str">
        <f>IFERROR(VLOOKUP($F35,'[2]Chuyển đổi mã'!$A$1:$C$184,3,0),F35)</f>
        <v>Lotte South</v>
      </c>
      <c r="Z35" s="196" t="str">
        <f>VLOOKUP($G35,'[2]Thông tin NPP'!$B:$D,3,0)</f>
        <v>Lotte South</v>
      </c>
      <c r="AA35" s="196" t="str">
        <f t="shared" si="10"/>
        <v xml:space="preserve">Big Rolls </v>
      </c>
      <c r="AB35" s="196" t="str">
        <f>IFERROR(VLOOKUP(DAY(B35),'[2]Chuyển đổi mã'!$F$1:$G$32,2,0),0)</f>
        <v>W3</v>
      </c>
      <c r="AC35" s="196" t="str">
        <f t="shared" si="11"/>
        <v>320585</v>
      </c>
      <c r="AD35" s="196" t="str">
        <f t="shared" si="12"/>
        <v>NPP</v>
      </c>
      <c r="AE35" s="196" t="str">
        <f t="shared" si="13"/>
        <v>NPP320585</v>
      </c>
      <c r="AF35" s="196">
        <f t="shared" si="14"/>
        <v>0</v>
      </c>
    </row>
    <row r="36" spans="1:32" ht="12.95" customHeight="1">
      <c r="A36" s="190">
        <v>10594</v>
      </c>
      <c r="B36" s="191">
        <v>43573</v>
      </c>
      <c r="C36" s="190" t="s">
        <v>311</v>
      </c>
      <c r="D36" s="190"/>
      <c r="E36" s="190"/>
      <c r="F36" s="190" t="s">
        <v>417</v>
      </c>
      <c r="G36" s="192" t="s">
        <v>418</v>
      </c>
      <c r="H36" s="192" t="s">
        <v>296</v>
      </c>
      <c r="I36" s="192" t="s">
        <v>349</v>
      </c>
      <c r="J36" s="192" t="s">
        <v>350</v>
      </c>
      <c r="K36" s="190" t="s">
        <v>351</v>
      </c>
      <c r="L36" s="190" t="s">
        <v>419</v>
      </c>
      <c r="M36" s="192" t="s">
        <v>420</v>
      </c>
      <c r="N36" s="193">
        <v>-3.67</v>
      </c>
      <c r="O36" s="193">
        <v>336000</v>
      </c>
      <c r="P36" s="194">
        <v>-1233120</v>
      </c>
      <c r="Q36" s="194">
        <v>-123312</v>
      </c>
      <c r="R36" s="194">
        <v>-1356432</v>
      </c>
      <c r="S36" s="192"/>
      <c r="T36" s="192" t="s">
        <v>310</v>
      </c>
      <c r="U36" s="190">
        <v>0</v>
      </c>
      <c r="V36" s="190"/>
      <c r="W36" s="195" t="s">
        <v>369</v>
      </c>
      <c r="X36" s="196" t="str">
        <f>+IFERROR(VLOOKUP($F36,'[2]Chuyển đổi mã'!$A$1:$C$91,3,0),$F36)&amp;AC36</f>
        <v>Lotte South323713</v>
      </c>
      <c r="Y36" s="196" t="str">
        <f>IFERROR(VLOOKUP($F36,'[2]Chuyển đổi mã'!$A$1:$C$184,3,0),F36)</f>
        <v>Lotte South</v>
      </c>
      <c r="Z36" s="196" t="str">
        <f>VLOOKUP($G36,'[2]Thông tin NPP'!$B:$D,3,0)</f>
        <v>Lotte South</v>
      </c>
      <c r="AA36" s="196" t="str">
        <f t="shared" si="10"/>
        <v>Nextar Bro</v>
      </c>
      <c r="AB36" s="196" t="str">
        <f>IFERROR(VLOOKUP(DAY(B36),'[2]Chuyển đổi mã'!$F$1:$G$32,2,0),0)</f>
        <v>W3</v>
      </c>
      <c r="AC36" s="196" t="str">
        <f t="shared" si="11"/>
        <v>323713</v>
      </c>
      <c r="AD36" s="196" t="str">
        <f t="shared" si="12"/>
        <v>NPP</v>
      </c>
      <c r="AE36" s="196" t="str">
        <f t="shared" si="13"/>
        <v>NPP323713</v>
      </c>
      <c r="AF36" s="196">
        <f t="shared" si="14"/>
        <v>0</v>
      </c>
    </row>
    <row r="37" spans="1:32" ht="12.95" customHeight="1">
      <c r="A37" s="190">
        <v>10586</v>
      </c>
      <c r="B37" s="191">
        <v>43573</v>
      </c>
      <c r="C37" s="190" t="s">
        <v>311</v>
      </c>
      <c r="D37" s="190"/>
      <c r="E37" s="190"/>
      <c r="F37" s="190" t="s">
        <v>421</v>
      </c>
      <c r="G37" s="192" t="s">
        <v>422</v>
      </c>
      <c r="H37" s="192" t="s">
        <v>296</v>
      </c>
      <c r="I37" s="192" t="s">
        <v>349</v>
      </c>
      <c r="J37" s="192" t="s">
        <v>350</v>
      </c>
      <c r="K37" s="190" t="s">
        <v>351</v>
      </c>
      <c r="L37" s="190" t="s">
        <v>406</v>
      </c>
      <c r="M37" s="192" t="s">
        <v>407</v>
      </c>
      <c r="N37" s="193">
        <v>-1.67</v>
      </c>
      <c r="O37" s="193">
        <v>252000</v>
      </c>
      <c r="P37" s="194">
        <v>-420840</v>
      </c>
      <c r="Q37" s="194">
        <v>-42084</v>
      </c>
      <c r="R37" s="194">
        <v>-462924</v>
      </c>
      <c r="S37" s="192"/>
      <c r="T37" s="192" t="s">
        <v>310</v>
      </c>
      <c r="U37" s="190">
        <v>0</v>
      </c>
      <c r="V37" s="190"/>
      <c r="W37" s="195" t="s">
        <v>369</v>
      </c>
      <c r="X37" s="196" t="str">
        <f>+IFERROR(VLOOKUP($F37,'[2]Chuyển đổi mã'!$A$1:$C$91,3,0),$F37)&amp;AC37</f>
        <v>Lotte South320585</v>
      </c>
      <c r="Y37" s="196" t="str">
        <f>IFERROR(VLOOKUP($F37,'[2]Chuyển đổi mã'!$A$1:$C$184,3,0),F37)</f>
        <v>Lotte South</v>
      </c>
      <c r="Z37" s="196" t="str">
        <f>VLOOKUP($G37,'[2]Thông tin NPP'!$B:$D,3,0)</f>
        <v>Lotte South</v>
      </c>
      <c r="AA37" s="196" t="str">
        <f t="shared" si="10"/>
        <v xml:space="preserve">Big Rolls </v>
      </c>
      <c r="AB37" s="196" t="str">
        <f>IFERROR(VLOOKUP(DAY(B37),'[2]Chuyển đổi mã'!$F$1:$G$32,2,0),0)</f>
        <v>W3</v>
      </c>
      <c r="AC37" s="196" t="str">
        <f t="shared" si="11"/>
        <v>320585</v>
      </c>
      <c r="AD37" s="196" t="str">
        <f t="shared" si="12"/>
        <v>NPP</v>
      </c>
      <c r="AE37" s="196" t="str">
        <f t="shared" si="13"/>
        <v>NPP320585</v>
      </c>
      <c r="AF37" s="196">
        <f t="shared" si="14"/>
        <v>0</v>
      </c>
    </row>
    <row r="38" spans="1:32" ht="12.95" customHeight="1">
      <c r="A38" s="190">
        <v>10586</v>
      </c>
      <c r="B38" s="191">
        <v>43573</v>
      </c>
      <c r="C38" s="190" t="s">
        <v>311</v>
      </c>
      <c r="D38" s="190"/>
      <c r="E38" s="190"/>
      <c r="F38" s="190" t="s">
        <v>421</v>
      </c>
      <c r="G38" s="192" t="s">
        <v>422</v>
      </c>
      <c r="H38" s="192" t="s">
        <v>296</v>
      </c>
      <c r="I38" s="192" t="s">
        <v>349</v>
      </c>
      <c r="J38" s="192" t="s">
        <v>350</v>
      </c>
      <c r="K38" s="190" t="s">
        <v>351</v>
      </c>
      <c r="L38" s="190" t="s">
        <v>419</v>
      </c>
      <c r="M38" s="192" t="s">
        <v>420</v>
      </c>
      <c r="N38" s="193">
        <v>-1</v>
      </c>
      <c r="O38" s="193">
        <v>336000</v>
      </c>
      <c r="P38" s="194">
        <v>-336000</v>
      </c>
      <c r="Q38" s="194">
        <v>-33600</v>
      </c>
      <c r="R38" s="194">
        <v>-369600</v>
      </c>
      <c r="S38" s="192"/>
      <c r="T38" s="192" t="s">
        <v>310</v>
      </c>
      <c r="U38" s="190">
        <v>0</v>
      </c>
      <c r="V38" s="190"/>
      <c r="W38" s="195" t="s">
        <v>369</v>
      </c>
      <c r="X38" s="196" t="str">
        <f>+IFERROR(VLOOKUP($F38,'[2]Chuyển đổi mã'!$A$1:$C$91,3,0),$F38)&amp;AC38</f>
        <v>Lotte South323713</v>
      </c>
      <c r="Y38" s="196" t="str">
        <f>IFERROR(VLOOKUP($F38,'[2]Chuyển đổi mã'!$A$1:$C$184,3,0),F38)</f>
        <v>Lotte South</v>
      </c>
      <c r="Z38" s="196" t="str">
        <f>VLOOKUP($G38,'[2]Thông tin NPP'!$B:$D,3,0)</f>
        <v>Lotte South</v>
      </c>
      <c r="AA38" s="196" t="str">
        <f t="shared" si="10"/>
        <v>Nextar Bro</v>
      </c>
      <c r="AB38" s="196" t="str">
        <f>IFERROR(VLOOKUP(DAY(B38),'[2]Chuyển đổi mã'!$F$1:$G$32,2,0),0)</f>
        <v>W3</v>
      </c>
      <c r="AC38" s="196" t="str">
        <f t="shared" si="11"/>
        <v>323713</v>
      </c>
      <c r="AD38" s="196" t="str">
        <f t="shared" si="12"/>
        <v>NPP</v>
      </c>
      <c r="AE38" s="196" t="str">
        <f t="shared" si="13"/>
        <v>NPP323713</v>
      </c>
      <c r="AF38" s="196">
        <f t="shared" si="14"/>
        <v>0</v>
      </c>
    </row>
    <row r="39" spans="1:32" ht="12.95" hidden="1" customHeight="1">
      <c r="A39" s="190">
        <v>10588</v>
      </c>
      <c r="B39" s="191">
        <v>43573</v>
      </c>
      <c r="C39" s="190" t="s">
        <v>311</v>
      </c>
      <c r="D39" s="190" t="s">
        <v>310</v>
      </c>
      <c r="E39" s="190"/>
      <c r="F39" s="190" t="s">
        <v>423</v>
      </c>
      <c r="G39" s="192" t="s">
        <v>424</v>
      </c>
      <c r="H39" s="192" t="s">
        <v>296</v>
      </c>
      <c r="I39" s="192" t="s">
        <v>391</v>
      </c>
      <c r="J39" s="192" t="s">
        <v>350</v>
      </c>
      <c r="K39" s="190" t="s">
        <v>368</v>
      </c>
      <c r="L39" s="190" t="s">
        <v>352</v>
      </c>
      <c r="M39" s="192" t="s">
        <v>353</v>
      </c>
      <c r="N39" s="193">
        <v>-6.5</v>
      </c>
      <c r="O39" s="193">
        <v>138982</v>
      </c>
      <c r="P39" s="194">
        <v>-903383</v>
      </c>
      <c r="Q39" s="194">
        <v>-90338.3</v>
      </c>
      <c r="R39" s="194">
        <v>-993721.3</v>
      </c>
      <c r="S39" s="192"/>
      <c r="T39" s="192" t="s">
        <v>310</v>
      </c>
      <c r="U39" s="190">
        <v>0</v>
      </c>
      <c r="V39" s="190"/>
      <c r="W39" s="195" t="s">
        <v>369</v>
      </c>
      <c r="X39" s="196" t="str">
        <f>+IFERROR(VLOOKUP($F39,'[2]Chuyển đổi mã'!$A$1:$C$91,3,0),$F39)&amp;AC39</f>
        <v>NPP00000084320463</v>
      </c>
      <c r="Y39" s="196" t="str">
        <f>IFERROR(VLOOKUP($F39,'[2]Chuyển đổi mã'!$A$1:$C$184,3,0),F39)</f>
        <v>NPP00000084</v>
      </c>
      <c r="Z39" s="196" t="str">
        <f>VLOOKUP($G39,'[2]Thông tin NPP'!$B:$D,3,0)</f>
        <v>THANH LIÊM</v>
      </c>
      <c r="AA39" s="196" t="str">
        <f t="shared" si="10"/>
        <v>Na 8,5g</v>
      </c>
      <c r="AB39" s="196" t="str">
        <f>IFERROR(VLOOKUP(DAY(B39),'[2]Chuyển đổi mã'!$F$1:$G$32,2,0),0)</f>
        <v>W3</v>
      </c>
      <c r="AC39" s="196" t="str">
        <f t="shared" si="11"/>
        <v>320463</v>
      </c>
      <c r="AD39" s="196" t="str">
        <f t="shared" si="12"/>
        <v>NPP</v>
      </c>
      <c r="AE39" s="196" t="str">
        <f t="shared" si="13"/>
        <v>NPP320463</v>
      </c>
      <c r="AF39" s="196">
        <f t="shared" si="14"/>
        <v>0</v>
      </c>
    </row>
    <row r="40" spans="1:32" ht="12.95" hidden="1" customHeight="1">
      <c r="A40" s="190">
        <v>10588</v>
      </c>
      <c r="B40" s="191">
        <v>43573</v>
      </c>
      <c r="C40" s="190" t="s">
        <v>311</v>
      </c>
      <c r="D40" s="190" t="s">
        <v>310</v>
      </c>
      <c r="E40" s="190"/>
      <c r="F40" s="190" t="s">
        <v>423</v>
      </c>
      <c r="G40" s="192" t="s">
        <v>424</v>
      </c>
      <c r="H40" s="192" t="s">
        <v>296</v>
      </c>
      <c r="I40" s="192" t="s">
        <v>391</v>
      </c>
      <c r="J40" s="192" t="s">
        <v>350</v>
      </c>
      <c r="K40" s="190" t="s">
        <v>368</v>
      </c>
      <c r="L40" s="190" t="s">
        <v>357</v>
      </c>
      <c r="M40" s="192" t="s">
        <v>358</v>
      </c>
      <c r="N40" s="193">
        <v>-10.667</v>
      </c>
      <c r="O40" s="193">
        <v>185640</v>
      </c>
      <c r="P40" s="194">
        <v>-1980221.88</v>
      </c>
      <c r="Q40" s="194">
        <v>-198022.18799999999</v>
      </c>
      <c r="R40" s="194">
        <v>-2178244.068</v>
      </c>
      <c r="S40" s="192"/>
      <c r="T40" s="192" t="s">
        <v>310</v>
      </c>
      <c r="U40" s="190">
        <v>0</v>
      </c>
      <c r="V40" s="190"/>
      <c r="W40" s="195" t="s">
        <v>369</v>
      </c>
      <c r="X40" s="196" t="str">
        <f>+IFERROR(VLOOKUP($F40,'[2]Chuyển đổi mã'!$A$1:$C$91,3,0),$F40)&amp;AC40</f>
        <v>NPP00000084323555</v>
      </c>
      <c r="Y40" s="196" t="str">
        <f>IFERROR(VLOOKUP($F40,'[2]Chuyển đổi mã'!$A$1:$C$184,3,0),F40)</f>
        <v>NPP00000084</v>
      </c>
      <c r="Z40" s="196" t="str">
        <f>VLOOKUP($G40,'[2]Thông tin NPP'!$B:$D,3,0)</f>
        <v>THANH LIÊM</v>
      </c>
      <c r="AA40" s="196" t="str">
        <f t="shared" si="10"/>
        <v>Na 17g - M</v>
      </c>
      <c r="AB40" s="196" t="str">
        <f>IFERROR(VLOOKUP(DAY(B40),'[2]Chuyển đổi mã'!$F$1:$G$32,2,0),0)</f>
        <v>W3</v>
      </c>
      <c r="AC40" s="196" t="str">
        <f t="shared" si="11"/>
        <v>323555</v>
      </c>
      <c r="AD40" s="196" t="str">
        <f t="shared" si="12"/>
        <v>NPP</v>
      </c>
      <c r="AE40" s="196" t="str">
        <f t="shared" si="13"/>
        <v>NPP323555</v>
      </c>
      <c r="AF40" s="196">
        <f t="shared" si="14"/>
        <v>0</v>
      </c>
    </row>
    <row r="41" spans="1:32" ht="12.95" hidden="1" customHeight="1">
      <c r="A41" s="190">
        <v>10588</v>
      </c>
      <c r="B41" s="191">
        <v>43573</v>
      </c>
      <c r="C41" s="190" t="s">
        <v>311</v>
      </c>
      <c r="D41" s="190" t="s">
        <v>310</v>
      </c>
      <c r="E41" s="190"/>
      <c r="F41" s="190" t="s">
        <v>423</v>
      </c>
      <c r="G41" s="192" t="s">
        <v>424</v>
      </c>
      <c r="H41" s="192" t="s">
        <v>296</v>
      </c>
      <c r="I41" s="192" t="s">
        <v>391</v>
      </c>
      <c r="J41" s="192" t="s">
        <v>350</v>
      </c>
      <c r="K41" s="190" t="s">
        <v>368</v>
      </c>
      <c r="L41" s="190" t="s">
        <v>385</v>
      </c>
      <c r="M41" s="192" t="s">
        <v>386</v>
      </c>
      <c r="N41" s="193">
        <v>-4.3330000000000002</v>
      </c>
      <c r="O41" s="193">
        <v>185640</v>
      </c>
      <c r="P41" s="194">
        <v>-804378.12</v>
      </c>
      <c r="Q41" s="194">
        <v>-80437.812000000005</v>
      </c>
      <c r="R41" s="194">
        <v>-884815.93200000003</v>
      </c>
      <c r="S41" s="192"/>
      <c r="T41" s="192" t="s">
        <v>310</v>
      </c>
      <c r="U41" s="190">
        <v>0</v>
      </c>
      <c r="V41" s="190"/>
      <c r="W41" s="195" t="s">
        <v>369</v>
      </c>
      <c r="X41" s="196" t="str">
        <f>+IFERROR(VLOOKUP($F41,'[2]Chuyển đổi mã'!$A$1:$C$91,3,0),$F41)&amp;AC41</f>
        <v>NPP00000084323545</v>
      </c>
      <c r="Y41" s="196" t="str">
        <f>IFERROR(VLOOKUP($F41,'[2]Chuyển đổi mã'!$A$1:$C$184,3,0),F41)</f>
        <v>NPP00000084</v>
      </c>
      <c r="Z41" s="196" t="str">
        <f>VLOOKUP($G41,'[2]Thông tin NPP'!$B:$D,3,0)</f>
        <v>THANH LIÊM</v>
      </c>
      <c r="AA41" s="196" t="str">
        <f t="shared" si="10"/>
        <v>Na 17g - T</v>
      </c>
      <c r="AB41" s="196" t="str">
        <f>IFERROR(VLOOKUP(DAY(B41),'[2]Chuyển đổi mã'!$F$1:$G$32,2,0),0)</f>
        <v>W3</v>
      </c>
      <c r="AC41" s="196" t="str">
        <f t="shared" si="11"/>
        <v>323545</v>
      </c>
      <c r="AD41" s="196" t="str">
        <f t="shared" si="12"/>
        <v>NPP</v>
      </c>
      <c r="AE41" s="196" t="str">
        <f t="shared" si="13"/>
        <v>NPP323545</v>
      </c>
      <c r="AF41" s="196">
        <f t="shared" si="14"/>
        <v>0</v>
      </c>
    </row>
    <row r="42" spans="1:32" ht="12.95" hidden="1" customHeight="1">
      <c r="A42" s="190">
        <v>10588</v>
      </c>
      <c r="B42" s="191">
        <v>43573</v>
      </c>
      <c r="C42" s="190" t="s">
        <v>311</v>
      </c>
      <c r="D42" s="190" t="s">
        <v>310</v>
      </c>
      <c r="E42" s="190"/>
      <c r="F42" s="190" t="s">
        <v>423</v>
      </c>
      <c r="G42" s="192" t="s">
        <v>424</v>
      </c>
      <c r="H42" s="192" t="s">
        <v>296</v>
      </c>
      <c r="I42" s="192" t="s">
        <v>391</v>
      </c>
      <c r="J42" s="192" t="s">
        <v>350</v>
      </c>
      <c r="K42" s="190" t="s">
        <v>368</v>
      </c>
      <c r="L42" s="190" t="s">
        <v>425</v>
      </c>
      <c r="M42" s="192" t="s">
        <v>426</v>
      </c>
      <c r="N42" s="193">
        <v>-0.217</v>
      </c>
      <c r="O42" s="193">
        <v>273000</v>
      </c>
      <c r="P42" s="194">
        <v>-59241</v>
      </c>
      <c r="Q42" s="194">
        <v>-5924.1</v>
      </c>
      <c r="R42" s="194">
        <v>-65165.1</v>
      </c>
      <c r="S42" s="192"/>
      <c r="T42" s="192" t="s">
        <v>310</v>
      </c>
      <c r="U42" s="190">
        <v>0</v>
      </c>
      <c r="V42" s="190"/>
      <c r="W42" s="195" t="s">
        <v>369</v>
      </c>
      <c r="X42" s="196" t="str">
        <f>+IFERROR(VLOOKUP($F42,'[2]Chuyển đổi mã'!$A$1:$C$91,3,0),$F42)&amp;AC42</f>
        <v>NPP00000084323510</v>
      </c>
      <c r="Y42" s="196" t="str">
        <f>IFERROR(VLOOKUP($F42,'[2]Chuyển đổi mã'!$A$1:$C$184,3,0),F42)</f>
        <v>NPP00000084</v>
      </c>
      <c r="Z42" s="196" t="str">
        <f>VLOOKUP($G42,'[2]Thông tin NPP'!$B:$D,3,0)</f>
        <v>THANH LIÊM</v>
      </c>
      <c r="AA42" s="196" t="str">
        <f t="shared" si="10"/>
        <v>Na 52g *60</v>
      </c>
      <c r="AB42" s="196" t="str">
        <f>IFERROR(VLOOKUP(DAY(B42),'[2]Chuyển đổi mã'!$F$1:$G$32,2,0),0)</f>
        <v>W3</v>
      </c>
      <c r="AC42" s="196" t="str">
        <f t="shared" si="11"/>
        <v>323510</v>
      </c>
      <c r="AD42" s="196" t="str">
        <f t="shared" si="12"/>
        <v>NPP</v>
      </c>
      <c r="AE42" s="196" t="str">
        <f t="shared" si="13"/>
        <v>NPP323510</v>
      </c>
      <c r="AF42" s="196">
        <f t="shared" si="14"/>
        <v>0</v>
      </c>
    </row>
    <row r="43" spans="1:32" ht="12.95" hidden="1" customHeight="1">
      <c r="A43" s="190">
        <v>10588</v>
      </c>
      <c r="B43" s="191">
        <v>43573</v>
      </c>
      <c r="C43" s="190" t="s">
        <v>311</v>
      </c>
      <c r="D43" s="190" t="s">
        <v>310</v>
      </c>
      <c r="E43" s="190"/>
      <c r="F43" s="190" t="s">
        <v>423</v>
      </c>
      <c r="G43" s="192" t="s">
        <v>424</v>
      </c>
      <c r="H43" s="192" t="s">
        <v>296</v>
      </c>
      <c r="I43" s="192" t="s">
        <v>391</v>
      </c>
      <c r="J43" s="192" t="s">
        <v>350</v>
      </c>
      <c r="K43" s="190" t="s">
        <v>368</v>
      </c>
      <c r="L43" s="190" t="s">
        <v>359</v>
      </c>
      <c r="M43" s="192" t="s">
        <v>360</v>
      </c>
      <c r="N43" s="193">
        <v>-2.5</v>
      </c>
      <c r="O43" s="193">
        <v>273000</v>
      </c>
      <c r="P43" s="194">
        <v>-682500</v>
      </c>
      <c r="Q43" s="194">
        <v>-68250</v>
      </c>
      <c r="R43" s="194">
        <v>-750750</v>
      </c>
      <c r="S43" s="192"/>
      <c r="T43" s="192" t="s">
        <v>310</v>
      </c>
      <c r="U43" s="190">
        <v>0</v>
      </c>
      <c r="V43" s="190"/>
      <c r="W43" s="195" t="s">
        <v>369</v>
      </c>
      <c r="X43" s="196" t="str">
        <f>+IFERROR(VLOOKUP($F43,'[2]Chuyển đổi mã'!$A$1:$C$91,3,0),$F43)&amp;AC43</f>
        <v>NPP00000084320445</v>
      </c>
      <c r="Y43" s="196" t="str">
        <f>IFERROR(VLOOKUP($F43,'[2]Chuyển đổi mã'!$A$1:$C$184,3,0),F43)</f>
        <v>NPP00000084</v>
      </c>
      <c r="Z43" s="196" t="str">
        <f>VLOOKUP($G43,'[2]Thông tin NPP'!$B:$D,3,0)</f>
        <v>THANH LIÊM</v>
      </c>
      <c r="AA43" s="196" t="str">
        <f t="shared" si="10"/>
        <v>Na 58g</v>
      </c>
      <c r="AB43" s="196" t="str">
        <f>IFERROR(VLOOKUP(DAY(B43),'[2]Chuyển đổi mã'!$F$1:$G$32,2,0),0)</f>
        <v>W3</v>
      </c>
      <c r="AC43" s="196" t="str">
        <f t="shared" si="11"/>
        <v>320445</v>
      </c>
      <c r="AD43" s="196" t="str">
        <f t="shared" si="12"/>
        <v>NPP</v>
      </c>
      <c r="AE43" s="196" t="str">
        <f t="shared" si="13"/>
        <v>NPP320445</v>
      </c>
      <c r="AF43" s="196">
        <f t="shared" si="14"/>
        <v>0</v>
      </c>
    </row>
    <row r="44" spans="1:32" ht="12.95" hidden="1" customHeight="1">
      <c r="A44" s="190">
        <v>10588</v>
      </c>
      <c r="B44" s="191">
        <v>43573</v>
      </c>
      <c r="C44" s="190" t="s">
        <v>311</v>
      </c>
      <c r="D44" s="190" t="s">
        <v>310</v>
      </c>
      <c r="E44" s="190"/>
      <c r="F44" s="190" t="s">
        <v>423</v>
      </c>
      <c r="G44" s="192" t="s">
        <v>424</v>
      </c>
      <c r="H44" s="192" t="s">
        <v>296</v>
      </c>
      <c r="I44" s="192" t="s">
        <v>391</v>
      </c>
      <c r="J44" s="192" t="s">
        <v>350</v>
      </c>
      <c r="K44" s="190" t="s">
        <v>368</v>
      </c>
      <c r="L44" s="190" t="s">
        <v>374</v>
      </c>
      <c r="M44" s="192" t="s">
        <v>375</v>
      </c>
      <c r="N44" s="193">
        <v>-1.6</v>
      </c>
      <c r="O44" s="193">
        <v>273000</v>
      </c>
      <c r="P44" s="194">
        <v>-436800</v>
      </c>
      <c r="Q44" s="194">
        <v>-43680</v>
      </c>
      <c r="R44" s="194">
        <v>-480480</v>
      </c>
      <c r="S44" s="192"/>
      <c r="T44" s="192" t="s">
        <v>310</v>
      </c>
      <c r="U44" s="190">
        <v>0</v>
      </c>
      <c r="V44" s="190"/>
      <c r="W44" s="195" t="s">
        <v>369</v>
      </c>
      <c r="X44" s="196" t="str">
        <f>+IFERROR(VLOOKUP($F44,'[2]Chuyển đổi mã'!$A$1:$C$91,3,0),$F44)&amp;AC44</f>
        <v>NPP00000084342159</v>
      </c>
      <c r="Y44" s="196" t="str">
        <f>IFERROR(VLOOKUP($F44,'[2]Chuyển đổi mã'!$A$1:$C$184,3,0),F44)</f>
        <v>NPP00000084</v>
      </c>
      <c r="Z44" s="196" t="str">
        <f>VLOOKUP($G44,'[2]Thông tin NPP'!$B:$D,3,0)</f>
        <v>THANH LIÊM</v>
      </c>
      <c r="AA44" s="196" t="str">
        <f t="shared" si="10"/>
        <v>Na 58g - T</v>
      </c>
      <c r="AB44" s="196" t="str">
        <f>IFERROR(VLOOKUP(DAY(B44),'[2]Chuyển đổi mã'!$F$1:$G$32,2,0),0)</f>
        <v>W3</v>
      </c>
      <c r="AC44" s="196" t="str">
        <f t="shared" si="11"/>
        <v>342159</v>
      </c>
      <c r="AD44" s="196" t="str">
        <f t="shared" si="12"/>
        <v>NPP</v>
      </c>
      <c r="AE44" s="196" t="str">
        <f t="shared" si="13"/>
        <v>NPP342159</v>
      </c>
      <c r="AF44" s="196">
        <f t="shared" si="14"/>
        <v>0</v>
      </c>
    </row>
    <row r="45" spans="1:32" ht="12.95" hidden="1" customHeight="1">
      <c r="A45" s="190">
        <v>10588</v>
      </c>
      <c r="B45" s="191">
        <v>43573</v>
      </c>
      <c r="C45" s="190" t="s">
        <v>311</v>
      </c>
      <c r="D45" s="190" t="s">
        <v>310</v>
      </c>
      <c r="E45" s="190"/>
      <c r="F45" s="190" t="s">
        <v>423</v>
      </c>
      <c r="G45" s="192" t="s">
        <v>424</v>
      </c>
      <c r="H45" s="192" t="s">
        <v>296</v>
      </c>
      <c r="I45" s="192" t="s">
        <v>391</v>
      </c>
      <c r="J45" s="192" t="s">
        <v>350</v>
      </c>
      <c r="K45" s="190" t="s">
        <v>368</v>
      </c>
      <c r="L45" s="190" t="s">
        <v>404</v>
      </c>
      <c r="M45" s="192" t="s">
        <v>405</v>
      </c>
      <c r="N45" s="193">
        <v>-2.5830000000000002</v>
      </c>
      <c r="O45" s="193">
        <v>316680</v>
      </c>
      <c r="P45" s="194">
        <v>-817984.44</v>
      </c>
      <c r="Q45" s="194">
        <v>-81798.444000000003</v>
      </c>
      <c r="R45" s="194">
        <v>-899782.88399999996</v>
      </c>
      <c r="S45" s="192"/>
      <c r="T45" s="192" t="s">
        <v>310</v>
      </c>
      <c r="U45" s="190">
        <v>0</v>
      </c>
      <c r="V45" s="190"/>
      <c r="W45" s="195" t="s">
        <v>369</v>
      </c>
      <c r="X45" s="196" t="str">
        <f>+IFERROR(VLOOKUP($F45,'[2]Chuyển đổi mã'!$A$1:$C$91,3,0),$F45)&amp;AC45</f>
        <v>NPP00000084320458</v>
      </c>
      <c r="Y45" s="196" t="str">
        <f>IFERROR(VLOOKUP($F45,'[2]Chuyển đổi mã'!$A$1:$C$184,3,0),F45)</f>
        <v>NPP00000084</v>
      </c>
      <c r="Z45" s="196" t="str">
        <f>VLOOKUP($G45,'[2]Thông tin NPP'!$B:$D,3,0)</f>
        <v>THANH LIÊM</v>
      </c>
      <c r="AA45" s="196" t="str">
        <f t="shared" si="10"/>
        <v>Na 150g</v>
      </c>
      <c r="AB45" s="196" t="str">
        <f>IFERROR(VLOOKUP(DAY(B45),'[2]Chuyển đổi mã'!$F$1:$G$32,2,0),0)</f>
        <v>W3</v>
      </c>
      <c r="AC45" s="196" t="str">
        <f t="shared" si="11"/>
        <v>320458</v>
      </c>
      <c r="AD45" s="196" t="str">
        <f t="shared" si="12"/>
        <v>NPP</v>
      </c>
      <c r="AE45" s="196" t="str">
        <f t="shared" si="13"/>
        <v>NPP320458</v>
      </c>
      <c r="AF45" s="196">
        <f t="shared" si="14"/>
        <v>0</v>
      </c>
    </row>
    <row r="46" spans="1:32" ht="12.95" hidden="1" customHeight="1">
      <c r="A46" s="190">
        <v>10588</v>
      </c>
      <c r="B46" s="191">
        <v>43573</v>
      </c>
      <c r="C46" s="190" t="s">
        <v>311</v>
      </c>
      <c r="D46" s="190" t="s">
        <v>310</v>
      </c>
      <c r="E46" s="190"/>
      <c r="F46" s="190" t="s">
        <v>423</v>
      </c>
      <c r="G46" s="192" t="s">
        <v>424</v>
      </c>
      <c r="H46" s="192" t="s">
        <v>296</v>
      </c>
      <c r="I46" s="192" t="s">
        <v>391</v>
      </c>
      <c r="J46" s="192" t="s">
        <v>350</v>
      </c>
      <c r="K46" s="190" t="s">
        <v>368</v>
      </c>
      <c r="L46" s="190" t="s">
        <v>381</v>
      </c>
      <c r="M46" s="192" t="s">
        <v>382</v>
      </c>
      <c r="N46" s="193">
        <v>-15.167</v>
      </c>
      <c r="O46" s="193">
        <v>297322</v>
      </c>
      <c r="P46" s="194">
        <v>-4509482.7740000002</v>
      </c>
      <c r="Q46" s="194">
        <v>-450948.27740000002</v>
      </c>
      <c r="R46" s="194">
        <v>-4960431.0514000002</v>
      </c>
      <c r="S46" s="192"/>
      <c r="T46" s="192" t="s">
        <v>310</v>
      </c>
      <c r="U46" s="190">
        <v>0</v>
      </c>
      <c r="V46" s="190"/>
      <c r="W46" s="195" t="s">
        <v>369</v>
      </c>
      <c r="X46" s="196" t="str">
        <f>+IFERROR(VLOOKUP($F46,'[2]Chuyển đổi mã'!$A$1:$C$91,3,0),$F46)&amp;AC46</f>
        <v>NPP00000084320429</v>
      </c>
      <c r="Y46" s="196" t="str">
        <f>IFERROR(VLOOKUP($F46,'[2]Chuyển đổi mã'!$A$1:$C$184,3,0),F46)</f>
        <v>NPP00000084</v>
      </c>
      <c r="Z46" s="196" t="str">
        <f>VLOOKUP($G46,'[2]Thông tin NPP'!$B:$D,3,0)</f>
        <v>THANH LIÊM</v>
      </c>
      <c r="AA46" s="196" t="str">
        <f t="shared" si="10"/>
        <v>Tin Can 35</v>
      </c>
      <c r="AB46" s="196" t="str">
        <f>IFERROR(VLOOKUP(DAY(B46),'[2]Chuyển đổi mã'!$F$1:$G$32,2,0),0)</f>
        <v>W3</v>
      </c>
      <c r="AC46" s="196" t="str">
        <f t="shared" si="11"/>
        <v>320429</v>
      </c>
      <c r="AD46" s="196" t="str">
        <f t="shared" si="12"/>
        <v>NPP</v>
      </c>
      <c r="AE46" s="196" t="str">
        <f t="shared" si="13"/>
        <v>NPP320429</v>
      </c>
      <c r="AF46" s="196">
        <f t="shared" si="14"/>
        <v>0</v>
      </c>
    </row>
    <row r="47" spans="1:32" ht="12.95" hidden="1" customHeight="1">
      <c r="A47" s="190">
        <v>10588</v>
      </c>
      <c r="B47" s="191">
        <v>43573</v>
      </c>
      <c r="C47" s="190" t="s">
        <v>311</v>
      </c>
      <c r="D47" s="190" t="s">
        <v>310</v>
      </c>
      <c r="E47" s="190"/>
      <c r="F47" s="190" t="s">
        <v>423</v>
      </c>
      <c r="G47" s="192" t="s">
        <v>424</v>
      </c>
      <c r="H47" s="192" t="s">
        <v>296</v>
      </c>
      <c r="I47" s="192" t="s">
        <v>391</v>
      </c>
      <c r="J47" s="192" t="s">
        <v>350</v>
      </c>
      <c r="K47" s="190" t="s">
        <v>368</v>
      </c>
      <c r="L47" s="190" t="s">
        <v>410</v>
      </c>
      <c r="M47" s="192" t="s">
        <v>411</v>
      </c>
      <c r="N47" s="193">
        <v>-2.8330000000000002</v>
      </c>
      <c r="O47" s="193">
        <v>91331</v>
      </c>
      <c r="P47" s="194">
        <v>-258740.723</v>
      </c>
      <c r="Q47" s="194">
        <v>-25874.0723</v>
      </c>
      <c r="R47" s="194">
        <v>-284614.7953</v>
      </c>
      <c r="S47" s="192"/>
      <c r="T47" s="192" t="s">
        <v>310</v>
      </c>
      <c r="U47" s="190">
        <v>0</v>
      </c>
      <c r="V47" s="190"/>
      <c r="W47" s="195" t="s">
        <v>369</v>
      </c>
      <c r="X47" s="196" t="str">
        <f>+IFERROR(VLOOKUP($F47,'[2]Chuyển đổi mã'!$A$1:$C$91,3,0),$F47)&amp;AC47</f>
        <v>NPP00000084320566</v>
      </c>
      <c r="Y47" s="196" t="str">
        <f>IFERROR(VLOOKUP($F47,'[2]Chuyển đổi mã'!$A$1:$C$184,3,0),F47)</f>
        <v>NPP00000084</v>
      </c>
      <c r="Z47" s="196" t="str">
        <f>VLOOKUP($G47,'[2]Thông tin NPP'!$B:$D,3,0)</f>
        <v>THANH LIÊM</v>
      </c>
      <c r="AA47" s="196" t="str">
        <f t="shared" si="10"/>
        <v>Rolls 8g</v>
      </c>
      <c r="AB47" s="196" t="str">
        <f>IFERROR(VLOOKUP(DAY(B47),'[2]Chuyển đổi mã'!$F$1:$G$32,2,0),0)</f>
        <v>W3</v>
      </c>
      <c r="AC47" s="196" t="str">
        <f t="shared" si="11"/>
        <v>320566</v>
      </c>
      <c r="AD47" s="196" t="str">
        <f t="shared" si="12"/>
        <v>NPP</v>
      </c>
      <c r="AE47" s="196" t="str">
        <f t="shared" si="13"/>
        <v>NPP320566</v>
      </c>
      <c r="AF47" s="196">
        <f t="shared" si="14"/>
        <v>0</v>
      </c>
    </row>
    <row r="48" spans="1:32" ht="12.95" hidden="1" customHeight="1">
      <c r="A48" s="190">
        <v>10588</v>
      </c>
      <c r="B48" s="191">
        <v>43573</v>
      </c>
      <c r="C48" s="190" t="s">
        <v>311</v>
      </c>
      <c r="D48" s="190" t="s">
        <v>310</v>
      </c>
      <c r="E48" s="190"/>
      <c r="F48" s="190" t="s">
        <v>423</v>
      </c>
      <c r="G48" s="192" t="s">
        <v>424</v>
      </c>
      <c r="H48" s="192" t="s">
        <v>296</v>
      </c>
      <c r="I48" s="192" t="s">
        <v>391</v>
      </c>
      <c r="J48" s="192" t="s">
        <v>350</v>
      </c>
      <c r="K48" s="190" t="s">
        <v>368</v>
      </c>
      <c r="L48" s="190" t="s">
        <v>383</v>
      </c>
      <c r="M48" s="192" t="s">
        <v>384</v>
      </c>
      <c r="N48" s="193">
        <v>-3.367</v>
      </c>
      <c r="O48" s="193">
        <v>273000</v>
      </c>
      <c r="P48" s="194">
        <v>-919191</v>
      </c>
      <c r="Q48" s="194">
        <v>-91919.1</v>
      </c>
      <c r="R48" s="194">
        <v>-1011110.1</v>
      </c>
      <c r="S48" s="192"/>
      <c r="T48" s="192" t="s">
        <v>310</v>
      </c>
      <c r="U48" s="190">
        <v>0</v>
      </c>
      <c r="V48" s="190"/>
      <c r="W48" s="195" t="s">
        <v>369</v>
      </c>
      <c r="X48" s="196" t="str">
        <f>+IFERROR(VLOOKUP($F48,'[2]Chuyển đổi mã'!$A$1:$C$91,3,0),$F48)&amp;AC48</f>
        <v>NPP00000084320524</v>
      </c>
      <c r="Y48" s="196" t="str">
        <f>IFERROR(VLOOKUP($F48,'[2]Chuyển đổi mã'!$A$1:$C$184,3,0),F48)</f>
        <v>NPP00000084</v>
      </c>
      <c r="Z48" s="196" t="str">
        <f>VLOOKUP($G48,'[2]Thông tin NPP'!$B:$D,3,0)</f>
        <v>THANH LIÊM</v>
      </c>
      <c r="AA48" s="196" t="str">
        <f t="shared" si="10"/>
        <v>Rolls 140g</v>
      </c>
      <c r="AB48" s="196" t="str">
        <f>IFERROR(VLOOKUP(DAY(B48),'[2]Chuyển đổi mã'!$F$1:$G$32,2,0),0)</f>
        <v>W3</v>
      </c>
      <c r="AC48" s="196" t="str">
        <f t="shared" si="11"/>
        <v>320524</v>
      </c>
      <c r="AD48" s="196" t="str">
        <f t="shared" si="12"/>
        <v>NPP</v>
      </c>
      <c r="AE48" s="196" t="str">
        <f t="shared" si="13"/>
        <v>NPP320524</v>
      </c>
      <c r="AF48" s="196">
        <f t="shared" si="14"/>
        <v>0</v>
      </c>
    </row>
    <row r="49" spans="1:32" ht="12.95" hidden="1" customHeight="1">
      <c r="A49" s="190">
        <v>10588</v>
      </c>
      <c r="B49" s="191">
        <v>43573</v>
      </c>
      <c r="C49" s="190" t="s">
        <v>311</v>
      </c>
      <c r="D49" s="190" t="s">
        <v>310</v>
      </c>
      <c r="E49" s="190"/>
      <c r="F49" s="190" t="s">
        <v>423</v>
      </c>
      <c r="G49" s="192" t="s">
        <v>424</v>
      </c>
      <c r="H49" s="192" t="s">
        <v>296</v>
      </c>
      <c r="I49" s="192" t="s">
        <v>391</v>
      </c>
      <c r="J49" s="192" t="s">
        <v>350</v>
      </c>
      <c r="K49" s="190" t="s">
        <v>368</v>
      </c>
      <c r="L49" s="190" t="s">
        <v>400</v>
      </c>
      <c r="M49" s="192" t="s">
        <v>401</v>
      </c>
      <c r="N49" s="193">
        <v>-0.25</v>
      </c>
      <c r="O49" s="193">
        <v>152218</v>
      </c>
      <c r="P49" s="194">
        <v>-38054.5</v>
      </c>
      <c r="Q49" s="194">
        <v>-3805.45</v>
      </c>
      <c r="R49" s="194">
        <v>-41859.949999999997</v>
      </c>
      <c r="S49" s="192"/>
      <c r="T49" s="192" t="s">
        <v>310</v>
      </c>
      <c r="U49" s="190">
        <v>0</v>
      </c>
      <c r="V49" s="190"/>
      <c r="W49" s="195" t="s">
        <v>369</v>
      </c>
      <c r="X49" s="196" t="str">
        <f>+IFERROR(VLOOKUP($F49,'[2]Chuyển đổi mã'!$A$1:$C$91,3,0),$F49)&amp;AC49</f>
        <v>NPP00000084320384</v>
      </c>
      <c r="Y49" s="196" t="str">
        <f>IFERROR(VLOOKUP($F49,'[2]Chuyển đổi mã'!$A$1:$C$184,3,0),F49)</f>
        <v>NPP00000084</v>
      </c>
      <c r="Z49" s="196" t="str">
        <f>VLOOKUP($G49,'[2]Thông tin NPP'!$B:$D,3,0)</f>
        <v>THANH LIÊM</v>
      </c>
      <c r="AA49" s="196" t="str">
        <f t="shared" si="10"/>
        <v>Ahh 5,5g</v>
      </c>
      <c r="AB49" s="196" t="str">
        <f>IFERROR(VLOOKUP(DAY(B49),'[2]Chuyển đổi mã'!$F$1:$G$32,2,0),0)</f>
        <v>W3</v>
      </c>
      <c r="AC49" s="196" t="str">
        <f t="shared" si="11"/>
        <v>320384</v>
      </c>
      <c r="AD49" s="196" t="str">
        <f t="shared" si="12"/>
        <v>NPP</v>
      </c>
      <c r="AE49" s="196" t="str">
        <f t="shared" si="13"/>
        <v>NPP320384</v>
      </c>
      <c r="AF49" s="196">
        <f t="shared" si="14"/>
        <v>0</v>
      </c>
    </row>
    <row r="50" spans="1:32" ht="12.95" hidden="1" customHeight="1">
      <c r="A50" s="190">
        <v>10588</v>
      </c>
      <c r="B50" s="191">
        <v>43573</v>
      </c>
      <c r="C50" s="190" t="s">
        <v>311</v>
      </c>
      <c r="D50" s="190" t="s">
        <v>310</v>
      </c>
      <c r="E50" s="190"/>
      <c r="F50" s="190" t="s">
        <v>423</v>
      </c>
      <c r="G50" s="192" t="s">
        <v>424</v>
      </c>
      <c r="H50" s="192" t="s">
        <v>296</v>
      </c>
      <c r="I50" s="192" t="s">
        <v>391</v>
      </c>
      <c r="J50" s="192" t="s">
        <v>350</v>
      </c>
      <c r="K50" s="190" t="s">
        <v>368</v>
      </c>
      <c r="L50" s="190" t="s">
        <v>387</v>
      </c>
      <c r="M50" s="192" t="s">
        <v>388</v>
      </c>
      <c r="N50" s="193">
        <v>-2.35</v>
      </c>
      <c r="O50" s="193">
        <v>309400</v>
      </c>
      <c r="P50" s="194">
        <v>-727090</v>
      </c>
      <c r="Q50" s="194">
        <v>-72709</v>
      </c>
      <c r="R50" s="194">
        <v>-799799</v>
      </c>
      <c r="S50" s="192"/>
      <c r="T50" s="192" t="s">
        <v>310</v>
      </c>
      <c r="U50" s="190">
        <v>0</v>
      </c>
      <c r="V50" s="190"/>
      <c r="W50" s="195" t="s">
        <v>369</v>
      </c>
      <c r="X50" s="196" t="str">
        <f>+IFERROR(VLOOKUP($F50,'[2]Chuyển đổi mã'!$A$1:$C$91,3,0),$F50)&amp;AC50</f>
        <v>NPP00000084323620</v>
      </c>
      <c r="Y50" s="196" t="str">
        <f>IFERROR(VLOOKUP($F50,'[2]Chuyển đổi mã'!$A$1:$C$184,3,0),F50)</f>
        <v>NPP00000084</v>
      </c>
      <c r="Z50" s="196" t="str">
        <f>VLOOKUP($G50,'[2]Thông tin NPP'!$B:$D,3,0)</f>
        <v>THANH LIÊM</v>
      </c>
      <c r="AA50" s="196" t="str">
        <f t="shared" si="10"/>
        <v>Ahh 16g</v>
      </c>
      <c r="AB50" s="196" t="str">
        <f>IFERROR(VLOOKUP(DAY(B50),'[2]Chuyển đổi mã'!$F$1:$G$32,2,0),0)</f>
        <v>W3</v>
      </c>
      <c r="AC50" s="196" t="str">
        <f t="shared" si="11"/>
        <v>323620</v>
      </c>
      <c r="AD50" s="196" t="str">
        <f t="shared" si="12"/>
        <v>NPP</v>
      </c>
      <c r="AE50" s="196" t="str">
        <f t="shared" si="13"/>
        <v>NPP323620</v>
      </c>
      <c r="AF50" s="196">
        <f t="shared" si="14"/>
        <v>0</v>
      </c>
    </row>
    <row r="51" spans="1:32" ht="12.95" hidden="1" customHeight="1">
      <c r="A51" s="190">
        <v>10588</v>
      </c>
      <c r="B51" s="191">
        <v>43573</v>
      </c>
      <c r="C51" s="190" t="s">
        <v>311</v>
      </c>
      <c r="D51" s="190" t="s">
        <v>310</v>
      </c>
      <c r="E51" s="190"/>
      <c r="F51" s="190" t="s">
        <v>423</v>
      </c>
      <c r="G51" s="192" t="s">
        <v>424</v>
      </c>
      <c r="H51" s="192" t="s">
        <v>296</v>
      </c>
      <c r="I51" s="192" t="s">
        <v>391</v>
      </c>
      <c r="J51" s="192" t="s">
        <v>350</v>
      </c>
      <c r="K51" s="190" t="s">
        <v>368</v>
      </c>
      <c r="L51" s="190" t="s">
        <v>372</v>
      </c>
      <c r="M51" s="192" t="s">
        <v>373</v>
      </c>
      <c r="N51" s="193">
        <v>-0.48299999999999998</v>
      </c>
      <c r="O51" s="193">
        <v>273000</v>
      </c>
      <c r="P51" s="194">
        <v>-131859</v>
      </c>
      <c r="Q51" s="194">
        <v>-13185.9</v>
      </c>
      <c r="R51" s="194">
        <v>-145044.9</v>
      </c>
      <c r="S51" s="192"/>
      <c r="T51" s="192" t="s">
        <v>310</v>
      </c>
      <c r="U51" s="190">
        <v>0</v>
      </c>
      <c r="V51" s="190"/>
      <c r="W51" s="195" t="s">
        <v>369</v>
      </c>
      <c r="X51" s="196" t="str">
        <f>+IFERROR(VLOOKUP($F51,'[2]Chuyển đổi mã'!$A$1:$C$91,3,0),$F51)&amp;AC51</f>
        <v>NPP00000084321285</v>
      </c>
      <c r="Y51" s="196" t="str">
        <f>IFERROR(VLOOKUP($F51,'[2]Chuyển đổi mã'!$A$1:$C$184,3,0),F51)</f>
        <v>NPP00000084</v>
      </c>
      <c r="Z51" s="196" t="str">
        <f>VLOOKUP($G51,'[2]Thông tin NPP'!$B:$D,3,0)</f>
        <v>THANH LIÊM</v>
      </c>
      <c r="AA51" s="196" t="str">
        <f t="shared" si="10"/>
        <v>White 52g</v>
      </c>
      <c r="AB51" s="196" t="str">
        <f>IFERROR(VLOOKUP(DAY(B51),'[2]Chuyển đổi mã'!$F$1:$G$32,2,0),0)</f>
        <v>W3</v>
      </c>
      <c r="AC51" s="196" t="str">
        <f t="shared" si="11"/>
        <v>321285</v>
      </c>
      <c r="AD51" s="196" t="str">
        <f t="shared" si="12"/>
        <v>NPP</v>
      </c>
      <c r="AE51" s="196" t="str">
        <f t="shared" si="13"/>
        <v>NPP321285</v>
      </c>
      <c r="AF51" s="196">
        <f t="shared" si="14"/>
        <v>0</v>
      </c>
    </row>
    <row r="52" spans="1:32" ht="12.95" hidden="1" customHeight="1">
      <c r="A52" s="190">
        <v>10588</v>
      </c>
      <c r="B52" s="191">
        <v>43573</v>
      </c>
      <c r="C52" s="190" t="s">
        <v>311</v>
      </c>
      <c r="D52" s="190" t="s">
        <v>310</v>
      </c>
      <c r="E52" s="190"/>
      <c r="F52" s="190" t="s">
        <v>423</v>
      </c>
      <c r="G52" s="192" t="s">
        <v>424</v>
      </c>
      <c r="H52" s="192" t="s">
        <v>296</v>
      </c>
      <c r="I52" s="192" t="s">
        <v>391</v>
      </c>
      <c r="J52" s="192" t="s">
        <v>350</v>
      </c>
      <c r="K52" s="190" t="s">
        <v>368</v>
      </c>
      <c r="L52" s="190" t="s">
        <v>376</v>
      </c>
      <c r="M52" s="192" t="s">
        <v>377</v>
      </c>
      <c r="N52" s="193">
        <v>-1.7000000000000001E-2</v>
      </c>
      <c r="O52" s="193">
        <v>273000</v>
      </c>
      <c r="P52" s="194">
        <v>-4641</v>
      </c>
      <c r="Q52" s="194">
        <v>-464.1</v>
      </c>
      <c r="R52" s="194">
        <v>-5105.1000000000004</v>
      </c>
      <c r="S52" s="192"/>
      <c r="T52" s="192" t="s">
        <v>310</v>
      </c>
      <c r="U52" s="190">
        <v>0</v>
      </c>
      <c r="V52" s="190"/>
      <c r="W52" s="195" t="s">
        <v>369</v>
      </c>
      <c r="X52" s="196" t="str">
        <f>+IFERROR(VLOOKUP($F52,'[2]Chuyển đổi mã'!$A$1:$C$91,3,0),$F52)&amp;AC52</f>
        <v>NPP00000084331014</v>
      </c>
      <c r="Y52" s="196" t="str">
        <f>IFERROR(VLOOKUP($F52,'[2]Chuyển đổi mã'!$A$1:$C$184,3,0),F52)</f>
        <v>NPP00000084</v>
      </c>
      <c r="Z52" s="196" t="str">
        <f>VLOOKUP($G52,'[2]Thông tin NPP'!$B:$D,3,0)</f>
        <v>THANH LIÊM</v>
      </c>
      <c r="AA52" s="196" t="str">
        <f t="shared" si="10"/>
        <v>White 58g</v>
      </c>
      <c r="AB52" s="196" t="str">
        <f>IFERROR(VLOOKUP(DAY(B52),'[2]Chuyển đổi mã'!$F$1:$G$32,2,0),0)</f>
        <v>W3</v>
      </c>
      <c r="AC52" s="196" t="str">
        <f t="shared" si="11"/>
        <v>331014</v>
      </c>
      <c r="AD52" s="196" t="str">
        <f t="shared" si="12"/>
        <v>NPP</v>
      </c>
      <c r="AE52" s="196" t="str">
        <f t="shared" si="13"/>
        <v>NPP331014</v>
      </c>
      <c r="AF52" s="196">
        <f t="shared" si="14"/>
        <v>0</v>
      </c>
    </row>
    <row r="53" spans="1:32" ht="12.95" hidden="1" customHeight="1">
      <c r="A53" s="190">
        <v>10588</v>
      </c>
      <c r="B53" s="191">
        <v>43573</v>
      </c>
      <c r="C53" s="190" t="s">
        <v>311</v>
      </c>
      <c r="D53" s="190" t="s">
        <v>310</v>
      </c>
      <c r="E53" s="190"/>
      <c r="F53" s="190" t="s">
        <v>423</v>
      </c>
      <c r="G53" s="192" t="s">
        <v>424</v>
      </c>
      <c r="H53" s="192" t="s">
        <v>296</v>
      </c>
      <c r="I53" s="192" t="s">
        <v>391</v>
      </c>
      <c r="J53" s="192" t="s">
        <v>350</v>
      </c>
      <c r="K53" s="190" t="s">
        <v>368</v>
      </c>
      <c r="L53" s="190" t="s">
        <v>378</v>
      </c>
      <c r="M53" s="192" t="s">
        <v>379</v>
      </c>
      <c r="N53" s="193">
        <v>-53.167000000000002</v>
      </c>
      <c r="O53" s="193">
        <v>185640</v>
      </c>
      <c r="P53" s="194">
        <v>-9869921.8800000008</v>
      </c>
      <c r="Q53" s="194">
        <v>-986992.18799999997</v>
      </c>
      <c r="R53" s="194">
        <v>-10856914.068</v>
      </c>
      <c r="S53" s="192"/>
      <c r="T53" s="192" t="s">
        <v>310</v>
      </c>
      <c r="U53" s="190">
        <v>0</v>
      </c>
      <c r="V53" s="190"/>
      <c r="W53" s="195" t="s">
        <v>369</v>
      </c>
      <c r="X53" s="196" t="str">
        <f>+IFERROR(VLOOKUP($F53,'[2]Chuyển đổi mã'!$A$1:$C$91,3,0),$F53)&amp;AC53</f>
        <v>NPP00000084321238</v>
      </c>
      <c r="Y53" s="196" t="str">
        <f>IFERROR(VLOOKUP($F53,'[2]Chuyển đổi mã'!$A$1:$C$184,3,0),F53)</f>
        <v>NPP00000084</v>
      </c>
      <c r="Z53" s="196" t="str">
        <f>VLOOKUP($G53,'[2]Thông tin NPP'!$B:$D,3,0)</f>
        <v>THANH LIÊM</v>
      </c>
      <c r="AA53" s="196" t="str">
        <f t="shared" si="10"/>
        <v>Richoco Wf</v>
      </c>
      <c r="AB53" s="196" t="str">
        <f>IFERROR(VLOOKUP(DAY(B53),'[2]Chuyển đổi mã'!$F$1:$G$32,2,0),0)</f>
        <v>W3</v>
      </c>
      <c r="AC53" s="196" t="str">
        <f t="shared" si="11"/>
        <v>321238</v>
      </c>
      <c r="AD53" s="196" t="str">
        <f t="shared" si="12"/>
        <v>NPP</v>
      </c>
      <c r="AE53" s="196" t="str">
        <f t="shared" si="13"/>
        <v>NPP321238</v>
      </c>
      <c r="AF53" s="196">
        <f t="shared" si="14"/>
        <v>0</v>
      </c>
    </row>
    <row r="54" spans="1:32" ht="12.95" hidden="1" customHeight="1">
      <c r="A54" s="190">
        <v>10588</v>
      </c>
      <c r="B54" s="191">
        <v>43573</v>
      </c>
      <c r="C54" s="190" t="s">
        <v>311</v>
      </c>
      <c r="D54" s="190" t="s">
        <v>310</v>
      </c>
      <c r="E54" s="190"/>
      <c r="F54" s="190" t="s">
        <v>423</v>
      </c>
      <c r="G54" s="192" t="s">
        <v>424</v>
      </c>
      <c r="H54" s="192" t="s">
        <v>296</v>
      </c>
      <c r="I54" s="192" t="s">
        <v>391</v>
      </c>
      <c r="J54" s="192" t="s">
        <v>350</v>
      </c>
      <c r="K54" s="190" t="s">
        <v>368</v>
      </c>
      <c r="L54" s="190" t="s">
        <v>370</v>
      </c>
      <c r="M54" s="192" t="s">
        <v>371</v>
      </c>
      <c r="N54" s="193">
        <v>-21.167000000000002</v>
      </c>
      <c r="O54" s="193">
        <v>185640</v>
      </c>
      <c r="P54" s="194">
        <v>-3929441.88</v>
      </c>
      <c r="Q54" s="194">
        <v>-392944.18800000002</v>
      </c>
      <c r="R54" s="194">
        <v>-4322386.068</v>
      </c>
      <c r="S54" s="192"/>
      <c r="T54" s="192" t="s">
        <v>310</v>
      </c>
      <c r="U54" s="190">
        <v>0</v>
      </c>
      <c r="V54" s="190"/>
      <c r="W54" s="195" t="s">
        <v>369</v>
      </c>
      <c r="X54" s="196" t="str">
        <f>+IFERROR(VLOOKUP($F54,'[2]Chuyển đổi mã'!$A$1:$C$91,3,0),$F54)&amp;AC54</f>
        <v>NPP00000084321268</v>
      </c>
      <c r="Y54" s="196" t="str">
        <f>IFERROR(VLOOKUP($F54,'[2]Chuyển đổi mã'!$A$1:$C$184,3,0),F54)</f>
        <v>NPP00000084</v>
      </c>
      <c r="Z54" s="196" t="str">
        <f>VLOOKUP($G54,'[2]Thông tin NPP'!$B:$D,3,0)</f>
        <v>THANH LIÊM</v>
      </c>
      <c r="AA54" s="196" t="str">
        <f t="shared" si="10"/>
        <v>Richoco Wf</v>
      </c>
      <c r="AB54" s="196" t="str">
        <f>IFERROR(VLOOKUP(DAY(B54),'[2]Chuyển đổi mã'!$F$1:$G$32,2,0),0)</f>
        <v>W3</v>
      </c>
      <c r="AC54" s="196" t="str">
        <f t="shared" si="11"/>
        <v>321268</v>
      </c>
      <c r="AD54" s="196" t="str">
        <f t="shared" si="12"/>
        <v>NPP</v>
      </c>
      <c r="AE54" s="196" t="str">
        <f t="shared" si="13"/>
        <v>NPP321268</v>
      </c>
      <c r="AF54" s="196">
        <f t="shared" si="14"/>
        <v>0</v>
      </c>
    </row>
    <row r="55" spans="1:32" ht="12.95" hidden="1" customHeight="1">
      <c r="A55" s="190">
        <v>10588</v>
      </c>
      <c r="B55" s="191">
        <v>43573</v>
      </c>
      <c r="C55" s="190" t="s">
        <v>311</v>
      </c>
      <c r="D55" s="190" t="s">
        <v>310</v>
      </c>
      <c r="E55" s="190"/>
      <c r="F55" s="190" t="s">
        <v>423</v>
      </c>
      <c r="G55" s="192" t="s">
        <v>424</v>
      </c>
      <c r="H55" s="192" t="s">
        <v>296</v>
      </c>
      <c r="I55" s="192" t="s">
        <v>391</v>
      </c>
      <c r="J55" s="192" t="s">
        <v>350</v>
      </c>
      <c r="K55" s="190" t="s">
        <v>368</v>
      </c>
      <c r="L55" s="190" t="s">
        <v>361</v>
      </c>
      <c r="M55" s="192" t="s">
        <v>362</v>
      </c>
      <c r="N55" s="193">
        <v>-2.4329999999999998</v>
      </c>
      <c r="O55" s="193">
        <v>273000</v>
      </c>
      <c r="P55" s="194">
        <v>-664209</v>
      </c>
      <c r="Q55" s="194">
        <v>-66420.899999999994</v>
      </c>
      <c r="R55" s="194">
        <v>-730629.9</v>
      </c>
      <c r="S55" s="192"/>
      <c r="T55" s="192" t="s">
        <v>310</v>
      </c>
      <c r="U55" s="190">
        <v>0</v>
      </c>
      <c r="V55" s="190"/>
      <c r="W55" s="195" t="s">
        <v>369</v>
      </c>
      <c r="X55" s="196" t="str">
        <f>+IFERROR(VLOOKUP($F55,'[2]Chuyển đổi mã'!$A$1:$C$91,3,0),$F55)&amp;AC55</f>
        <v>NPP00000084331017</v>
      </c>
      <c r="Y55" s="196" t="str">
        <f>IFERROR(VLOOKUP($F55,'[2]Chuyển đổi mã'!$A$1:$C$184,3,0),F55)</f>
        <v>NPP00000084</v>
      </c>
      <c r="Z55" s="196" t="str">
        <f>VLOOKUP($G55,'[2]Thông tin NPP'!$B:$D,3,0)</f>
        <v>THANH LIÊM</v>
      </c>
      <c r="AA55" s="196" t="str">
        <f t="shared" si="10"/>
        <v>Richoco Wf</v>
      </c>
      <c r="AB55" s="196" t="str">
        <f>IFERROR(VLOOKUP(DAY(B55),'[2]Chuyển đổi mã'!$F$1:$G$32,2,0),0)</f>
        <v>W3</v>
      </c>
      <c r="AC55" s="196" t="str">
        <f t="shared" si="11"/>
        <v>331017</v>
      </c>
      <c r="AD55" s="196" t="str">
        <f t="shared" si="12"/>
        <v>NPP</v>
      </c>
      <c r="AE55" s="196" t="str">
        <f t="shared" si="13"/>
        <v>NPP331017</v>
      </c>
      <c r="AF55" s="196">
        <f t="shared" si="14"/>
        <v>0</v>
      </c>
    </row>
    <row r="56" spans="1:32" ht="12.95" hidden="1" customHeight="1">
      <c r="A56" s="190">
        <v>10588</v>
      </c>
      <c r="B56" s="191">
        <v>43573</v>
      </c>
      <c r="C56" s="190" t="s">
        <v>311</v>
      </c>
      <c r="D56" s="190" t="s">
        <v>310</v>
      </c>
      <c r="E56" s="190"/>
      <c r="F56" s="190" t="s">
        <v>423</v>
      </c>
      <c r="G56" s="192" t="s">
        <v>424</v>
      </c>
      <c r="H56" s="192" t="s">
        <v>296</v>
      </c>
      <c r="I56" s="192" t="s">
        <v>391</v>
      </c>
      <c r="J56" s="192" t="s">
        <v>350</v>
      </c>
      <c r="K56" s="190" t="s">
        <v>368</v>
      </c>
      <c r="L56" s="190" t="s">
        <v>427</v>
      </c>
      <c r="M56" s="192" t="s">
        <v>428</v>
      </c>
      <c r="N56" s="193">
        <v>-3.1</v>
      </c>
      <c r="O56" s="193">
        <v>273000</v>
      </c>
      <c r="P56" s="194">
        <v>-846300</v>
      </c>
      <c r="Q56" s="194">
        <v>-84630</v>
      </c>
      <c r="R56" s="194">
        <v>-930930</v>
      </c>
      <c r="S56" s="192"/>
      <c r="T56" s="192" t="s">
        <v>310</v>
      </c>
      <c r="U56" s="190">
        <v>0</v>
      </c>
      <c r="V56" s="190"/>
      <c r="W56" s="195" t="s">
        <v>369</v>
      </c>
      <c r="X56" s="196" t="str">
        <f>+IFERROR(VLOOKUP($F56,'[2]Chuyển đổi mã'!$A$1:$C$91,3,0),$F56)&amp;AC56</f>
        <v>NPP00000084331050</v>
      </c>
      <c r="Y56" s="196" t="str">
        <f>IFERROR(VLOOKUP($F56,'[2]Chuyển đổi mã'!$A$1:$C$184,3,0),F56)</f>
        <v>NPP00000084</v>
      </c>
      <c r="Z56" s="196" t="str">
        <f>VLOOKUP($G56,'[2]Thông tin NPP'!$B:$D,3,0)</f>
        <v>THANH LIÊM</v>
      </c>
      <c r="AA56" s="196" t="str">
        <f t="shared" si="10"/>
        <v>Richoco Wf</v>
      </c>
      <c r="AB56" s="196" t="str">
        <f>IFERROR(VLOOKUP(DAY(B56),'[2]Chuyển đổi mã'!$F$1:$G$32,2,0),0)</f>
        <v>W3</v>
      </c>
      <c r="AC56" s="196" t="str">
        <f t="shared" si="11"/>
        <v>331050</v>
      </c>
      <c r="AD56" s="196" t="str">
        <f t="shared" si="12"/>
        <v>NPP</v>
      </c>
      <c r="AE56" s="196" t="str">
        <f t="shared" si="13"/>
        <v>NPP331050</v>
      </c>
      <c r="AF56" s="196">
        <f t="shared" si="14"/>
        <v>0</v>
      </c>
    </row>
    <row r="57" spans="1:32" ht="12.95" hidden="1" customHeight="1">
      <c r="A57" s="190">
        <v>10588</v>
      </c>
      <c r="B57" s="191">
        <v>43573</v>
      </c>
      <c r="C57" s="190" t="s">
        <v>311</v>
      </c>
      <c r="D57" s="190" t="s">
        <v>310</v>
      </c>
      <c r="E57" s="190"/>
      <c r="F57" s="190" t="s">
        <v>423</v>
      </c>
      <c r="G57" s="192" t="s">
        <v>424</v>
      </c>
      <c r="H57" s="192" t="s">
        <v>296</v>
      </c>
      <c r="I57" s="192" t="s">
        <v>391</v>
      </c>
      <c r="J57" s="192" t="s">
        <v>350</v>
      </c>
      <c r="K57" s="190" t="s">
        <v>368</v>
      </c>
      <c r="L57" s="190" t="s">
        <v>402</v>
      </c>
      <c r="M57" s="192" t="s">
        <v>403</v>
      </c>
      <c r="N57" s="193">
        <v>-1.5</v>
      </c>
      <c r="O57" s="193">
        <v>297322</v>
      </c>
      <c r="P57" s="194">
        <v>-445983</v>
      </c>
      <c r="Q57" s="194">
        <v>-44598.3</v>
      </c>
      <c r="R57" s="194">
        <v>-490581.3</v>
      </c>
      <c r="S57" s="192"/>
      <c r="T57" s="192" t="s">
        <v>310</v>
      </c>
      <c r="U57" s="190">
        <v>0</v>
      </c>
      <c r="V57" s="190"/>
      <c r="W57" s="195" t="s">
        <v>369</v>
      </c>
      <c r="X57" s="196" t="str">
        <f>+IFERROR(VLOOKUP($F57,'[2]Chuyển đổi mã'!$A$1:$C$91,3,0),$F57)&amp;AC57</f>
        <v>NPP00000084321258</v>
      </c>
      <c r="Y57" s="196" t="str">
        <f>IFERROR(VLOOKUP($F57,'[2]Chuyển đổi mã'!$A$1:$C$184,3,0),F57)</f>
        <v>NPP00000084</v>
      </c>
      <c r="Z57" s="196" t="str">
        <f>VLOOKUP($G57,'[2]Thông tin NPP'!$B:$D,3,0)</f>
        <v>THANH LIÊM</v>
      </c>
      <c r="AA57" s="196" t="str">
        <f t="shared" si="10"/>
        <v>Richoco Ti</v>
      </c>
      <c r="AB57" s="196" t="str">
        <f>IFERROR(VLOOKUP(DAY(B57),'[2]Chuyển đổi mã'!$F$1:$G$32,2,0),0)</f>
        <v>W3</v>
      </c>
      <c r="AC57" s="196" t="str">
        <f t="shared" si="11"/>
        <v>321258</v>
      </c>
      <c r="AD57" s="196" t="str">
        <f t="shared" si="12"/>
        <v>NPP</v>
      </c>
      <c r="AE57" s="196" t="str">
        <f t="shared" si="13"/>
        <v>NPP321258</v>
      </c>
      <c r="AF57" s="196">
        <f t="shared" si="14"/>
        <v>0</v>
      </c>
    </row>
    <row r="58" spans="1:32" ht="12.95" hidden="1" customHeight="1">
      <c r="A58" s="190">
        <v>10588</v>
      </c>
      <c r="B58" s="191">
        <v>43573</v>
      </c>
      <c r="C58" s="190" t="s">
        <v>311</v>
      </c>
      <c r="D58" s="190" t="s">
        <v>310</v>
      </c>
      <c r="E58" s="190"/>
      <c r="F58" s="190" t="s">
        <v>423</v>
      </c>
      <c r="G58" s="192" t="s">
        <v>424</v>
      </c>
      <c r="H58" s="192" t="s">
        <v>296</v>
      </c>
      <c r="I58" s="192" t="s">
        <v>391</v>
      </c>
      <c r="J58" s="192" t="s">
        <v>350</v>
      </c>
      <c r="K58" s="190" t="s">
        <v>368</v>
      </c>
      <c r="L58" s="190" t="s">
        <v>412</v>
      </c>
      <c r="M58" s="192" t="s">
        <v>413</v>
      </c>
      <c r="N58" s="193">
        <v>-8</v>
      </c>
      <c r="O58" s="193">
        <v>91331</v>
      </c>
      <c r="P58" s="194">
        <v>-730648</v>
      </c>
      <c r="Q58" s="194">
        <v>-73064.800000000003</v>
      </c>
      <c r="R58" s="194">
        <v>-803712.8</v>
      </c>
      <c r="S58" s="192"/>
      <c r="T58" s="192" t="s">
        <v>310</v>
      </c>
      <c r="U58" s="190">
        <v>0</v>
      </c>
      <c r="V58" s="190"/>
      <c r="W58" s="195" t="s">
        <v>369</v>
      </c>
      <c r="X58" s="196" t="str">
        <f>+IFERROR(VLOOKUP($F58,'[2]Chuyển đổi mã'!$A$1:$C$91,3,0),$F58)&amp;AC58</f>
        <v>NPP00000084322206</v>
      </c>
      <c r="Y58" s="196" t="str">
        <f>IFERROR(VLOOKUP($F58,'[2]Chuyển đổi mã'!$A$1:$C$184,3,0),F58)</f>
        <v>NPP00000084</v>
      </c>
      <c r="Z58" s="196" t="str">
        <f>VLOOKUP($G58,'[2]Thông tin NPP'!$B:$D,3,0)</f>
        <v>THANH LIÊM</v>
      </c>
      <c r="AA58" s="196" t="str">
        <f t="shared" si="10"/>
        <v>Richoco Ro</v>
      </c>
      <c r="AB58" s="196" t="str">
        <f>IFERROR(VLOOKUP(DAY(B58),'[2]Chuyển đổi mã'!$F$1:$G$32,2,0),0)</f>
        <v>W3</v>
      </c>
      <c r="AC58" s="196" t="str">
        <f t="shared" si="11"/>
        <v>322206</v>
      </c>
      <c r="AD58" s="196" t="str">
        <f t="shared" si="12"/>
        <v>NPP</v>
      </c>
      <c r="AE58" s="196" t="str">
        <f t="shared" si="13"/>
        <v>NPP322206</v>
      </c>
      <c r="AF58" s="196">
        <f t="shared" si="14"/>
        <v>0</v>
      </c>
    </row>
    <row r="59" spans="1:32" ht="12.95" hidden="1" customHeight="1">
      <c r="A59" s="190">
        <v>10588</v>
      </c>
      <c r="B59" s="191">
        <v>43573</v>
      </c>
      <c r="C59" s="190" t="s">
        <v>311</v>
      </c>
      <c r="D59" s="190" t="s">
        <v>310</v>
      </c>
      <c r="E59" s="190"/>
      <c r="F59" s="190" t="s">
        <v>423</v>
      </c>
      <c r="G59" s="192" t="s">
        <v>424</v>
      </c>
      <c r="H59" s="192" t="s">
        <v>296</v>
      </c>
      <c r="I59" s="192" t="s">
        <v>391</v>
      </c>
      <c r="J59" s="192" t="s">
        <v>350</v>
      </c>
      <c r="K59" s="190" t="s">
        <v>368</v>
      </c>
      <c r="L59" s="190" t="s">
        <v>429</v>
      </c>
      <c r="M59" s="192" t="s">
        <v>430</v>
      </c>
      <c r="N59" s="193">
        <v>-0.183</v>
      </c>
      <c r="O59" s="193">
        <v>273000</v>
      </c>
      <c r="P59" s="194">
        <v>-49959</v>
      </c>
      <c r="Q59" s="194">
        <v>-4995.8999999999996</v>
      </c>
      <c r="R59" s="194">
        <v>-54954.9</v>
      </c>
      <c r="S59" s="192"/>
      <c r="T59" s="192" t="s">
        <v>310</v>
      </c>
      <c r="U59" s="190">
        <v>0</v>
      </c>
      <c r="V59" s="190"/>
      <c r="W59" s="195" t="s">
        <v>369</v>
      </c>
      <c r="X59" s="196" t="str">
        <f>+IFERROR(VLOOKUP($F59,'[2]Chuyển đổi mã'!$A$1:$C$91,3,0),$F59)&amp;AC59</f>
        <v>NPP00000084322207</v>
      </c>
      <c r="Y59" s="196" t="str">
        <f>IFERROR(VLOOKUP($F59,'[2]Chuyển đổi mã'!$A$1:$C$184,3,0),F59)</f>
        <v>NPP00000084</v>
      </c>
      <c r="Z59" s="196" t="str">
        <f>VLOOKUP($G59,'[2]Thông tin NPP'!$B:$D,3,0)</f>
        <v>THANH LIÊM</v>
      </c>
      <c r="AA59" s="196" t="str">
        <f t="shared" si="10"/>
        <v>Richoco Ro</v>
      </c>
      <c r="AB59" s="196" t="str">
        <f>IFERROR(VLOOKUP(DAY(B59),'[2]Chuyển đổi mã'!$F$1:$G$32,2,0),0)</f>
        <v>W3</v>
      </c>
      <c r="AC59" s="196" t="str">
        <f t="shared" si="11"/>
        <v>322207</v>
      </c>
      <c r="AD59" s="196" t="str">
        <f t="shared" si="12"/>
        <v>NPP</v>
      </c>
      <c r="AE59" s="196" t="str">
        <f t="shared" si="13"/>
        <v>NPP322207</v>
      </c>
      <c r="AF59" s="196">
        <f t="shared" si="14"/>
        <v>0</v>
      </c>
    </row>
    <row r="60" spans="1:32" ht="12.95" hidden="1" customHeight="1">
      <c r="A60" s="190">
        <v>10588</v>
      </c>
      <c r="B60" s="191">
        <v>43573</v>
      </c>
      <c r="C60" s="190" t="s">
        <v>311</v>
      </c>
      <c r="D60" s="190" t="s">
        <v>310</v>
      </c>
      <c r="E60" s="190"/>
      <c r="F60" s="190" t="s">
        <v>423</v>
      </c>
      <c r="G60" s="192" t="s">
        <v>424</v>
      </c>
      <c r="H60" s="192" t="s">
        <v>296</v>
      </c>
      <c r="I60" s="192" t="s">
        <v>391</v>
      </c>
      <c r="J60" s="192" t="s">
        <v>350</v>
      </c>
      <c r="K60" s="190" t="s">
        <v>431</v>
      </c>
      <c r="L60" s="190" t="s">
        <v>363</v>
      </c>
      <c r="M60" s="192" t="s">
        <v>364</v>
      </c>
      <c r="N60" s="193">
        <v>-71.125</v>
      </c>
      <c r="O60" s="193">
        <v>291200</v>
      </c>
      <c r="P60" s="194">
        <v>-20711600</v>
      </c>
      <c r="Q60" s="194">
        <v>-2071160</v>
      </c>
      <c r="R60" s="194">
        <v>-22782760</v>
      </c>
      <c r="S60" s="192"/>
      <c r="T60" s="192" t="s">
        <v>310</v>
      </c>
      <c r="U60" s="190">
        <v>0</v>
      </c>
      <c r="V60" s="190"/>
      <c r="W60" s="195" t="s">
        <v>369</v>
      </c>
      <c r="X60" s="196" t="str">
        <f>+IFERROR(VLOOKUP($F60,'[2]Chuyển đổi mã'!$A$1:$C$91,3,0),$F60)&amp;AC60</f>
        <v>NPP00000084323708</v>
      </c>
      <c r="Y60" s="196" t="str">
        <f>IFERROR(VLOOKUP($F60,'[2]Chuyển đổi mã'!$A$1:$C$184,3,0),F60)</f>
        <v>NPP00000084</v>
      </c>
      <c r="Z60" s="196" t="str">
        <f>VLOOKUP($G60,'[2]Thông tin NPP'!$B:$D,3,0)</f>
        <v>THANH LIÊM</v>
      </c>
      <c r="AA60" s="196" t="str">
        <f t="shared" si="10"/>
        <v>Nextar Bro</v>
      </c>
      <c r="AB60" s="196" t="str">
        <f>IFERROR(VLOOKUP(DAY(B60),'[2]Chuyển đổi mã'!$F$1:$G$32,2,0),0)</f>
        <v>W3</v>
      </c>
      <c r="AC60" s="196" t="str">
        <f t="shared" si="11"/>
        <v>323708</v>
      </c>
      <c r="AD60" s="196" t="str">
        <f t="shared" si="12"/>
        <v>NPP</v>
      </c>
      <c r="AE60" s="196" t="str">
        <f t="shared" si="13"/>
        <v>NPP323708</v>
      </c>
      <c r="AF60" s="196">
        <f t="shared" si="14"/>
        <v>0</v>
      </c>
    </row>
    <row r="61" spans="1:32" ht="12.95" hidden="1" customHeight="1">
      <c r="A61" s="190">
        <v>10588</v>
      </c>
      <c r="B61" s="191">
        <v>43573</v>
      </c>
      <c r="C61" s="190" t="s">
        <v>311</v>
      </c>
      <c r="D61" s="190" t="s">
        <v>310</v>
      </c>
      <c r="E61" s="190"/>
      <c r="F61" s="190" t="s">
        <v>423</v>
      </c>
      <c r="G61" s="192" t="s">
        <v>424</v>
      </c>
      <c r="H61" s="192" t="s">
        <v>296</v>
      </c>
      <c r="I61" s="192" t="s">
        <v>391</v>
      </c>
      <c r="J61" s="192" t="s">
        <v>350</v>
      </c>
      <c r="K61" s="190" t="s">
        <v>431</v>
      </c>
      <c r="L61" s="190" t="s">
        <v>365</v>
      </c>
      <c r="M61" s="192" t="s">
        <v>366</v>
      </c>
      <c r="N61" s="193">
        <v>-6.8330000000000002</v>
      </c>
      <c r="O61" s="193">
        <v>273000</v>
      </c>
      <c r="P61" s="194">
        <v>-1865409</v>
      </c>
      <c r="Q61" s="194">
        <v>-186540.9</v>
      </c>
      <c r="R61" s="194">
        <v>-2051949.9</v>
      </c>
      <c r="S61" s="192"/>
      <c r="T61" s="192" t="s">
        <v>310</v>
      </c>
      <c r="U61" s="190">
        <v>0</v>
      </c>
      <c r="V61" s="190"/>
      <c r="W61" s="195" t="s">
        <v>369</v>
      </c>
      <c r="X61" s="196" t="str">
        <f>+IFERROR(VLOOKUP($F61,'[2]Chuyển đổi mã'!$A$1:$C$91,3,0),$F61)&amp;AC61</f>
        <v>NPP00000084323709</v>
      </c>
      <c r="Y61" s="196" t="str">
        <f>IFERROR(VLOOKUP($F61,'[2]Chuyển đổi mã'!$A$1:$C$184,3,0),F61)</f>
        <v>NPP00000084</v>
      </c>
      <c r="Z61" s="196" t="str">
        <f>VLOOKUP($G61,'[2]Thông tin NPP'!$B:$D,3,0)</f>
        <v>THANH LIÊM</v>
      </c>
      <c r="AA61" s="196" t="str">
        <f t="shared" si="10"/>
        <v>Nextar Bro</v>
      </c>
      <c r="AB61" s="196" t="str">
        <f>IFERROR(VLOOKUP(DAY(B61),'[2]Chuyển đổi mã'!$F$1:$G$32,2,0),0)</f>
        <v>W3</v>
      </c>
      <c r="AC61" s="196" t="str">
        <f t="shared" si="11"/>
        <v>323709</v>
      </c>
      <c r="AD61" s="196" t="str">
        <f t="shared" si="12"/>
        <v>NPP</v>
      </c>
      <c r="AE61" s="196" t="str">
        <f t="shared" si="13"/>
        <v>NPP323709</v>
      </c>
      <c r="AF61" s="196">
        <f t="shared" si="14"/>
        <v>0</v>
      </c>
    </row>
    <row r="62" spans="1:32" ht="12.95" hidden="1" customHeight="1">
      <c r="A62" s="190">
        <v>10551</v>
      </c>
      <c r="B62" s="191">
        <v>43574</v>
      </c>
      <c r="C62" s="190" t="s">
        <v>311</v>
      </c>
      <c r="D62" s="190"/>
      <c r="E62" s="190"/>
      <c r="F62" s="190" t="s">
        <v>432</v>
      </c>
      <c r="G62" s="192" t="s">
        <v>433</v>
      </c>
      <c r="H62" s="192" t="s">
        <v>296</v>
      </c>
      <c r="I62" s="192" t="s">
        <v>395</v>
      </c>
      <c r="J62" s="192" t="s">
        <v>350</v>
      </c>
      <c r="K62" s="190" t="s">
        <v>434</v>
      </c>
      <c r="L62" s="190" t="s">
        <v>352</v>
      </c>
      <c r="M62" s="192" t="s">
        <v>353</v>
      </c>
      <c r="N62" s="193">
        <v>-7.8330000000000002</v>
      </c>
      <c r="O62" s="193">
        <v>119700</v>
      </c>
      <c r="P62" s="194">
        <v>-937610.1</v>
      </c>
      <c r="Q62" s="194">
        <v>-93761.01</v>
      </c>
      <c r="R62" s="194">
        <v>-1031371.11</v>
      </c>
      <c r="S62" s="192"/>
      <c r="T62" s="192" t="s">
        <v>310</v>
      </c>
      <c r="U62" s="190">
        <v>0</v>
      </c>
      <c r="V62" s="190"/>
      <c r="W62" s="195" t="s">
        <v>369</v>
      </c>
      <c r="X62" s="196" t="str">
        <f>+IFERROR(VLOOKUP($F62,'[2]Chuyển đổi mã'!$A$1:$C$91,3,0),$F62)&amp;AC62</f>
        <v>Metro North320463</v>
      </c>
      <c r="Y62" s="196" t="str">
        <f>IFERROR(VLOOKUP($F62,'[2]Chuyển đổi mã'!$A$1:$C$184,3,0),F62)</f>
        <v>Metro North</v>
      </c>
      <c r="Z62" s="196" t="str">
        <f>VLOOKUP($G62,'[2]Thông tin NPP'!$B:$D,3,0)</f>
        <v>Metro North</v>
      </c>
      <c r="AA62" s="196" t="str">
        <f t="shared" si="10"/>
        <v>Na 8,5g</v>
      </c>
      <c r="AB62" s="196" t="str">
        <f>IFERROR(VLOOKUP(DAY(B62),'[2]Chuyển đổi mã'!$F$1:$G$32,2,0),0)</f>
        <v>W3</v>
      </c>
      <c r="AC62" s="196" t="str">
        <f t="shared" si="11"/>
        <v>320463</v>
      </c>
      <c r="AD62" s="196" t="str">
        <f t="shared" si="12"/>
        <v>NPP</v>
      </c>
      <c r="AE62" s="196" t="str">
        <f t="shared" si="13"/>
        <v>NPP320463</v>
      </c>
      <c r="AF62" s="196">
        <f t="shared" si="14"/>
        <v>0</v>
      </c>
    </row>
    <row r="63" spans="1:32" ht="12.95" hidden="1" customHeight="1">
      <c r="A63" s="190">
        <v>10551</v>
      </c>
      <c r="B63" s="191">
        <v>43574</v>
      </c>
      <c r="C63" s="190" t="s">
        <v>311</v>
      </c>
      <c r="D63" s="190"/>
      <c r="E63" s="190"/>
      <c r="F63" s="190" t="s">
        <v>432</v>
      </c>
      <c r="G63" s="192" t="s">
        <v>433</v>
      </c>
      <c r="H63" s="192" t="s">
        <v>296</v>
      </c>
      <c r="I63" s="192" t="s">
        <v>395</v>
      </c>
      <c r="J63" s="192" t="s">
        <v>350</v>
      </c>
      <c r="K63" s="190" t="s">
        <v>434</v>
      </c>
      <c r="L63" s="190" t="s">
        <v>359</v>
      </c>
      <c r="M63" s="192" t="s">
        <v>360</v>
      </c>
      <c r="N63" s="193">
        <v>-1.2829999999999999</v>
      </c>
      <c r="O63" s="193">
        <v>313636</v>
      </c>
      <c r="P63" s="194">
        <v>-402394.98800000001</v>
      </c>
      <c r="Q63" s="194">
        <v>-40239.498800000001</v>
      </c>
      <c r="R63" s="194">
        <v>-442634.48680000001</v>
      </c>
      <c r="S63" s="192"/>
      <c r="T63" s="192" t="s">
        <v>310</v>
      </c>
      <c r="U63" s="190">
        <v>0</v>
      </c>
      <c r="V63" s="190"/>
      <c r="W63" s="195" t="s">
        <v>369</v>
      </c>
      <c r="X63" s="196" t="str">
        <f>+IFERROR(VLOOKUP($F63,'[2]Chuyển đổi mã'!$A$1:$C$91,3,0),$F63)&amp;AC63</f>
        <v>Metro North320445</v>
      </c>
      <c r="Y63" s="196" t="str">
        <f>IFERROR(VLOOKUP($F63,'[2]Chuyển đổi mã'!$A$1:$C$184,3,0),F63)</f>
        <v>Metro North</v>
      </c>
      <c r="Z63" s="196" t="str">
        <f>VLOOKUP($G63,'[2]Thông tin NPP'!$B:$D,3,0)</f>
        <v>Metro North</v>
      </c>
      <c r="AA63" s="196" t="str">
        <f t="shared" si="10"/>
        <v>Na 58g</v>
      </c>
      <c r="AB63" s="196" t="str">
        <f>IFERROR(VLOOKUP(DAY(B63),'[2]Chuyển đổi mã'!$F$1:$G$32,2,0),0)</f>
        <v>W3</v>
      </c>
      <c r="AC63" s="196" t="str">
        <f t="shared" si="11"/>
        <v>320445</v>
      </c>
      <c r="AD63" s="196" t="str">
        <f t="shared" si="12"/>
        <v>NPP</v>
      </c>
      <c r="AE63" s="196" t="str">
        <f t="shared" si="13"/>
        <v>NPP320445</v>
      </c>
      <c r="AF63" s="196">
        <f t="shared" si="14"/>
        <v>0</v>
      </c>
    </row>
    <row r="64" spans="1:32" ht="12.95" hidden="1" customHeight="1">
      <c r="A64" s="190">
        <v>10552</v>
      </c>
      <c r="B64" s="191">
        <v>43574</v>
      </c>
      <c r="C64" s="190" t="s">
        <v>311</v>
      </c>
      <c r="D64" s="190"/>
      <c r="E64" s="190"/>
      <c r="F64" s="190" t="s">
        <v>432</v>
      </c>
      <c r="G64" s="192" t="s">
        <v>433</v>
      </c>
      <c r="H64" s="192" t="s">
        <v>296</v>
      </c>
      <c r="I64" s="192" t="s">
        <v>395</v>
      </c>
      <c r="J64" s="192" t="s">
        <v>350</v>
      </c>
      <c r="K64" s="190" t="s">
        <v>434</v>
      </c>
      <c r="L64" s="190" t="s">
        <v>352</v>
      </c>
      <c r="M64" s="192" t="s">
        <v>353</v>
      </c>
      <c r="N64" s="193">
        <v>-5</v>
      </c>
      <c r="O64" s="193">
        <v>119700</v>
      </c>
      <c r="P64" s="194">
        <v>-598500</v>
      </c>
      <c r="Q64" s="194">
        <v>-59850</v>
      </c>
      <c r="R64" s="194">
        <v>-658350</v>
      </c>
      <c r="S64" s="192"/>
      <c r="T64" s="192" t="s">
        <v>310</v>
      </c>
      <c r="U64" s="190">
        <v>0</v>
      </c>
      <c r="V64" s="190"/>
      <c r="W64" s="195" t="s">
        <v>369</v>
      </c>
      <c r="X64" s="196" t="str">
        <f>+IFERROR(VLOOKUP($F64,'[2]Chuyển đổi mã'!$A$1:$C$91,3,0),$F64)&amp;AC64</f>
        <v>Metro North320463</v>
      </c>
      <c r="Y64" s="196" t="str">
        <f>IFERROR(VLOOKUP($F64,'[2]Chuyển đổi mã'!$A$1:$C$184,3,0),F64)</f>
        <v>Metro North</v>
      </c>
      <c r="Z64" s="196" t="str">
        <f>VLOOKUP($G64,'[2]Thông tin NPP'!$B:$D,3,0)</f>
        <v>Metro North</v>
      </c>
      <c r="AA64" s="196" t="str">
        <f t="shared" si="10"/>
        <v>Na 8,5g</v>
      </c>
      <c r="AB64" s="196" t="str">
        <f>IFERROR(VLOOKUP(DAY(B64),'[2]Chuyển đổi mã'!$F$1:$G$32,2,0),0)</f>
        <v>W3</v>
      </c>
      <c r="AC64" s="196" t="str">
        <f t="shared" si="11"/>
        <v>320463</v>
      </c>
      <c r="AD64" s="196" t="str">
        <f t="shared" si="12"/>
        <v>NPP</v>
      </c>
      <c r="AE64" s="196" t="str">
        <f t="shared" si="13"/>
        <v>NPP320463</v>
      </c>
      <c r="AF64" s="196">
        <f t="shared" si="14"/>
        <v>0</v>
      </c>
    </row>
    <row r="65" spans="1:32" ht="12.95" hidden="1" customHeight="1">
      <c r="A65" s="190">
        <v>10555</v>
      </c>
      <c r="B65" s="191">
        <v>43574</v>
      </c>
      <c r="C65" s="190" t="s">
        <v>311</v>
      </c>
      <c r="D65" s="190"/>
      <c r="E65" s="190"/>
      <c r="F65" s="190" t="s">
        <v>432</v>
      </c>
      <c r="G65" s="192" t="s">
        <v>433</v>
      </c>
      <c r="H65" s="192" t="s">
        <v>296</v>
      </c>
      <c r="I65" s="192" t="s">
        <v>395</v>
      </c>
      <c r="J65" s="192" t="s">
        <v>350</v>
      </c>
      <c r="K65" s="190" t="s">
        <v>434</v>
      </c>
      <c r="L65" s="190" t="s">
        <v>352</v>
      </c>
      <c r="M65" s="192" t="s">
        <v>353</v>
      </c>
      <c r="N65" s="193">
        <v>-13</v>
      </c>
      <c r="O65" s="193">
        <v>119700</v>
      </c>
      <c r="P65" s="194">
        <v>-1556100</v>
      </c>
      <c r="Q65" s="194">
        <v>-155610</v>
      </c>
      <c r="R65" s="194">
        <v>-1711710</v>
      </c>
      <c r="S65" s="192"/>
      <c r="T65" s="192" t="s">
        <v>310</v>
      </c>
      <c r="U65" s="190">
        <v>0</v>
      </c>
      <c r="V65" s="190"/>
      <c r="W65" s="195" t="s">
        <v>369</v>
      </c>
      <c r="X65" s="196" t="str">
        <f>+IFERROR(VLOOKUP($F65,'[2]Chuyển đổi mã'!$A$1:$C$91,3,0),$F65)&amp;AC65</f>
        <v>Metro North320463</v>
      </c>
      <c r="Y65" s="196" t="str">
        <f>IFERROR(VLOOKUP($F65,'[2]Chuyển đổi mã'!$A$1:$C$184,3,0),F65)</f>
        <v>Metro North</v>
      </c>
      <c r="Z65" s="196" t="str">
        <f>VLOOKUP($G65,'[2]Thông tin NPP'!$B:$D,3,0)</f>
        <v>Metro North</v>
      </c>
      <c r="AA65" s="196" t="str">
        <f t="shared" si="10"/>
        <v>Na 8,5g</v>
      </c>
      <c r="AB65" s="196" t="str">
        <f>IFERROR(VLOOKUP(DAY(B65),'[2]Chuyển đổi mã'!$F$1:$G$32,2,0),0)</f>
        <v>W3</v>
      </c>
      <c r="AC65" s="196" t="str">
        <f t="shared" si="11"/>
        <v>320463</v>
      </c>
      <c r="AD65" s="196" t="str">
        <f t="shared" si="12"/>
        <v>NPP</v>
      </c>
      <c r="AE65" s="196" t="str">
        <f t="shared" si="13"/>
        <v>NPP320463</v>
      </c>
      <c r="AF65" s="196">
        <f t="shared" si="14"/>
        <v>0</v>
      </c>
    </row>
    <row r="66" spans="1:32" ht="12.95" hidden="1" customHeight="1">
      <c r="A66" s="190">
        <v>10553</v>
      </c>
      <c r="B66" s="191">
        <v>43574</v>
      </c>
      <c r="C66" s="190" t="s">
        <v>311</v>
      </c>
      <c r="D66" s="190"/>
      <c r="E66" s="190"/>
      <c r="F66" s="190" t="s">
        <v>432</v>
      </c>
      <c r="G66" s="192" t="s">
        <v>433</v>
      </c>
      <c r="H66" s="192" t="s">
        <v>296</v>
      </c>
      <c r="I66" s="192" t="s">
        <v>395</v>
      </c>
      <c r="J66" s="192" t="s">
        <v>350</v>
      </c>
      <c r="K66" s="190" t="s">
        <v>434</v>
      </c>
      <c r="L66" s="190" t="s">
        <v>352</v>
      </c>
      <c r="M66" s="192" t="s">
        <v>353</v>
      </c>
      <c r="N66" s="193">
        <v>-1</v>
      </c>
      <c r="O66" s="193">
        <v>119700</v>
      </c>
      <c r="P66" s="194">
        <v>-119700</v>
      </c>
      <c r="Q66" s="194">
        <v>-11970</v>
      </c>
      <c r="R66" s="194">
        <v>-131670</v>
      </c>
      <c r="S66" s="192"/>
      <c r="T66" s="192" t="s">
        <v>310</v>
      </c>
      <c r="U66" s="190">
        <v>0</v>
      </c>
      <c r="V66" s="190"/>
      <c r="W66" s="195" t="s">
        <v>369</v>
      </c>
      <c r="X66" s="196" t="str">
        <f>+IFERROR(VLOOKUP($F66,'[2]Chuyển đổi mã'!$A$1:$C$91,3,0),$F66)&amp;AC66</f>
        <v>Metro North320463</v>
      </c>
      <c r="Y66" s="196" t="str">
        <f>IFERROR(VLOOKUP($F66,'[2]Chuyển đổi mã'!$A$1:$C$184,3,0),F66)</f>
        <v>Metro North</v>
      </c>
      <c r="Z66" s="196" t="str">
        <f>VLOOKUP($G66,'[2]Thông tin NPP'!$B:$D,3,0)</f>
        <v>Metro North</v>
      </c>
      <c r="AA66" s="196" t="str">
        <f t="shared" si="10"/>
        <v>Na 8,5g</v>
      </c>
      <c r="AB66" s="196" t="str">
        <f>IFERROR(VLOOKUP(DAY(B66),'[2]Chuyển đổi mã'!$F$1:$G$32,2,0),0)</f>
        <v>W3</v>
      </c>
      <c r="AC66" s="196" t="str">
        <f t="shared" si="11"/>
        <v>320463</v>
      </c>
      <c r="AD66" s="196" t="str">
        <f t="shared" si="12"/>
        <v>NPP</v>
      </c>
      <c r="AE66" s="196" t="str">
        <f t="shared" si="13"/>
        <v>NPP320463</v>
      </c>
      <c r="AF66" s="196">
        <f t="shared" si="14"/>
        <v>0</v>
      </c>
    </row>
    <row r="67" spans="1:32" ht="12.95" hidden="1" customHeight="1">
      <c r="A67" s="190">
        <v>10554</v>
      </c>
      <c r="B67" s="191">
        <v>43574</v>
      </c>
      <c r="C67" s="190" t="s">
        <v>311</v>
      </c>
      <c r="D67" s="190"/>
      <c r="E67" s="190"/>
      <c r="F67" s="190" t="s">
        <v>432</v>
      </c>
      <c r="G67" s="192" t="s">
        <v>433</v>
      </c>
      <c r="H67" s="192" t="s">
        <v>296</v>
      </c>
      <c r="I67" s="192" t="s">
        <v>395</v>
      </c>
      <c r="J67" s="192" t="s">
        <v>350</v>
      </c>
      <c r="K67" s="190" t="s">
        <v>434</v>
      </c>
      <c r="L67" s="190" t="s">
        <v>352</v>
      </c>
      <c r="M67" s="192" t="s">
        <v>353</v>
      </c>
      <c r="N67" s="193">
        <v>-15</v>
      </c>
      <c r="O67" s="193">
        <v>119700</v>
      </c>
      <c r="P67" s="194">
        <v>-1795500</v>
      </c>
      <c r="Q67" s="194">
        <v>-179550</v>
      </c>
      <c r="R67" s="194">
        <v>-1975050</v>
      </c>
      <c r="S67" s="192"/>
      <c r="T67" s="192" t="s">
        <v>310</v>
      </c>
      <c r="U67" s="190">
        <v>0</v>
      </c>
      <c r="V67" s="190"/>
      <c r="W67" s="195" t="s">
        <v>369</v>
      </c>
      <c r="X67" s="196" t="str">
        <f>+IFERROR(VLOOKUP($F67,'[2]Chuyển đổi mã'!$A$1:$C$91,3,0),$F67)&amp;AC67</f>
        <v>Metro North320463</v>
      </c>
      <c r="Y67" s="196" t="str">
        <f>IFERROR(VLOOKUP($F67,'[2]Chuyển đổi mã'!$A$1:$C$184,3,0),F67)</f>
        <v>Metro North</v>
      </c>
      <c r="Z67" s="196" t="str">
        <f>VLOOKUP($G67,'[2]Thông tin NPP'!$B:$D,3,0)</f>
        <v>Metro North</v>
      </c>
      <c r="AA67" s="196" t="str">
        <f t="shared" si="10"/>
        <v>Na 8,5g</v>
      </c>
      <c r="AB67" s="196" t="str">
        <f>IFERROR(VLOOKUP(DAY(B67),'[2]Chuyển đổi mã'!$F$1:$G$32,2,0),0)</f>
        <v>W3</v>
      </c>
      <c r="AC67" s="196" t="str">
        <f t="shared" si="11"/>
        <v>320463</v>
      </c>
      <c r="AD67" s="196" t="str">
        <f t="shared" si="12"/>
        <v>NPP</v>
      </c>
      <c r="AE67" s="196" t="str">
        <f t="shared" si="13"/>
        <v>NPP320463</v>
      </c>
      <c r="AF67" s="196">
        <f t="shared" si="14"/>
        <v>0</v>
      </c>
    </row>
    <row r="68" spans="1:32" ht="12.95" customHeight="1">
      <c r="A68" s="190">
        <v>10556</v>
      </c>
      <c r="B68" s="191">
        <v>43574</v>
      </c>
      <c r="C68" s="190" t="s">
        <v>311</v>
      </c>
      <c r="D68" s="190"/>
      <c r="E68" s="190"/>
      <c r="F68" s="190" t="s">
        <v>435</v>
      </c>
      <c r="G68" s="192" t="s">
        <v>436</v>
      </c>
      <c r="H68" s="192" t="s">
        <v>296</v>
      </c>
      <c r="I68" s="192" t="s">
        <v>349</v>
      </c>
      <c r="J68" s="192" t="s">
        <v>350</v>
      </c>
      <c r="K68" s="190" t="s">
        <v>431</v>
      </c>
      <c r="L68" s="190" t="s">
        <v>352</v>
      </c>
      <c r="M68" s="192" t="s">
        <v>353</v>
      </c>
      <c r="N68" s="193">
        <v>-10.333</v>
      </c>
      <c r="O68" s="193">
        <v>119700</v>
      </c>
      <c r="P68" s="194">
        <v>-1236860.1000000001</v>
      </c>
      <c r="Q68" s="194">
        <v>-123686.01</v>
      </c>
      <c r="R68" s="194">
        <v>-1360546.11</v>
      </c>
      <c r="S68" s="192"/>
      <c r="T68" s="192" t="s">
        <v>310</v>
      </c>
      <c r="U68" s="190">
        <v>0</v>
      </c>
      <c r="V68" s="190"/>
      <c r="W68" s="195" t="s">
        <v>369</v>
      </c>
      <c r="X68" s="196" t="str">
        <f>+IFERROR(VLOOKUP($F68,'[2]Chuyển đổi mã'!$A$1:$C$91,3,0),$F68)&amp;AC68</f>
        <v>Metro South320463</v>
      </c>
      <c r="Y68" s="196" t="str">
        <f>IFERROR(VLOOKUP($F68,'[2]Chuyển đổi mã'!$A$1:$C$184,3,0),F68)</f>
        <v>Metro South</v>
      </c>
      <c r="Z68" s="196" t="str">
        <f>VLOOKUP($G68,'[2]Thông tin NPP'!$B:$D,3,0)</f>
        <v>Metro South</v>
      </c>
      <c r="AA68" s="196" t="str">
        <f t="shared" si="10"/>
        <v>Na 8,5g</v>
      </c>
      <c r="AB68" s="196" t="str">
        <f>IFERROR(VLOOKUP(DAY(B68),'[2]Chuyển đổi mã'!$F$1:$G$32,2,0),0)</f>
        <v>W3</v>
      </c>
      <c r="AC68" s="196" t="str">
        <f t="shared" si="11"/>
        <v>320463</v>
      </c>
      <c r="AD68" s="196" t="str">
        <f t="shared" si="12"/>
        <v>NPP</v>
      </c>
      <c r="AE68" s="196" t="str">
        <f t="shared" si="13"/>
        <v>NPP320463</v>
      </c>
      <c r="AF68" s="196">
        <f t="shared" si="14"/>
        <v>0</v>
      </c>
    </row>
    <row r="69" spans="1:32" ht="12.95" customHeight="1">
      <c r="A69" s="190">
        <v>10557</v>
      </c>
      <c r="B69" s="191">
        <v>43574</v>
      </c>
      <c r="C69" s="190" t="s">
        <v>311</v>
      </c>
      <c r="D69" s="190"/>
      <c r="E69" s="190"/>
      <c r="F69" s="190" t="s">
        <v>435</v>
      </c>
      <c r="G69" s="192" t="s">
        <v>436</v>
      </c>
      <c r="H69" s="192" t="s">
        <v>296</v>
      </c>
      <c r="I69" s="192" t="s">
        <v>349</v>
      </c>
      <c r="J69" s="192" t="s">
        <v>350</v>
      </c>
      <c r="K69" s="190" t="s">
        <v>431</v>
      </c>
      <c r="L69" s="190" t="s">
        <v>352</v>
      </c>
      <c r="M69" s="192" t="s">
        <v>353</v>
      </c>
      <c r="N69" s="193">
        <v>-4.3330000000000002</v>
      </c>
      <c r="O69" s="193">
        <v>119700</v>
      </c>
      <c r="P69" s="194">
        <v>-518660.1</v>
      </c>
      <c r="Q69" s="194">
        <v>-51866.01</v>
      </c>
      <c r="R69" s="194">
        <v>-570526.11</v>
      </c>
      <c r="S69" s="192"/>
      <c r="T69" s="192" t="s">
        <v>310</v>
      </c>
      <c r="U69" s="190">
        <v>0</v>
      </c>
      <c r="V69" s="190"/>
      <c r="W69" s="195" t="s">
        <v>369</v>
      </c>
      <c r="X69" s="196" t="str">
        <f>+IFERROR(VLOOKUP($F69,'[2]Chuyển đổi mã'!$A$1:$C$91,3,0),$F69)&amp;AC69</f>
        <v>Metro South320463</v>
      </c>
      <c r="Y69" s="196" t="str">
        <f>IFERROR(VLOOKUP($F69,'[2]Chuyển đổi mã'!$A$1:$C$184,3,0),F69)</f>
        <v>Metro South</v>
      </c>
      <c r="Z69" s="196" t="str">
        <f>VLOOKUP($G69,'[2]Thông tin NPP'!$B:$D,3,0)</f>
        <v>Metro South</v>
      </c>
      <c r="AA69" s="196" t="str">
        <f t="shared" si="10"/>
        <v>Na 8,5g</v>
      </c>
      <c r="AB69" s="196" t="str">
        <f>IFERROR(VLOOKUP(DAY(B69),'[2]Chuyển đổi mã'!$F$1:$G$32,2,0),0)</f>
        <v>W3</v>
      </c>
      <c r="AC69" s="196" t="str">
        <f t="shared" si="11"/>
        <v>320463</v>
      </c>
      <c r="AD69" s="196" t="str">
        <f t="shared" si="12"/>
        <v>NPP</v>
      </c>
      <c r="AE69" s="196" t="str">
        <f t="shared" si="13"/>
        <v>NPP320463</v>
      </c>
      <c r="AF69" s="196">
        <f t="shared" si="14"/>
        <v>0</v>
      </c>
    </row>
    <row r="70" spans="1:32" ht="12.95" customHeight="1">
      <c r="A70" s="190">
        <v>10558</v>
      </c>
      <c r="B70" s="191">
        <v>43574</v>
      </c>
      <c r="C70" s="190" t="s">
        <v>311</v>
      </c>
      <c r="D70" s="190"/>
      <c r="E70" s="190"/>
      <c r="F70" s="190" t="s">
        <v>435</v>
      </c>
      <c r="G70" s="192" t="s">
        <v>436</v>
      </c>
      <c r="H70" s="192" t="s">
        <v>296</v>
      </c>
      <c r="I70" s="192" t="s">
        <v>349</v>
      </c>
      <c r="J70" s="192" t="s">
        <v>350</v>
      </c>
      <c r="K70" s="190" t="s">
        <v>431</v>
      </c>
      <c r="L70" s="190" t="s">
        <v>352</v>
      </c>
      <c r="M70" s="192" t="s">
        <v>353</v>
      </c>
      <c r="N70" s="193">
        <v>-22</v>
      </c>
      <c r="O70" s="193">
        <v>119700</v>
      </c>
      <c r="P70" s="194">
        <v>-2633400</v>
      </c>
      <c r="Q70" s="194">
        <v>-263340</v>
      </c>
      <c r="R70" s="194">
        <v>-2896740</v>
      </c>
      <c r="S70" s="192"/>
      <c r="T70" s="192" t="s">
        <v>310</v>
      </c>
      <c r="U70" s="190">
        <v>0</v>
      </c>
      <c r="V70" s="190"/>
      <c r="W70" s="195" t="s">
        <v>369</v>
      </c>
      <c r="X70" s="196" t="str">
        <f>+IFERROR(VLOOKUP($F70,'[2]Chuyển đổi mã'!$A$1:$C$91,3,0),$F70)&amp;AC70</f>
        <v>Metro South320463</v>
      </c>
      <c r="Y70" s="196" t="str">
        <f>IFERROR(VLOOKUP($F70,'[2]Chuyển đổi mã'!$A$1:$C$184,3,0),F70)</f>
        <v>Metro South</v>
      </c>
      <c r="Z70" s="196" t="str">
        <f>VLOOKUP($G70,'[2]Thông tin NPP'!$B:$D,3,0)</f>
        <v>Metro South</v>
      </c>
      <c r="AA70" s="196" t="str">
        <f t="shared" si="10"/>
        <v>Na 8,5g</v>
      </c>
      <c r="AB70" s="196" t="str">
        <f>IFERROR(VLOOKUP(DAY(B70),'[2]Chuyển đổi mã'!$F$1:$G$32,2,0),0)</f>
        <v>W3</v>
      </c>
      <c r="AC70" s="196" t="str">
        <f t="shared" si="11"/>
        <v>320463</v>
      </c>
      <c r="AD70" s="196" t="str">
        <f t="shared" si="12"/>
        <v>NPP</v>
      </c>
      <c r="AE70" s="196" t="str">
        <f t="shared" si="13"/>
        <v>NPP320463</v>
      </c>
      <c r="AF70" s="196">
        <f t="shared" si="14"/>
        <v>0</v>
      </c>
    </row>
    <row r="71" spans="1:32" ht="12.95" customHeight="1">
      <c r="A71" s="190">
        <v>10559</v>
      </c>
      <c r="B71" s="191">
        <v>43574</v>
      </c>
      <c r="C71" s="190" t="s">
        <v>311</v>
      </c>
      <c r="D71" s="190"/>
      <c r="E71" s="190"/>
      <c r="F71" s="190" t="s">
        <v>435</v>
      </c>
      <c r="G71" s="192" t="s">
        <v>436</v>
      </c>
      <c r="H71" s="192" t="s">
        <v>296</v>
      </c>
      <c r="I71" s="192" t="s">
        <v>349</v>
      </c>
      <c r="J71" s="192" t="s">
        <v>350</v>
      </c>
      <c r="K71" s="190" t="s">
        <v>431</v>
      </c>
      <c r="L71" s="190" t="s">
        <v>352</v>
      </c>
      <c r="M71" s="192" t="s">
        <v>353</v>
      </c>
      <c r="N71" s="193">
        <v>-30.832999999999998</v>
      </c>
      <c r="O71" s="193">
        <v>119700</v>
      </c>
      <c r="P71" s="194">
        <v>-3690710.1</v>
      </c>
      <c r="Q71" s="194">
        <v>-369071.01</v>
      </c>
      <c r="R71" s="194">
        <v>-4059781.11</v>
      </c>
      <c r="S71" s="192"/>
      <c r="T71" s="192" t="s">
        <v>310</v>
      </c>
      <c r="U71" s="190">
        <v>0</v>
      </c>
      <c r="V71" s="190"/>
      <c r="W71" s="195" t="s">
        <v>369</v>
      </c>
      <c r="X71" s="196" t="str">
        <f>+IFERROR(VLOOKUP($F71,'[2]Chuyển đổi mã'!$A$1:$C$91,3,0),$F71)&amp;AC71</f>
        <v>Metro South320463</v>
      </c>
      <c r="Y71" s="196" t="str">
        <f>IFERROR(VLOOKUP($F71,'[2]Chuyển đổi mã'!$A$1:$C$184,3,0),F71)</f>
        <v>Metro South</v>
      </c>
      <c r="Z71" s="196" t="str">
        <f>VLOOKUP($G71,'[2]Thông tin NPP'!$B:$D,3,0)</f>
        <v>Metro South</v>
      </c>
      <c r="AA71" s="196" t="str">
        <f t="shared" si="10"/>
        <v>Na 8,5g</v>
      </c>
      <c r="AB71" s="196" t="str">
        <f>IFERROR(VLOOKUP(DAY(B71),'[2]Chuyển đổi mã'!$F$1:$G$32,2,0),0)</f>
        <v>W3</v>
      </c>
      <c r="AC71" s="196" t="str">
        <f t="shared" si="11"/>
        <v>320463</v>
      </c>
      <c r="AD71" s="196" t="str">
        <f t="shared" si="12"/>
        <v>NPP</v>
      </c>
      <c r="AE71" s="196" t="str">
        <f t="shared" si="13"/>
        <v>NPP320463</v>
      </c>
      <c r="AF71" s="196">
        <f t="shared" si="14"/>
        <v>0</v>
      </c>
    </row>
    <row r="72" spans="1:32" ht="12.95" customHeight="1">
      <c r="A72" s="190">
        <v>10559</v>
      </c>
      <c r="B72" s="191">
        <v>43574</v>
      </c>
      <c r="C72" s="190" t="s">
        <v>311</v>
      </c>
      <c r="D72" s="190"/>
      <c r="E72" s="190"/>
      <c r="F72" s="190" t="s">
        <v>435</v>
      </c>
      <c r="G72" s="192" t="s">
        <v>436</v>
      </c>
      <c r="H72" s="192" t="s">
        <v>296</v>
      </c>
      <c r="I72" s="192" t="s">
        <v>349</v>
      </c>
      <c r="J72" s="192" t="s">
        <v>350</v>
      </c>
      <c r="K72" s="190" t="s">
        <v>431</v>
      </c>
      <c r="L72" s="190" t="s">
        <v>357</v>
      </c>
      <c r="M72" s="192" t="s">
        <v>358</v>
      </c>
      <c r="N72" s="193">
        <v>-2.6669999999999998</v>
      </c>
      <c r="O72" s="193">
        <v>213273</v>
      </c>
      <c r="P72" s="194">
        <v>-568799.09100000001</v>
      </c>
      <c r="Q72" s="194">
        <v>-56879.909099999997</v>
      </c>
      <c r="R72" s="194">
        <v>-625679.00009999995</v>
      </c>
      <c r="S72" s="192"/>
      <c r="T72" s="192" t="s">
        <v>310</v>
      </c>
      <c r="U72" s="190">
        <v>0</v>
      </c>
      <c r="V72" s="190"/>
      <c r="W72" s="195" t="s">
        <v>369</v>
      </c>
      <c r="X72" s="196" t="str">
        <f>+IFERROR(VLOOKUP($F72,'[2]Chuyển đổi mã'!$A$1:$C$91,3,0),$F72)&amp;AC72</f>
        <v>Metro South323555</v>
      </c>
      <c r="Y72" s="196" t="str">
        <f>IFERROR(VLOOKUP($F72,'[2]Chuyển đổi mã'!$A$1:$C$184,3,0),F72)</f>
        <v>Metro South</v>
      </c>
      <c r="Z72" s="196" t="str">
        <f>VLOOKUP($G72,'[2]Thông tin NPP'!$B:$D,3,0)</f>
        <v>Metro South</v>
      </c>
      <c r="AA72" s="196" t="str">
        <f t="shared" si="10"/>
        <v>Na 17g - M</v>
      </c>
      <c r="AB72" s="196" t="str">
        <f>IFERROR(VLOOKUP(DAY(B72),'[2]Chuyển đổi mã'!$F$1:$G$32,2,0),0)</f>
        <v>W3</v>
      </c>
      <c r="AC72" s="196" t="str">
        <f t="shared" si="11"/>
        <v>323555</v>
      </c>
      <c r="AD72" s="196" t="str">
        <f t="shared" si="12"/>
        <v>NPP</v>
      </c>
      <c r="AE72" s="196" t="str">
        <f t="shared" si="13"/>
        <v>NPP323555</v>
      </c>
      <c r="AF72" s="196">
        <f t="shared" si="14"/>
        <v>0</v>
      </c>
    </row>
    <row r="73" spans="1:32" ht="12.95" customHeight="1">
      <c r="A73" s="190">
        <v>10559</v>
      </c>
      <c r="B73" s="191">
        <v>43574</v>
      </c>
      <c r="C73" s="190" t="s">
        <v>311</v>
      </c>
      <c r="D73" s="190"/>
      <c r="E73" s="190"/>
      <c r="F73" s="190" t="s">
        <v>435</v>
      </c>
      <c r="G73" s="192" t="s">
        <v>436</v>
      </c>
      <c r="H73" s="192" t="s">
        <v>296</v>
      </c>
      <c r="I73" s="192" t="s">
        <v>349</v>
      </c>
      <c r="J73" s="192" t="s">
        <v>350</v>
      </c>
      <c r="K73" s="190" t="s">
        <v>431</v>
      </c>
      <c r="L73" s="190" t="s">
        <v>378</v>
      </c>
      <c r="M73" s="192" t="s">
        <v>379</v>
      </c>
      <c r="N73" s="193">
        <v>-3</v>
      </c>
      <c r="O73" s="193">
        <v>213273</v>
      </c>
      <c r="P73" s="194">
        <v>-639819</v>
      </c>
      <c r="Q73" s="194">
        <v>-63981.9</v>
      </c>
      <c r="R73" s="194">
        <v>-703800.9</v>
      </c>
      <c r="S73" s="192"/>
      <c r="T73" s="192" t="s">
        <v>310</v>
      </c>
      <c r="U73" s="190">
        <v>0</v>
      </c>
      <c r="V73" s="190"/>
      <c r="W73" s="195" t="s">
        <v>369</v>
      </c>
      <c r="X73" s="196" t="str">
        <f>+IFERROR(VLOOKUP($F73,'[2]Chuyển đổi mã'!$A$1:$C$91,3,0),$F73)&amp;AC73</f>
        <v>Metro South321238</v>
      </c>
      <c r="Y73" s="196" t="str">
        <f>IFERROR(VLOOKUP($F73,'[2]Chuyển đổi mã'!$A$1:$C$184,3,0),F73)</f>
        <v>Metro South</v>
      </c>
      <c r="Z73" s="196" t="str">
        <f>VLOOKUP($G73,'[2]Thông tin NPP'!$B:$D,3,0)</f>
        <v>Metro South</v>
      </c>
      <c r="AA73" s="196" t="str">
        <f t="shared" ref="AA73:AA74" si="15">LEFT($M73,10)</f>
        <v>Richoco Wf</v>
      </c>
      <c r="AB73" s="196" t="str">
        <f>IFERROR(VLOOKUP(DAY(B73),'[2]Chuyển đổi mã'!$F$1:$G$32,2,0),0)</f>
        <v>W3</v>
      </c>
      <c r="AC73" s="196" t="str">
        <f t="shared" ref="AC73:AC74" si="16">LEFT(L73,6)</f>
        <v>321238</v>
      </c>
      <c r="AD73" s="196" t="str">
        <f t="shared" ref="AD73:AD74" si="17">LEFT(F73,3)</f>
        <v>NPP</v>
      </c>
      <c r="AE73" s="196" t="str">
        <f t="shared" ref="AE73:AE74" si="18">AD73&amp;AC73</f>
        <v>NPP321238</v>
      </c>
      <c r="AF73" s="196">
        <f t="shared" ref="AF73:AF74" si="19">IF(RIGHT(L73,1)="P","P",0)</f>
        <v>0</v>
      </c>
    </row>
    <row r="74" spans="1:32" ht="12.95" customHeight="1">
      <c r="A74" s="190">
        <v>10559</v>
      </c>
      <c r="B74" s="191">
        <v>43574</v>
      </c>
      <c r="C74" s="190" t="s">
        <v>311</v>
      </c>
      <c r="D74" s="190"/>
      <c r="E74" s="190"/>
      <c r="F74" s="190" t="s">
        <v>435</v>
      </c>
      <c r="G74" s="192" t="s">
        <v>436</v>
      </c>
      <c r="H74" s="192" t="s">
        <v>296</v>
      </c>
      <c r="I74" s="192" t="s">
        <v>349</v>
      </c>
      <c r="J74" s="192" t="s">
        <v>350</v>
      </c>
      <c r="K74" s="190" t="s">
        <v>431</v>
      </c>
      <c r="L74" s="190" t="s">
        <v>359</v>
      </c>
      <c r="M74" s="192" t="s">
        <v>360</v>
      </c>
      <c r="N74" s="193">
        <v>-0.28299999999999997</v>
      </c>
      <c r="O74" s="193">
        <v>313636</v>
      </c>
      <c r="P74" s="194">
        <v>-88758.987999999998</v>
      </c>
      <c r="Q74" s="194">
        <v>-8875.8988000000008</v>
      </c>
      <c r="R74" s="194">
        <v>-97634.886799999993</v>
      </c>
      <c r="S74" s="192"/>
      <c r="T74" s="192" t="s">
        <v>310</v>
      </c>
      <c r="U74" s="190">
        <v>0</v>
      </c>
      <c r="V74" s="190"/>
      <c r="W74" s="195" t="s">
        <v>369</v>
      </c>
      <c r="X74" s="196" t="str">
        <f>+IFERROR(VLOOKUP($F74,'[2]Chuyển đổi mã'!$A$1:$C$91,3,0),$F74)&amp;AC74</f>
        <v>Metro South320445</v>
      </c>
      <c r="Y74" s="196" t="str">
        <f>IFERROR(VLOOKUP($F74,'[2]Chuyển đổi mã'!$A$1:$C$184,3,0),F74)</f>
        <v>Metro South</v>
      </c>
      <c r="Z74" s="196" t="str">
        <f>VLOOKUP($G74,'[2]Thông tin NPP'!$B:$D,3,0)</f>
        <v>Metro South</v>
      </c>
      <c r="AA74" s="196" t="str">
        <f t="shared" si="15"/>
        <v>Na 58g</v>
      </c>
      <c r="AB74" s="196" t="str">
        <f>IFERROR(VLOOKUP(DAY(B74),'[2]Chuyển đổi mã'!$F$1:$G$32,2,0),0)</f>
        <v>W3</v>
      </c>
      <c r="AC74" s="196" t="str">
        <f t="shared" si="16"/>
        <v>320445</v>
      </c>
      <c r="AD74" s="196" t="str">
        <f t="shared" si="17"/>
        <v>NPP</v>
      </c>
      <c r="AE74" s="196" t="str">
        <f t="shared" si="18"/>
        <v>NPP320445</v>
      </c>
      <c r="AF74" s="196">
        <f t="shared" si="19"/>
        <v>0</v>
      </c>
    </row>
    <row r="75" spans="1:32" ht="12.95" customHeight="1">
      <c r="A75" s="190">
        <v>10560</v>
      </c>
      <c r="B75" s="191">
        <v>43574</v>
      </c>
      <c r="C75" s="190" t="s">
        <v>311</v>
      </c>
      <c r="D75" s="190"/>
      <c r="E75" s="190"/>
      <c r="F75" s="190" t="s">
        <v>435</v>
      </c>
      <c r="G75" s="192" t="s">
        <v>436</v>
      </c>
      <c r="H75" s="192" t="s">
        <v>296</v>
      </c>
      <c r="I75" s="192" t="s">
        <v>349</v>
      </c>
      <c r="J75" s="192" t="s">
        <v>350</v>
      </c>
      <c r="K75" s="190" t="s">
        <v>431</v>
      </c>
      <c r="L75" s="190" t="s">
        <v>352</v>
      </c>
      <c r="M75" s="192" t="s">
        <v>353</v>
      </c>
      <c r="N75" s="193">
        <v>-1</v>
      </c>
      <c r="O75" s="193">
        <v>119700</v>
      </c>
      <c r="P75" s="194">
        <v>-119700</v>
      </c>
      <c r="Q75" s="194">
        <v>-11970</v>
      </c>
      <c r="R75" s="194">
        <v>-131670</v>
      </c>
      <c r="S75" s="192"/>
      <c r="T75" s="192" t="s">
        <v>310</v>
      </c>
      <c r="U75" s="190">
        <v>0</v>
      </c>
      <c r="V75" s="190"/>
      <c r="W75" s="195" t="s">
        <v>369</v>
      </c>
      <c r="X75" s="196" t="str">
        <f>+IFERROR(VLOOKUP($F75,'[2]Chuyển đổi mã'!$A$1:$C$91,3,0),$F75)&amp;AC75</f>
        <v>Metro South320463</v>
      </c>
      <c r="Y75" s="196" t="str">
        <f>IFERROR(VLOOKUP($F75,'[2]Chuyển đổi mã'!$A$1:$C$184,3,0),F75)</f>
        <v>Metro South</v>
      </c>
      <c r="Z75" s="196" t="str">
        <f>VLOOKUP($G75,'[2]Thông tin NPP'!$B:$D,3,0)</f>
        <v>Metro South</v>
      </c>
      <c r="AA75" s="196" t="str">
        <f t="shared" ref="AA75:AA103" si="20">LEFT($M75,10)</f>
        <v>Na 8,5g</v>
      </c>
      <c r="AB75" s="196" t="str">
        <f>IFERROR(VLOOKUP(DAY(B75),'[2]Chuyển đổi mã'!$F$1:$G$32,2,0),0)</f>
        <v>W3</v>
      </c>
      <c r="AC75" s="196" t="str">
        <f t="shared" ref="AC75:AC103" si="21">LEFT(L75,6)</f>
        <v>320463</v>
      </c>
      <c r="AD75" s="196" t="str">
        <f t="shared" ref="AD75:AD103" si="22">LEFT(F75,3)</f>
        <v>NPP</v>
      </c>
      <c r="AE75" s="196" t="str">
        <f t="shared" ref="AE75:AE103" si="23">AD75&amp;AC75</f>
        <v>NPP320463</v>
      </c>
      <c r="AF75" s="196">
        <f t="shared" ref="AF75:AF103" si="24">IF(RIGHT(L75,1)="P","P",0)</f>
        <v>0</v>
      </c>
    </row>
    <row r="76" spans="1:32" ht="12.95" customHeight="1">
      <c r="A76" s="190">
        <v>10560</v>
      </c>
      <c r="B76" s="191">
        <v>43574</v>
      </c>
      <c r="C76" s="190" t="s">
        <v>311</v>
      </c>
      <c r="D76" s="190"/>
      <c r="E76" s="190"/>
      <c r="F76" s="190" t="s">
        <v>435</v>
      </c>
      <c r="G76" s="192" t="s">
        <v>436</v>
      </c>
      <c r="H76" s="192" t="s">
        <v>296</v>
      </c>
      <c r="I76" s="192" t="s">
        <v>349</v>
      </c>
      <c r="J76" s="192" t="s">
        <v>350</v>
      </c>
      <c r="K76" s="190" t="s">
        <v>431</v>
      </c>
      <c r="L76" s="190" t="s">
        <v>378</v>
      </c>
      <c r="M76" s="192" t="s">
        <v>379</v>
      </c>
      <c r="N76" s="193">
        <v>-3</v>
      </c>
      <c r="O76" s="193">
        <v>213273</v>
      </c>
      <c r="P76" s="194">
        <v>-639819</v>
      </c>
      <c r="Q76" s="194">
        <v>-63981.9</v>
      </c>
      <c r="R76" s="194">
        <v>-703800.9</v>
      </c>
      <c r="S76" s="192"/>
      <c r="T76" s="192" t="s">
        <v>310</v>
      </c>
      <c r="U76" s="190">
        <v>0</v>
      </c>
      <c r="V76" s="190"/>
      <c r="W76" s="195" t="s">
        <v>369</v>
      </c>
      <c r="X76" s="196" t="str">
        <f>+IFERROR(VLOOKUP($F76,'[2]Chuyển đổi mã'!$A$1:$C$91,3,0),$F76)&amp;AC76</f>
        <v>Metro South321238</v>
      </c>
      <c r="Y76" s="196" t="str">
        <f>IFERROR(VLOOKUP($F76,'[2]Chuyển đổi mã'!$A$1:$C$184,3,0),F76)</f>
        <v>Metro South</v>
      </c>
      <c r="Z76" s="196" t="str">
        <f>VLOOKUP($G76,'[2]Thông tin NPP'!$B:$D,3,0)</f>
        <v>Metro South</v>
      </c>
      <c r="AA76" s="196" t="str">
        <f t="shared" si="20"/>
        <v>Richoco Wf</v>
      </c>
      <c r="AB76" s="196" t="str">
        <f>IFERROR(VLOOKUP(DAY(B76),'[2]Chuyển đổi mã'!$F$1:$G$32,2,0),0)</f>
        <v>W3</v>
      </c>
      <c r="AC76" s="196" t="str">
        <f t="shared" si="21"/>
        <v>321238</v>
      </c>
      <c r="AD76" s="196" t="str">
        <f t="shared" si="22"/>
        <v>NPP</v>
      </c>
      <c r="AE76" s="196" t="str">
        <f t="shared" si="23"/>
        <v>NPP321238</v>
      </c>
      <c r="AF76" s="196">
        <f t="shared" si="24"/>
        <v>0</v>
      </c>
    </row>
    <row r="77" spans="1:32" ht="12.95" customHeight="1">
      <c r="A77" s="190">
        <v>10560</v>
      </c>
      <c r="B77" s="191">
        <v>43574</v>
      </c>
      <c r="C77" s="190" t="s">
        <v>311</v>
      </c>
      <c r="D77" s="190"/>
      <c r="E77" s="190"/>
      <c r="F77" s="190" t="s">
        <v>435</v>
      </c>
      <c r="G77" s="192" t="s">
        <v>436</v>
      </c>
      <c r="H77" s="192" t="s">
        <v>296</v>
      </c>
      <c r="I77" s="192" t="s">
        <v>349</v>
      </c>
      <c r="J77" s="192" t="s">
        <v>350</v>
      </c>
      <c r="K77" s="190" t="s">
        <v>431</v>
      </c>
      <c r="L77" s="190" t="s">
        <v>361</v>
      </c>
      <c r="M77" s="192" t="s">
        <v>362</v>
      </c>
      <c r="N77" s="193">
        <v>-0.317</v>
      </c>
      <c r="O77" s="193">
        <v>313636</v>
      </c>
      <c r="P77" s="194">
        <v>-99422.611999999994</v>
      </c>
      <c r="Q77" s="194">
        <v>-9942.2612000000008</v>
      </c>
      <c r="R77" s="194">
        <v>-109364.8732</v>
      </c>
      <c r="S77" s="192"/>
      <c r="T77" s="192" t="s">
        <v>310</v>
      </c>
      <c r="U77" s="190">
        <v>0</v>
      </c>
      <c r="V77" s="190"/>
      <c r="W77" s="195" t="s">
        <v>369</v>
      </c>
      <c r="X77" s="196" t="str">
        <f>+IFERROR(VLOOKUP($F77,'[2]Chuyển đổi mã'!$A$1:$C$91,3,0),$F77)&amp;AC77</f>
        <v>Metro South331017</v>
      </c>
      <c r="Y77" s="196" t="str">
        <f>IFERROR(VLOOKUP($F77,'[2]Chuyển đổi mã'!$A$1:$C$184,3,0),F77)</f>
        <v>Metro South</v>
      </c>
      <c r="Z77" s="196" t="str">
        <f>VLOOKUP($G77,'[2]Thông tin NPP'!$B:$D,3,0)</f>
        <v>Metro South</v>
      </c>
      <c r="AA77" s="196" t="str">
        <f t="shared" si="20"/>
        <v>Richoco Wf</v>
      </c>
      <c r="AB77" s="196" t="str">
        <f>IFERROR(VLOOKUP(DAY(B77),'[2]Chuyển đổi mã'!$F$1:$G$32,2,0),0)</f>
        <v>W3</v>
      </c>
      <c r="AC77" s="196" t="str">
        <f t="shared" si="21"/>
        <v>331017</v>
      </c>
      <c r="AD77" s="196" t="str">
        <f t="shared" si="22"/>
        <v>NPP</v>
      </c>
      <c r="AE77" s="196" t="str">
        <f t="shared" si="23"/>
        <v>NPP331017</v>
      </c>
      <c r="AF77" s="196">
        <f t="shared" si="24"/>
        <v>0</v>
      </c>
    </row>
    <row r="78" spans="1:32" ht="12.95" customHeight="1">
      <c r="A78" s="190">
        <v>10561</v>
      </c>
      <c r="B78" s="191">
        <v>43574</v>
      </c>
      <c r="C78" s="190" t="s">
        <v>311</v>
      </c>
      <c r="D78" s="190"/>
      <c r="E78" s="190"/>
      <c r="F78" s="190" t="s">
        <v>435</v>
      </c>
      <c r="G78" s="192" t="s">
        <v>436</v>
      </c>
      <c r="H78" s="192" t="s">
        <v>296</v>
      </c>
      <c r="I78" s="192" t="s">
        <v>349</v>
      </c>
      <c r="J78" s="192" t="s">
        <v>350</v>
      </c>
      <c r="K78" s="190" t="s">
        <v>431</v>
      </c>
      <c r="L78" s="190" t="s">
        <v>352</v>
      </c>
      <c r="M78" s="192" t="s">
        <v>353</v>
      </c>
      <c r="N78" s="193">
        <v>-20</v>
      </c>
      <c r="O78" s="193">
        <v>119700</v>
      </c>
      <c r="P78" s="194">
        <v>-2394000</v>
      </c>
      <c r="Q78" s="194">
        <v>-239400</v>
      </c>
      <c r="R78" s="194">
        <v>-2633400</v>
      </c>
      <c r="S78" s="192"/>
      <c r="T78" s="192" t="s">
        <v>310</v>
      </c>
      <c r="U78" s="190">
        <v>0</v>
      </c>
      <c r="V78" s="190"/>
      <c r="W78" s="195" t="s">
        <v>369</v>
      </c>
      <c r="X78" s="196" t="str">
        <f>+IFERROR(VLOOKUP($F78,'[2]Chuyển đổi mã'!$A$1:$C$91,3,0),$F78)&amp;AC78</f>
        <v>Metro South320463</v>
      </c>
      <c r="Y78" s="196" t="str">
        <f>IFERROR(VLOOKUP($F78,'[2]Chuyển đổi mã'!$A$1:$C$184,3,0),F78)</f>
        <v>Metro South</v>
      </c>
      <c r="Z78" s="196" t="str">
        <f>VLOOKUP($G78,'[2]Thông tin NPP'!$B:$D,3,0)</f>
        <v>Metro South</v>
      </c>
      <c r="AA78" s="196" t="str">
        <f t="shared" si="20"/>
        <v>Na 8,5g</v>
      </c>
      <c r="AB78" s="196" t="str">
        <f>IFERROR(VLOOKUP(DAY(B78),'[2]Chuyển đổi mã'!$F$1:$G$32,2,0),0)</f>
        <v>W3</v>
      </c>
      <c r="AC78" s="196" t="str">
        <f t="shared" si="21"/>
        <v>320463</v>
      </c>
      <c r="AD78" s="196" t="str">
        <f t="shared" si="22"/>
        <v>NPP</v>
      </c>
      <c r="AE78" s="196" t="str">
        <f t="shared" si="23"/>
        <v>NPP320463</v>
      </c>
      <c r="AF78" s="196">
        <f t="shared" si="24"/>
        <v>0</v>
      </c>
    </row>
    <row r="79" spans="1:32" ht="12.95" customHeight="1">
      <c r="A79" s="190">
        <v>10561</v>
      </c>
      <c r="B79" s="191">
        <v>43574</v>
      </c>
      <c r="C79" s="190" t="s">
        <v>311</v>
      </c>
      <c r="D79" s="190"/>
      <c r="E79" s="190"/>
      <c r="F79" s="190" t="s">
        <v>435</v>
      </c>
      <c r="G79" s="192" t="s">
        <v>436</v>
      </c>
      <c r="H79" s="192" t="s">
        <v>296</v>
      </c>
      <c r="I79" s="192" t="s">
        <v>349</v>
      </c>
      <c r="J79" s="192" t="s">
        <v>350</v>
      </c>
      <c r="K79" s="190" t="s">
        <v>431</v>
      </c>
      <c r="L79" s="190" t="s">
        <v>357</v>
      </c>
      <c r="M79" s="192" t="s">
        <v>358</v>
      </c>
      <c r="N79" s="193">
        <v>-60.5</v>
      </c>
      <c r="O79" s="193">
        <v>213273</v>
      </c>
      <c r="P79" s="194">
        <v>-12903016.5</v>
      </c>
      <c r="Q79" s="194">
        <v>-1290301.6499999999</v>
      </c>
      <c r="R79" s="194">
        <v>-14193318.15</v>
      </c>
      <c r="S79" s="192"/>
      <c r="T79" s="192" t="s">
        <v>310</v>
      </c>
      <c r="U79" s="190">
        <v>0</v>
      </c>
      <c r="V79" s="190"/>
      <c r="W79" s="195" t="s">
        <v>369</v>
      </c>
      <c r="X79" s="196" t="str">
        <f>+IFERROR(VLOOKUP($F79,'[2]Chuyển đổi mã'!$A$1:$C$91,3,0),$F79)&amp;AC79</f>
        <v>Metro South323555</v>
      </c>
      <c r="Y79" s="196" t="str">
        <f>IFERROR(VLOOKUP($F79,'[2]Chuyển đổi mã'!$A$1:$C$184,3,0),F79)</f>
        <v>Metro South</v>
      </c>
      <c r="Z79" s="196" t="str">
        <f>VLOOKUP($G79,'[2]Thông tin NPP'!$B:$D,3,0)</f>
        <v>Metro South</v>
      </c>
      <c r="AA79" s="196" t="str">
        <f t="shared" si="20"/>
        <v>Na 17g - M</v>
      </c>
      <c r="AB79" s="196" t="str">
        <f>IFERROR(VLOOKUP(DAY(B79),'[2]Chuyển đổi mã'!$F$1:$G$32,2,0),0)</f>
        <v>W3</v>
      </c>
      <c r="AC79" s="196" t="str">
        <f t="shared" si="21"/>
        <v>323555</v>
      </c>
      <c r="AD79" s="196" t="str">
        <f t="shared" si="22"/>
        <v>NPP</v>
      </c>
      <c r="AE79" s="196" t="str">
        <f t="shared" si="23"/>
        <v>NPP323555</v>
      </c>
      <c r="AF79" s="196">
        <f t="shared" si="24"/>
        <v>0</v>
      </c>
    </row>
    <row r="80" spans="1:32" ht="12.95" customHeight="1">
      <c r="A80" s="190">
        <v>10562</v>
      </c>
      <c r="B80" s="191">
        <v>43574</v>
      </c>
      <c r="C80" s="190" t="s">
        <v>311</v>
      </c>
      <c r="D80" s="190"/>
      <c r="E80" s="190"/>
      <c r="F80" s="190" t="s">
        <v>435</v>
      </c>
      <c r="G80" s="192" t="s">
        <v>436</v>
      </c>
      <c r="H80" s="192" t="s">
        <v>296</v>
      </c>
      <c r="I80" s="192" t="s">
        <v>349</v>
      </c>
      <c r="J80" s="192" t="s">
        <v>350</v>
      </c>
      <c r="K80" s="190" t="s">
        <v>431</v>
      </c>
      <c r="L80" s="190" t="s">
        <v>352</v>
      </c>
      <c r="M80" s="192" t="s">
        <v>353</v>
      </c>
      <c r="N80" s="193">
        <v>-96.332999999999998</v>
      </c>
      <c r="O80" s="193">
        <v>119700</v>
      </c>
      <c r="P80" s="194">
        <v>-11531060.1</v>
      </c>
      <c r="Q80" s="194">
        <v>-1153106.01</v>
      </c>
      <c r="R80" s="194">
        <v>-12684166.109999999</v>
      </c>
      <c r="S80" s="192"/>
      <c r="T80" s="192" t="s">
        <v>310</v>
      </c>
      <c r="U80" s="190">
        <v>0</v>
      </c>
      <c r="V80" s="190"/>
      <c r="W80" s="195" t="s">
        <v>369</v>
      </c>
      <c r="X80" s="196" t="str">
        <f>+IFERROR(VLOOKUP($F80,'[2]Chuyển đổi mã'!$A$1:$C$91,3,0),$F80)&amp;AC80</f>
        <v>Metro South320463</v>
      </c>
      <c r="Y80" s="196" t="str">
        <f>IFERROR(VLOOKUP($F80,'[2]Chuyển đổi mã'!$A$1:$C$184,3,0),F80)</f>
        <v>Metro South</v>
      </c>
      <c r="Z80" s="196" t="str">
        <f>VLOOKUP($G80,'[2]Thông tin NPP'!$B:$D,3,0)</f>
        <v>Metro South</v>
      </c>
      <c r="AA80" s="196" t="str">
        <f t="shared" si="20"/>
        <v>Na 8,5g</v>
      </c>
      <c r="AB80" s="196" t="str">
        <f>IFERROR(VLOOKUP(DAY(B80),'[2]Chuyển đổi mã'!$F$1:$G$32,2,0),0)</f>
        <v>W3</v>
      </c>
      <c r="AC80" s="196" t="str">
        <f t="shared" si="21"/>
        <v>320463</v>
      </c>
      <c r="AD80" s="196" t="str">
        <f t="shared" si="22"/>
        <v>NPP</v>
      </c>
      <c r="AE80" s="196" t="str">
        <f t="shared" si="23"/>
        <v>NPP320463</v>
      </c>
      <c r="AF80" s="196">
        <f t="shared" si="24"/>
        <v>0</v>
      </c>
    </row>
    <row r="81" spans="1:32" ht="12.95" customHeight="1">
      <c r="A81" s="190">
        <v>10562</v>
      </c>
      <c r="B81" s="191">
        <v>43574</v>
      </c>
      <c r="C81" s="190" t="s">
        <v>311</v>
      </c>
      <c r="D81" s="190"/>
      <c r="E81" s="190"/>
      <c r="F81" s="190" t="s">
        <v>435</v>
      </c>
      <c r="G81" s="192" t="s">
        <v>436</v>
      </c>
      <c r="H81" s="192" t="s">
        <v>296</v>
      </c>
      <c r="I81" s="192" t="s">
        <v>349</v>
      </c>
      <c r="J81" s="192" t="s">
        <v>350</v>
      </c>
      <c r="K81" s="190" t="s">
        <v>431</v>
      </c>
      <c r="L81" s="190" t="s">
        <v>378</v>
      </c>
      <c r="M81" s="192" t="s">
        <v>379</v>
      </c>
      <c r="N81" s="193">
        <v>-10.333</v>
      </c>
      <c r="O81" s="193">
        <v>213273</v>
      </c>
      <c r="P81" s="194">
        <v>-2203749.909</v>
      </c>
      <c r="Q81" s="194">
        <v>-220374.9909</v>
      </c>
      <c r="R81" s="194">
        <v>-2424124.8999000001</v>
      </c>
      <c r="S81" s="192"/>
      <c r="T81" s="192" t="s">
        <v>310</v>
      </c>
      <c r="U81" s="190">
        <v>0</v>
      </c>
      <c r="V81" s="190"/>
      <c r="W81" s="195" t="s">
        <v>369</v>
      </c>
      <c r="X81" s="196" t="str">
        <f>+IFERROR(VLOOKUP($F81,'[2]Chuyển đổi mã'!$A$1:$C$91,3,0),$F81)&amp;AC81</f>
        <v>Metro South321238</v>
      </c>
      <c r="Y81" s="196" t="str">
        <f>IFERROR(VLOOKUP($F81,'[2]Chuyển đổi mã'!$A$1:$C$184,3,0),F81)</f>
        <v>Metro South</v>
      </c>
      <c r="Z81" s="196" t="str">
        <f>VLOOKUP($G81,'[2]Thông tin NPP'!$B:$D,3,0)</f>
        <v>Metro South</v>
      </c>
      <c r="AA81" s="196" t="str">
        <f t="shared" si="20"/>
        <v>Richoco Wf</v>
      </c>
      <c r="AB81" s="196" t="str">
        <f>IFERROR(VLOOKUP(DAY(B81),'[2]Chuyển đổi mã'!$F$1:$G$32,2,0),0)</f>
        <v>W3</v>
      </c>
      <c r="AC81" s="196" t="str">
        <f t="shared" si="21"/>
        <v>321238</v>
      </c>
      <c r="AD81" s="196" t="str">
        <f t="shared" si="22"/>
        <v>NPP</v>
      </c>
      <c r="AE81" s="196" t="str">
        <f t="shared" si="23"/>
        <v>NPP321238</v>
      </c>
      <c r="AF81" s="196">
        <f t="shared" si="24"/>
        <v>0</v>
      </c>
    </row>
    <row r="82" spans="1:32" ht="12.95" customHeight="1">
      <c r="A82" s="190">
        <v>10562</v>
      </c>
      <c r="B82" s="191">
        <v>43574</v>
      </c>
      <c r="C82" s="190" t="s">
        <v>311</v>
      </c>
      <c r="D82" s="190"/>
      <c r="E82" s="190"/>
      <c r="F82" s="190" t="s">
        <v>435</v>
      </c>
      <c r="G82" s="192" t="s">
        <v>436</v>
      </c>
      <c r="H82" s="192" t="s">
        <v>296</v>
      </c>
      <c r="I82" s="192" t="s">
        <v>349</v>
      </c>
      <c r="J82" s="192" t="s">
        <v>350</v>
      </c>
      <c r="K82" s="190" t="s">
        <v>431</v>
      </c>
      <c r="L82" s="190" t="s">
        <v>357</v>
      </c>
      <c r="M82" s="192" t="s">
        <v>358</v>
      </c>
      <c r="N82" s="193">
        <v>-59</v>
      </c>
      <c r="O82" s="193">
        <v>213273</v>
      </c>
      <c r="P82" s="194">
        <v>-12583107</v>
      </c>
      <c r="Q82" s="194">
        <v>-1258310.7</v>
      </c>
      <c r="R82" s="194">
        <v>-13841417.699999999</v>
      </c>
      <c r="S82" s="192"/>
      <c r="T82" s="192" t="s">
        <v>310</v>
      </c>
      <c r="U82" s="190">
        <v>0</v>
      </c>
      <c r="V82" s="190"/>
      <c r="W82" s="195" t="s">
        <v>369</v>
      </c>
      <c r="X82" s="196" t="str">
        <f>+IFERROR(VLOOKUP($F82,'[2]Chuyển đổi mã'!$A$1:$C$91,3,0),$F82)&amp;AC82</f>
        <v>Metro South323555</v>
      </c>
      <c r="Y82" s="196" t="str">
        <f>IFERROR(VLOOKUP($F82,'[2]Chuyển đổi mã'!$A$1:$C$184,3,0),F82)</f>
        <v>Metro South</v>
      </c>
      <c r="Z82" s="196" t="str">
        <f>VLOOKUP($G82,'[2]Thông tin NPP'!$B:$D,3,0)</f>
        <v>Metro South</v>
      </c>
      <c r="AA82" s="196" t="str">
        <f t="shared" si="20"/>
        <v>Na 17g - M</v>
      </c>
      <c r="AB82" s="196" t="str">
        <f>IFERROR(VLOOKUP(DAY(B82),'[2]Chuyển đổi mã'!$F$1:$G$32,2,0),0)</f>
        <v>W3</v>
      </c>
      <c r="AC82" s="196" t="str">
        <f t="shared" si="21"/>
        <v>323555</v>
      </c>
      <c r="AD82" s="196" t="str">
        <f t="shared" si="22"/>
        <v>NPP</v>
      </c>
      <c r="AE82" s="196" t="str">
        <f t="shared" si="23"/>
        <v>NPP323555</v>
      </c>
      <c r="AF82" s="196">
        <f t="shared" si="24"/>
        <v>0</v>
      </c>
    </row>
    <row r="83" spans="1:32" ht="12.95" customHeight="1">
      <c r="A83" s="190">
        <v>10562</v>
      </c>
      <c r="B83" s="191">
        <v>43574</v>
      </c>
      <c r="C83" s="190" t="s">
        <v>311</v>
      </c>
      <c r="D83" s="190"/>
      <c r="E83" s="190"/>
      <c r="F83" s="190" t="s">
        <v>435</v>
      </c>
      <c r="G83" s="192" t="s">
        <v>436</v>
      </c>
      <c r="H83" s="192" t="s">
        <v>296</v>
      </c>
      <c r="I83" s="192" t="s">
        <v>349</v>
      </c>
      <c r="J83" s="192" t="s">
        <v>350</v>
      </c>
      <c r="K83" s="190" t="s">
        <v>431</v>
      </c>
      <c r="L83" s="190" t="s">
        <v>359</v>
      </c>
      <c r="M83" s="192" t="s">
        <v>360</v>
      </c>
      <c r="N83" s="193">
        <v>-0.56699999999999995</v>
      </c>
      <c r="O83" s="193">
        <v>313636</v>
      </c>
      <c r="P83" s="194">
        <v>-177831.61199999999</v>
      </c>
      <c r="Q83" s="194">
        <v>-17783.161199999999</v>
      </c>
      <c r="R83" s="194">
        <v>-195614.7732</v>
      </c>
      <c r="S83" s="192"/>
      <c r="T83" s="192" t="s">
        <v>310</v>
      </c>
      <c r="U83" s="190">
        <v>0</v>
      </c>
      <c r="V83" s="190"/>
      <c r="W83" s="195" t="s">
        <v>369</v>
      </c>
      <c r="X83" s="196" t="str">
        <f>+IFERROR(VLOOKUP($F83,'[2]Chuyển đổi mã'!$A$1:$C$91,3,0),$F83)&amp;AC83</f>
        <v>Metro South320445</v>
      </c>
      <c r="Y83" s="196" t="str">
        <f>IFERROR(VLOOKUP($F83,'[2]Chuyển đổi mã'!$A$1:$C$184,3,0),F83)</f>
        <v>Metro South</v>
      </c>
      <c r="Z83" s="196" t="str">
        <f>VLOOKUP($G83,'[2]Thông tin NPP'!$B:$D,3,0)</f>
        <v>Metro South</v>
      </c>
      <c r="AA83" s="196" t="str">
        <f t="shared" si="20"/>
        <v>Na 58g</v>
      </c>
      <c r="AB83" s="196" t="str">
        <f>IFERROR(VLOOKUP(DAY(B83),'[2]Chuyển đổi mã'!$F$1:$G$32,2,0),0)</f>
        <v>W3</v>
      </c>
      <c r="AC83" s="196" t="str">
        <f t="shared" si="21"/>
        <v>320445</v>
      </c>
      <c r="AD83" s="196" t="str">
        <f t="shared" si="22"/>
        <v>NPP</v>
      </c>
      <c r="AE83" s="196" t="str">
        <f t="shared" si="23"/>
        <v>NPP320445</v>
      </c>
      <c r="AF83" s="196">
        <f t="shared" si="24"/>
        <v>0</v>
      </c>
    </row>
    <row r="84" spans="1:32" ht="12.95" customHeight="1">
      <c r="A84" s="190">
        <v>10562</v>
      </c>
      <c r="B84" s="191">
        <v>43574</v>
      </c>
      <c r="C84" s="190" t="s">
        <v>311</v>
      </c>
      <c r="D84" s="190"/>
      <c r="E84" s="190"/>
      <c r="F84" s="190" t="s">
        <v>435</v>
      </c>
      <c r="G84" s="192" t="s">
        <v>436</v>
      </c>
      <c r="H84" s="192" t="s">
        <v>296</v>
      </c>
      <c r="I84" s="192" t="s">
        <v>349</v>
      </c>
      <c r="J84" s="192" t="s">
        <v>350</v>
      </c>
      <c r="K84" s="190" t="s">
        <v>431</v>
      </c>
      <c r="L84" s="190" t="s">
        <v>361</v>
      </c>
      <c r="M84" s="192" t="s">
        <v>362</v>
      </c>
      <c r="N84" s="193">
        <v>-3.4670000000000001</v>
      </c>
      <c r="O84" s="193">
        <v>313636</v>
      </c>
      <c r="P84" s="194">
        <v>-1087376.0120000001</v>
      </c>
      <c r="Q84" s="194">
        <v>-108737.6012</v>
      </c>
      <c r="R84" s="194">
        <v>-1196113.6132</v>
      </c>
      <c r="S84" s="192"/>
      <c r="T84" s="192" t="s">
        <v>310</v>
      </c>
      <c r="U84" s="190">
        <v>0</v>
      </c>
      <c r="V84" s="190"/>
      <c r="W84" s="195" t="s">
        <v>369</v>
      </c>
      <c r="X84" s="196" t="str">
        <f>+IFERROR(VLOOKUP($F84,'[2]Chuyển đổi mã'!$A$1:$C$91,3,0),$F84)&amp;AC84</f>
        <v>Metro South331017</v>
      </c>
      <c r="Y84" s="196" t="str">
        <f>IFERROR(VLOOKUP($F84,'[2]Chuyển đổi mã'!$A$1:$C$184,3,0),F84)</f>
        <v>Metro South</v>
      </c>
      <c r="Z84" s="196" t="str">
        <f>VLOOKUP($G84,'[2]Thông tin NPP'!$B:$D,3,0)</f>
        <v>Metro South</v>
      </c>
      <c r="AA84" s="196" t="str">
        <f t="shared" si="20"/>
        <v>Richoco Wf</v>
      </c>
      <c r="AB84" s="196" t="str">
        <f>IFERROR(VLOOKUP(DAY(B84),'[2]Chuyển đổi mã'!$F$1:$G$32,2,0),0)</f>
        <v>W3</v>
      </c>
      <c r="AC84" s="196" t="str">
        <f t="shared" si="21"/>
        <v>331017</v>
      </c>
      <c r="AD84" s="196" t="str">
        <f t="shared" si="22"/>
        <v>NPP</v>
      </c>
      <c r="AE84" s="196" t="str">
        <f t="shared" si="23"/>
        <v>NPP331017</v>
      </c>
      <c r="AF84" s="196">
        <f t="shared" si="24"/>
        <v>0</v>
      </c>
    </row>
    <row r="85" spans="1:32" ht="12.95" customHeight="1">
      <c r="A85" s="190">
        <v>10745</v>
      </c>
      <c r="B85" s="191">
        <v>43579</v>
      </c>
      <c r="C85" s="190" t="s">
        <v>311</v>
      </c>
      <c r="D85" s="190" t="s">
        <v>437</v>
      </c>
      <c r="E85" s="190" t="s">
        <v>346</v>
      </c>
      <c r="F85" s="190" t="s">
        <v>438</v>
      </c>
      <c r="G85" s="192" t="s">
        <v>439</v>
      </c>
      <c r="H85" s="192" t="s">
        <v>296</v>
      </c>
      <c r="I85" s="192" t="s">
        <v>349</v>
      </c>
      <c r="J85" s="192" t="s">
        <v>350</v>
      </c>
      <c r="K85" s="190" t="s">
        <v>351</v>
      </c>
      <c r="L85" s="190" t="s">
        <v>352</v>
      </c>
      <c r="M85" s="192" t="s">
        <v>353</v>
      </c>
      <c r="N85" s="193">
        <v>-32</v>
      </c>
      <c r="O85" s="193">
        <v>119700.35</v>
      </c>
      <c r="P85" s="194">
        <v>-3830411.2</v>
      </c>
      <c r="Q85" s="194">
        <v>-383041.12</v>
      </c>
      <c r="R85" s="194">
        <v>-4213452.32</v>
      </c>
      <c r="S85" s="192" t="s">
        <v>354</v>
      </c>
      <c r="T85" s="192" t="s">
        <v>355</v>
      </c>
      <c r="U85" s="190">
        <v>0</v>
      </c>
      <c r="V85" s="190"/>
      <c r="W85" s="195" t="s">
        <v>356</v>
      </c>
      <c r="X85" s="196" t="str">
        <f>+IFERROR(VLOOKUP($F85,'[2]Chuyển đổi mã'!$A$1:$C$91,3,0),$F85)&amp;AC85</f>
        <v>Big C South320463</v>
      </c>
      <c r="Y85" s="196" t="str">
        <f>IFERROR(VLOOKUP($F85,'[2]Chuyển đổi mã'!$A$1:$C$184,3,0),F85)</f>
        <v>Big C South</v>
      </c>
      <c r="Z85" s="196" t="str">
        <f>VLOOKUP($G85,'[2]Thông tin NPP'!$B:$D,3,0)</f>
        <v>Big C South</v>
      </c>
      <c r="AA85" s="196" t="str">
        <f t="shared" si="20"/>
        <v>Na 8,5g</v>
      </c>
      <c r="AB85" s="196" t="str">
        <f>IFERROR(VLOOKUP(DAY(B85),'[2]Chuyển đổi mã'!$F$1:$G$32,2,0),0)</f>
        <v>W4</v>
      </c>
      <c r="AC85" s="196" t="str">
        <f t="shared" si="21"/>
        <v>320463</v>
      </c>
      <c r="AD85" s="196" t="str">
        <f t="shared" si="22"/>
        <v>NPP</v>
      </c>
      <c r="AE85" s="196" t="str">
        <f t="shared" si="23"/>
        <v>NPP320463</v>
      </c>
      <c r="AF85" s="196">
        <f t="shared" si="24"/>
        <v>0</v>
      </c>
    </row>
    <row r="86" spans="1:32" ht="12.95" customHeight="1">
      <c r="A86" s="190">
        <v>10745</v>
      </c>
      <c r="B86" s="191">
        <v>43579</v>
      </c>
      <c r="C86" s="190" t="s">
        <v>311</v>
      </c>
      <c r="D86" s="190" t="s">
        <v>437</v>
      </c>
      <c r="E86" s="190" t="s">
        <v>346</v>
      </c>
      <c r="F86" s="190" t="s">
        <v>438</v>
      </c>
      <c r="G86" s="192" t="s">
        <v>439</v>
      </c>
      <c r="H86" s="192" t="s">
        <v>296</v>
      </c>
      <c r="I86" s="192" t="s">
        <v>349</v>
      </c>
      <c r="J86" s="192" t="s">
        <v>350</v>
      </c>
      <c r="K86" s="190" t="s">
        <v>351</v>
      </c>
      <c r="L86" s="190" t="s">
        <v>385</v>
      </c>
      <c r="M86" s="192" t="s">
        <v>386</v>
      </c>
      <c r="N86" s="193">
        <v>-27</v>
      </c>
      <c r="O86" s="193">
        <v>213273</v>
      </c>
      <c r="P86" s="194">
        <v>-5758371</v>
      </c>
      <c r="Q86" s="194">
        <v>-575837.1</v>
      </c>
      <c r="R86" s="194">
        <v>-6334208.0999999996</v>
      </c>
      <c r="S86" s="192"/>
      <c r="T86" s="192" t="s">
        <v>310</v>
      </c>
      <c r="U86" s="190">
        <v>0</v>
      </c>
      <c r="V86" s="190"/>
      <c r="W86" s="195" t="s">
        <v>356</v>
      </c>
      <c r="X86" s="196" t="str">
        <f>+IFERROR(VLOOKUP($F86,'[2]Chuyển đổi mã'!$A$1:$C$91,3,0),$F86)&amp;AC86</f>
        <v>Big C South323545</v>
      </c>
      <c r="Y86" s="196" t="str">
        <f>IFERROR(VLOOKUP($F86,'[2]Chuyển đổi mã'!$A$1:$C$184,3,0),F86)</f>
        <v>Big C South</v>
      </c>
      <c r="Z86" s="196" t="str">
        <f>VLOOKUP($G86,'[2]Thông tin NPP'!$B:$D,3,0)</f>
        <v>Big C South</v>
      </c>
      <c r="AA86" s="196" t="str">
        <f t="shared" si="20"/>
        <v>Na 17g - T</v>
      </c>
      <c r="AB86" s="196" t="str">
        <f>IFERROR(VLOOKUP(DAY(B86),'[2]Chuyển đổi mã'!$F$1:$G$32,2,0),0)</f>
        <v>W4</v>
      </c>
      <c r="AC86" s="196" t="str">
        <f t="shared" si="21"/>
        <v>323545</v>
      </c>
      <c r="AD86" s="196" t="str">
        <f t="shared" si="22"/>
        <v>NPP</v>
      </c>
      <c r="AE86" s="196" t="str">
        <f t="shared" si="23"/>
        <v>NPP323545</v>
      </c>
      <c r="AF86" s="196">
        <f t="shared" si="24"/>
        <v>0</v>
      </c>
    </row>
    <row r="87" spans="1:32" ht="12.95" customHeight="1">
      <c r="A87" s="190">
        <v>10745</v>
      </c>
      <c r="B87" s="191">
        <v>43579</v>
      </c>
      <c r="C87" s="190" t="s">
        <v>311</v>
      </c>
      <c r="D87" s="190" t="s">
        <v>437</v>
      </c>
      <c r="E87" s="190" t="s">
        <v>346</v>
      </c>
      <c r="F87" s="190" t="s">
        <v>438</v>
      </c>
      <c r="G87" s="192" t="s">
        <v>439</v>
      </c>
      <c r="H87" s="192" t="s">
        <v>296</v>
      </c>
      <c r="I87" s="192" t="s">
        <v>349</v>
      </c>
      <c r="J87" s="192" t="s">
        <v>350</v>
      </c>
      <c r="K87" s="190" t="s">
        <v>351</v>
      </c>
      <c r="L87" s="190" t="s">
        <v>387</v>
      </c>
      <c r="M87" s="192" t="s">
        <v>388</v>
      </c>
      <c r="N87" s="193">
        <v>-13</v>
      </c>
      <c r="O87" s="193">
        <v>355455</v>
      </c>
      <c r="P87" s="194">
        <v>-4620915</v>
      </c>
      <c r="Q87" s="194">
        <v>-462091.5</v>
      </c>
      <c r="R87" s="194">
        <v>-5083006.5</v>
      </c>
      <c r="S87" s="192"/>
      <c r="T87" s="192" t="s">
        <v>310</v>
      </c>
      <c r="U87" s="190">
        <v>0</v>
      </c>
      <c r="V87" s="190"/>
      <c r="W87" s="195" t="s">
        <v>356</v>
      </c>
      <c r="X87" s="196" t="str">
        <f>+IFERROR(VLOOKUP($F87,'[2]Chuyển đổi mã'!$A$1:$C$91,3,0),$F87)&amp;AC87</f>
        <v>Big C South323620</v>
      </c>
      <c r="Y87" s="196" t="str">
        <f>IFERROR(VLOOKUP($F87,'[2]Chuyển đổi mã'!$A$1:$C$184,3,0),F87)</f>
        <v>Big C South</v>
      </c>
      <c r="Z87" s="196" t="str">
        <f>VLOOKUP($G87,'[2]Thông tin NPP'!$B:$D,3,0)</f>
        <v>Big C South</v>
      </c>
      <c r="AA87" s="196" t="str">
        <f t="shared" si="20"/>
        <v>Ahh 16g</v>
      </c>
      <c r="AB87" s="196" t="str">
        <f>IFERROR(VLOOKUP(DAY(B87),'[2]Chuyển đổi mã'!$F$1:$G$32,2,0),0)</f>
        <v>W4</v>
      </c>
      <c r="AC87" s="196" t="str">
        <f t="shared" si="21"/>
        <v>323620</v>
      </c>
      <c r="AD87" s="196" t="str">
        <f t="shared" si="22"/>
        <v>NPP</v>
      </c>
      <c r="AE87" s="196" t="str">
        <f t="shared" si="23"/>
        <v>NPP323620</v>
      </c>
      <c r="AF87" s="196">
        <f t="shared" si="24"/>
        <v>0</v>
      </c>
    </row>
    <row r="88" spans="1:32" ht="12.95" customHeight="1">
      <c r="A88" s="190">
        <v>10745</v>
      </c>
      <c r="B88" s="191">
        <v>43579</v>
      </c>
      <c r="C88" s="190" t="s">
        <v>311</v>
      </c>
      <c r="D88" s="190" t="s">
        <v>437</v>
      </c>
      <c r="E88" s="190" t="s">
        <v>346</v>
      </c>
      <c r="F88" s="190" t="s">
        <v>438</v>
      </c>
      <c r="G88" s="192" t="s">
        <v>439</v>
      </c>
      <c r="H88" s="192" t="s">
        <v>296</v>
      </c>
      <c r="I88" s="192" t="s">
        <v>349</v>
      </c>
      <c r="J88" s="192" t="s">
        <v>350</v>
      </c>
      <c r="K88" s="190" t="s">
        <v>351</v>
      </c>
      <c r="L88" s="190" t="s">
        <v>359</v>
      </c>
      <c r="M88" s="192" t="s">
        <v>360</v>
      </c>
      <c r="N88" s="193">
        <v>-4</v>
      </c>
      <c r="O88" s="193">
        <v>313636</v>
      </c>
      <c r="P88" s="194">
        <v>-1254544</v>
      </c>
      <c r="Q88" s="194">
        <v>-125454.39999999999</v>
      </c>
      <c r="R88" s="194">
        <v>-1379998.4</v>
      </c>
      <c r="S88" s="192"/>
      <c r="T88" s="192" t="s">
        <v>310</v>
      </c>
      <c r="U88" s="190">
        <v>0</v>
      </c>
      <c r="V88" s="190"/>
      <c r="W88" s="195" t="s">
        <v>356</v>
      </c>
      <c r="X88" s="196" t="str">
        <f>+IFERROR(VLOOKUP($F88,'[2]Chuyển đổi mã'!$A$1:$C$91,3,0),$F88)&amp;AC88</f>
        <v>Big C South320445</v>
      </c>
      <c r="Y88" s="196" t="str">
        <f>IFERROR(VLOOKUP($F88,'[2]Chuyển đổi mã'!$A$1:$C$184,3,0),F88)</f>
        <v>Big C South</v>
      </c>
      <c r="Z88" s="196" t="str">
        <f>VLOOKUP($G88,'[2]Thông tin NPP'!$B:$D,3,0)</f>
        <v>Big C South</v>
      </c>
      <c r="AA88" s="196" t="str">
        <f t="shared" si="20"/>
        <v>Na 58g</v>
      </c>
      <c r="AB88" s="196" t="str">
        <f>IFERROR(VLOOKUP(DAY(B88),'[2]Chuyển đổi mã'!$F$1:$G$32,2,0),0)</f>
        <v>W4</v>
      </c>
      <c r="AC88" s="196" t="str">
        <f t="shared" si="21"/>
        <v>320445</v>
      </c>
      <c r="AD88" s="196" t="str">
        <f t="shared" si="22"/>
        <v>NPP</v>
      </c>
      <c r="AE88" s="196" t="str">
        <f t="shared" si="23"/>
        <v>NPP320445</v>
      </c>
      <c r="AF88" s="196">
        <f t="shared" si="24"/>
        <v>0</v>
      </c>
    </row>
    <row r="89" spans="1:32" ht="12.95" customHeight="1">
      <c r="A89" s="190">
        <v>10745</v>
      </c>
      <c r="B89" s="191">
        <v>43579</v>
      </c>
      <c r="C89" s="190" t="s">
        <v>311</v>
      </c>
      <c r="D89" s="190" t="s">
        <v>437</v>
      </c>
      <c r="E89" s="190" t="s">
        <v>346</v>
      </c>
      <c r="F89" s="190" t="s">
        <v>438</v>
      </c>
      <c r="G89" s="192" t="s">
        <v>439</v>
      </c>
      <c r="H89" s="192" t="s">
        <v>296</v>
      </c>
      <c r="I89" s="192" t="s">
        <v>349</v>
      </c>
      <c r="J89" s="192" t="s">
        <v>350</v>
      </c>
      <c r="K89" s="190" t="s">
        <v>351</v>
      </c>
      <c r="L89" s="190" t="s">
        <v>361</v>
      </c>
      <c r="M89" s="192" t="s">
        <v>362</v>
      </c>
      <c r="N89" s="193">
        <v>-7</v>
      </c>
      <c r="O89" s="193">
        <v>313636</v>
      </c>
      <c r="P89" s="194">
        <v>-2195452</v>
      </c>
      <c r="Q89" s="194">
        <v>-219545.2</v>
      </c>
      <c r="R89" s="194">
        <v>-2414997.2000000002</v>
      </c>
      <c r="S89" s="192"/>
      <c r="T89" s="192" t="s">
        <v>310</v>
      </c>
      <c r="U89" s="190">
        <v>0</v>
      </c>
      <c r="V89" s="190"/>
      <c r="W89" s="195" t="s">
        <v>356</v>
      </c>
      <c r="X89" s="196" t="str">
        <f>+IFERROR(VLOOKUP($F89,'[2]Chuyển đổi mã'!$A$1:$C$91,3,0),$F89)&amp;AC89</f>
        <v>Big C South331017</v>
      </c>
      <c r="Y89" s="196" t="str">
        <f>IFERROR(VLOOKUP($F89,'[2]Chuyển đổi mã'!$A$1:$C$184,3,0),F89)</f>
        <v>Big C South</v>
      </c>
      <c r="Z89" s="196" t="str">
        <f>VLOOKUP($G89,'[2]Thông tin NPP'!$B:$D,3,0)</f>
        <v>Big C South</v>
      </c>
      <c r="AA89" s="196" t="str">
        <f t="shared" si="20"/>
        <v>Richoco Wf</v>
      </c>
      <c r="AB89" s="196" t="str">
        <f>IFERROR(VLOOKUP(DAY(B89),'[2]Chuyển đổi mã'!$F$1:$G$32,2,0),0)</f>
        <v>W4</v>
      </c>
      <c r="AC89" s="196" t="str">
        <f t="shared" si="21"/>
        <v>331017</v>
      </c>
      <c r="AD89" s="196" t="str">
        <f t="shared" si="22"/>
        <v>NPP</v>
      </c>
      <c r="AE89" s="196" t="str">
        <f t="shared" si="23"/>
        <v>NPP331017</v>
      </c>
      <c r="AF89" s="196">
        <f t="shared" si="24"/>
        <v>0</v>
      </c>
    </row>
    <row r="90" spans="1:32" ht="12.95" hidden="1" customHeight="1">
      <c r="A90" s="190">
        <v>10779</v>
      </c>
      <c r="B90" s="191">
        <v>43581</v>
      </c>
      <c r="C90" s="190" t="s">
        <v>311</v>
      </c>
      <c r="D90" s="190" t="s">
        <v>440</v>
      </c>
      <c r="E90" s="190" t="s">
        <v>346</v>
      </c>
      <c r="F90" s="190" t="s">
        <v>441</v>
      </c>
      <c r="G90" s="192" t="s">
        <v>442</v>
      </c>
      <c r="H90" s="192" t="s">
        <v>296</v>
      </c>
      <c r="I90" s="192" t="s">
        <v>443</v>
      </c>
      <c r="J90" s="192" t="s">
        <v>350</v>
      </c>
      <c r="K90" s="190" t="s">
        <v>351</v>
      </c>
      <c r="L90" s="190" t="s">
        <v>352</v>
      </c>
      <c r="M90" s="192" t="s">
        <v>353</v>
      </c>
      <c r="N90" s="193">
        <v>-10</v>
      </c>
      <c r="O90" s="193">
        <v>119700.35</v>
      </c>
      <c r="P90" s="194">
        <v>-1197003.5</v>
      </c>
      <c r="Q90" s="194">
        <v>-119700.35</v>
      </c>
      <c r="R90" s="194">
        <v>-1316703.8500000001</v>
      </c>
      <c r="S90" s="192" t="s">
        <v>354</v>
      </c>
      <c r="T90" s="192" t="s">
        <v>355</v>
      </c>
      <c r="U90" s="190">
        <v>0</v>
      </c>
      <c r="V90" s="190"/>
      <c r="W90" s="195" t="s">
        <v>356</v>
      </c>
      <c r="X90" s="196" t="str">
        <f>+IFERROR(VLOOKUP($F90,'[2]Chuyển đổi mã'!$A$1:$C$91,3,0),$F90)&amp;AC90</f>
        <v>Big C Central320463</v>
      </c>
      <c r="Y90" s="196" t="str">
        <f>IFERROR(VLOOKUP($F90,'[2]Chuyển đổi mã'!$A$1:$C$184,3,0),F90)</f>
        <v>Big C Central</v>
      </c>
      <c r="Z90" s="196" t="str">
        <f>VLOOKUP($G90,'[2]Thông tin NPP'!$B:$D,3,0)</f>
        <v>BIG C Central</v>
      </c>
      <c r="AA90" s="196" t="str">
        <f t="shared" si="20"/>
        <v>Na 8,5g</v>
      </c>
      <c r="AB90" s="196" t="str">
        <f>IFERROR(VLOOKUP(DAY(B90),'[2]Chuyển đổi mã'!$F$1:$G$32,2,0),0)</f>
        <v>W4</v>
      </c>
      <c r="AC90" s="196" t="str">
        <f t="shared" si="21"/>
        <v>320463</v>
      </c>
      <c r="AD90" s="196" t="str">
        <f t="shared" si="22"/>
        <v>NPP</v>
      </c>
      <c r="AE90" s="196" t="str">
        <f t="shared" si="23"/>
        <v>NPP320463</v>
      </c>
      <c r="AF90" s="196">
        <f t="shared" si="24"/>
        <v>0</v>
      </c>
    </row>
    <row r="91" spans="1:32" ht="12.95" hidden="1" customHeight="1">
      <c r="A91" s="190">
        <v>10779</v>
      </c>
      <c r="B91" s="191">
        <v>43581</v>
      </c>
      <c r="C91" s="190" t="s">
        <v>311</v>
      </c>
      <c r="D91" s="190" t="s">
        <v>440</v>
      </c>
      <c r="E91" s="190" t="s">
        <v>346</v>
      </c>
      <c r="F91" s="190" t="s">
        <v>441</v>
      </c>
      <c r="G91" s="192" t="s">
        <v>442</v>
      </c>
      <c r="H91" s="192" t="s">
        <v>296</v>
      </c>
      <c r="I91" s="192" t="s">
        <v>443</v>
      </c>
      <c r="J91" s="192" t="s">
        <v>350</v>
      </c>
      <c r="K91" s="190" t="s">
        <v>351</v>
      </c>
      <c r="L91" s="190" t="s">
        <v>359</v>
      </c>
      <c r="M91" s="192" t="s">
        <v>360</v>
      </c>
      <c r="N91" s="193">
        <v>-1</v>
      </c>
      <c r="O91" s="193">
        <v>313636</v>
      </c>
      <c r="P91" s="194">
        <v>-313636</v>
      </c>
      <c r="Q91" s="194">
        <v>-31363.599999999999</v>
      </c>
      <c r="R91" s="194">
        <v>-344999.6</v>
      </c>
      <c r="S91" s="192"/>
      <c r="T91" s="192" t="s">
        <v>310</v>
      </c>
      <c r="U91" s="190">
        <v>0</v>
      </c>
      <c r="V91" s="190"/>
      <c r="W91" s="195" t="s">
        <v>356</v>
      </c>
      <c r="X91" s="196" t="str">
        <f>+IFERROR(VLOOKUP($F91,'[2]Chuyển đổi mã'!$A$1:$C$91,3,0),$F91)&amp;AC91</f>
        <v>Big C Central320445</v>
      </c>
      <c r="Y91" s="196" t="str">
        <f>IFERROR(VLOOKUP($F91,'[2]Chuyển đổi mã'!$A$1:$C$184,3,0),F91)</f>
        <v>Big C Central</v>
      </c>
      <c r="Z91" s="196" t="str">
        <f>VLOOKUP($G91,'[2]Thông tin NPP'!$B:$D,3,0)</f>
        <v>BIG C Central</v>
      </c>
      <c r="AA91" s="196" t="str">
        <f t="shared" si="20"/>
        <v>Na 58g</v>
      </c>
      <c r="AB91" s="196" t="str">
        <f>IFERROR(VLOOKUP(DAY(B91),'[2]Chuyển đổi mã'!$F$1:$G$32,2,0),0)</f>
        <v>W4</v>
      </c>
      <c r="AC91" s="196" t="str">
        <f t="shared" si="21"/>
        <v>320445</v>
      </c>
      <c r="AD91" s="196" t="str">
        <f t="shared" si="22"/>
        <v>NPP</v>
      </c>
      <c r="AE91" s="196" t="str">
        <f t="shared" si="23"/>
        <v>NPP320445</v>
      </c>
      <c r="AF91" s="196">
        <f t="shared" si="24"/>
        <v>0</v>
      </c>
    </row>
    <row r="92" spans="1:32" ht="12.95" hidden="1" customHeight="1">
      <c r="A92" s="190">
        <v>10779</v>
      </c>
      <c r="B92" s="191">
        <v>43581</v>
      </c>
      <c r="C92" s="190" t="s">
        <v>311</v>
      </c>
      <c r="D92" s="190" t="s">
        <v>440</v>
      </c>
      <c r="E92" s="190" t="s">
        <v>346</v>
      </c>
      <c r="F92" s="190" t="s">
        <v>441</v>
      </c>
      <c r="G92" s="192" t="s">
        <v>442</v>
      </c>
      <c r="H92" s="192" t="s">
        <v>296</v>
      </c>
      <c r="I92" s="192" t="s">
        <v>443</v>
      </c>
      <c r="J92" s="192" t="s">
        <v>350</v>
      </c>
      <c r="K92" s="190" t="s">
        <v>351</v>
      </c>
      <c r="L92" s="190" t="s">
        <v>363</v>
      </c>
      <c r="M92" s="192" t="s">
        <v>364</v>
      </c>
      <c r="N92" s="193">
        <v>-5</v>
      </c>
      <c r="O92" s="193">
        <v>334545</v>
      </c>
      <c r="P92" s="194">
        <v>-1672725</v>
      </c>
      <c r="Q92" s="194">
        <v>-167272.5</v>
      </c>
      <c r="R92" s="194">
        <v>-1839997.5</v>
      </c>
      <c r="S92" s="192"/>
      <c r="T92" s="192" t="s">
        <v>310</v>
      </c>
      <c r="U92" s="190">
        <v>0</v>
      </c>
      <c r="V92" s="190"/>
      <c r="W92" s="195" t="s">
        <v>356</v>
      </c>
      <c r="X92" s="196" t="str">
        <f>+IFERROR(VLOOKUP($F92,'[2]Chuyển đổi mã'!$A$1:$C$91,3,0),$F92)&amp;AC92</f>
        <v>Big C Central323708</v>
      </c>
      <c r="Y92" s="196" t="str">
        <f>IFERROR(VLOOKUP($F92,'[2]Chuyển đổi mã'!$A$1:$C$184,3,0),F92)</f>
        <v>Big C Central</v>
      </c>
      <c r="Z92" s="196" t="str">
        <f>VLOOKUP($G92,'[2]Thông tin NPP'!$B:$D,3,0)</f>
        <v>BIG C Central</v>
      </c>
      <c r="AA92" s="196" t="str">
        <f t="shared" si="20"/>
        <v>Nextar Bro</v>
      </c>
      <c r="AB92" s="196" t="str">
        <f>IFERROR(VLOOKUP(DAY(B92),'[2]Chuyển đổi mã'!$F$1:$G$32,2,0),0)</f>
        <v>W4</v>
      </c>
      <c r="AC92" s="196" t="str">
        <f t="shared" si="21"/>
        <v>323708</v>
      </c>
      <c r="AD92" s="196" t="str">
        <f t="shared" si="22"/>
        <v>NPP</v>
      </c>
      <c r="AE92" s="196" t="str">
        <f t="shared" si="23"/>
        <v>NPP323708</v>
      </c>
      <c r="AF92" s="196">
        <f t="shared" si="24"/>
        <v>0</v>
      </c>
    </row>
    <row r="93" spans="1:32" ht="12.95" hidden="1" customHeight="1">
      <c r="A93" s="190">
        <v>10779</v>
      </c>
      <c r="B93" s="191">
        <v>43581</v>
      </c>
      <c r="C93" s="190" t="s">
        <v>311</v>
      </c>
      <c r="D93" s="190" t="s">
        <v>440</v>
      </c>
      <c r="E93" s="190" t="s">
        <v>346</v>
      </c>
      <c r="F93" s="190" t="s">
        <v>441</v>
      </c>
      <c r="G93" s="192" t="s">
        <v>442</v>
      </c>
      <c r="H93" s="192" t="s">
        <v>296</v>
      </c>
      <c r="I93" s="192" t="s">
        <v>443</v>
      </c>
      <c r="J93" s="192" t="s">
        <v>350</v>
      </c>
      <c r="K93" s="190" t="s">
        <v>351</v>
      </c>
      <c r="L93" s="190" t="s">
        <v>365</v>
      </c>
      <c r="M93" s="192" t="s">
        <v>366</v>
      </c>
      <c r="N93" s="193">
        <v>-5</v>
      </c>
      <c r="O93" s="193">
        <v>313636</v>
      </c>
      <c r="P93" s="194">
        <v>-1568180</v>
      </c>
      <c r="Q93" s="194">
        <v>-156818</v>
      </c>
      <c r="R93" s="194">
        <v>-1724998</v>
      </c>
      <c r="S93" s="192"/>
      <c r="T93" s="192" t="s">
        <v>310</v>
      </c>
      <c r="U93" s="190">
        <v>0</v>
      </c>
      <c r="V93" s="190"/>
      <c r="W93" s="195" t="s">
        <v>356</v>
      </c>
      <c r="X93" s="196" t="str">
        <f>+IFERROR(VLOOKUP($F93,'[2]Chuyển đổi mã'!$A$1:$C$91,3,0),$F93)&amp;AC93</f>
        <v>Big C Central323709</v>
      </c>
      <c r="Y93" s="196" t="str">
        <f>IFERROR(VLOOKUP($F93,'[2]Chuyển đổi mã'!$A$1:$C$184,3,0),F93)</f>
        <v>Big C Central</v>
      </c>
      <c r="Z93" s="196" t="str">
        <f>VLOOKUP($G93,'[2]Thông tin NPP'!$B:$D,3,0)</f>
        <v>BIG C Central</v>
      </c>
      <c r="AA93" s="196" t="str">
        <f t="shared" si="20"/>
        <v>Nextar Bro</v>
      </c>
      <c r="AB93" s="196" t="str">
        <f>IFERROR(VLOOKUP(DAY(B93),'[2]Chuyển đổi mã'!$F$1:$G$32,2,0),0)</f>
        <v>W4</v>
      </c>
      <c r="AC93" s="196" t="str">
        <f t="shared" si="21"/>
        <v>323709</v>
      </c>
      <c r="AD93" s="196" t="str">
        <f t="shared" si="22"/>
        <v>NPP</v>
      </c>
      <c r="AE93" s="196" t="str">
        <f t="shared" si="23"/>
        <v>NPP323709</v>
      </c>
      <c r="AF93" s="196">
        <f t="shared" si="24"/>
        <v>0</v>
      </c>
    </row>
    <row r="94" spans="1:32" ht="12.95" hidden="1" customHeight="1">
      <c r="A94" s="190">
        <v>10778</v>
      </c>
      <c r="B94" s="191">
        <v>43581</v>
      </c>
      <c r="C94" s="190" t="s">
        <v>311</v>
      </c>
      <c r="D94" s="190" t="s">
        <v>444</v>
      </c>
      <c r="E94" s="190" t="s">
        <v>346</v>
      </c>
      <c r="F94" s="190" t="s">
        <v>393</v>
      </c>
      <c r="G94" s="192" t="s">
        <v>394</v>
      </c>
      <c r="H94" s="192" t="s">
        <v>296</v>
      </c>
      <c r="I94" s="192" t="s">
        <v>395</v>
      </c>
      <c r="J94" s="192" t="s">
        <v>350</v>
      </c>
      <c r="K94" s="190" t="s">
        <v>351</v>
      </c>
      <c r="L94" s="190" t="s">
        <v>352</v>
      </c>
      <c r="M94" s="192" t="s">
        <v>353</v>
      </c>
      <c r="N94" s="193">
        <v>-5</v>
      </c>
      <c r="O94" s="193">
        <v>119700.35</v>
      </c>
      <c r="P94" s="194">
        <v>-598501.75</v>
      </c>
      <c r="Q94" s="194">
        <v>-59850.175000000003</v>
      </c>
      <c r="R94" s="194">
        <v>-658351.92500000005</v>
      </c>
      <c r="S94" s="192" t="s">
        <v>354</v>
      </c>
      <c r="T94" s="192" t="s">
        <v>355</v>
      </c>
      <c r="U94" s="190">
        <v>0</v>
      </c>
      <c r="V94" s="190"/>
      <c r="W94" s="195" t="s">
        <v>356</v>
      </c>
      <c r="X94" s="196" t="str">
        <f>+IFERROR(VLOOKUP($F94,'[2]Chuyển đổi mã'!$A$1:$C$91,3,0),$F94)&amp;AC94</f>
        <v>Big C North320463</v>
      </c>
      <c r="Y94" s="196" t="str">
        <f>IFERROR(VLOOKUP($F94,'[2]Chuyển đổi mã'!$A$1:$C$184,3,0),F94)</f>
        <v>Big C North</v>
      </c>
      <c r="Z94" s="196" t="str">
        <f>VLOOKUP($G94,'[2]Thông tin NPP'!$B:$D,3,0)</f>
        <v>BIG C North</v>
      </c>
      <c r="AA94" s="196" t="str">
        <f t="shared" si="20"/>
        <v>Na 8,5g</v>
      </c>
      <c r="AB94" s="196" t="str">
        <f>IFERROR(VLOOKUP(DAY(B94),'[2]Chuyển đổi mã'!$F$1:$G$32,2,0),0)</f>
        <v>W4</v>
      </c>
      <c r="AC94" s="196" t="str">
        <f t="shared" si="21"/>
        <v>320463</v>
      </c>
      <c r="AD94" s="196" t="str">
        <f t="shared" si="22"/>
        <v>NPP</v>
      </c>
      <c r="AE94" s="196" t="str">
        <f t="shared" si="23"/>
        <v>NPP320463</v>
      </c>
      <c r="AF94" s="196">
        <f t="shared" si="24"/>
        <v>0</v>
      </c>
    </row>
    <row r="95" spans="1:32" ht="12.95" hidden="1" customHeight="1">
      <c r="A95" s="190">
        <v>10778</v>
      </c>
      <c r="B95" s="191">
        <v>43581</v>
      </c>
      <c r="C95" s="190" t="s">
        <v>311</v>
      </c>
      <c r="D95" s="190" t="s">
        <v>444</v>
      </c>
      <c r="E95" s="190" t="s">
        <v>346</v>
      </c>
      <c r="F95" s="190" t="s">
        <v>393</v>
      </c>
      <c r="G95" s="192" t="s">
        <v>394</v>
      </c>
      <c r="H95" s="192" t="s">
        <v>296</v>
      </c>
      <c r="I95" s="192" t="s">
        <v>395</v>
      </c>
      <c r="J95" s="192" t="s">
        <v>350</v>
      </c>
      <c r="K95" s="190" t="s">
        <v>351</v>
      </c>
      <c r="L95" s="190" t="s">
        <v>357</v>
      </c>
      <c r="M95" s="192" t="s">
        <v>358</v>
      </c>
      <c r="N95" s="193">
        <v>-5</v>
      </c>
      <c r="O95" s="193">
        <v>213273</v>
      </c>
      <c r="P95" s="194">
        <v>-1066365</v>
      </c>
      <c r="Q95" s="194">
        <v>-106636.5</v>
      </c>
      <c r="R95" s="194">
        <v>-1173001.5</v>
      </c>
      <c r="S95" s="192"/>
      <c r="T95" s="192" t="s">
        <v>310</v>
      </c>
      <c r="U95" s="190">
        <v>0</v>
      </c>
      <c r="V95" s="190"/>
      <c r="W95" s="195" t="s">
        <v>356</v>
      </c>
      <c r="X95" s="196" t="str">
        <f>+IFERROR(VLOOKUP($F95,'[2]Chuyển đổi mã'!$A$1:$C$91,3,0),$F95)&amp;AC95</f>
        <v>Big C North323555</v>
      </c>
      <c r="Y95" s="196" t="str">
        <f>IFERROR(VLOOKUP($F95,'[2]Chuyển đổi mã'!$A$1:$C$184,3,0),F95)</f>
        <v>Big C North</v>
      </c>
      <c r="Z95" s="196" t="str">
        <f>VLOOKUP($G95,'[2]Thông tin NPP'!$B:$D,3,0)</f>
        <v>BIG C North</v>
      </c>
      <c r="AA95" s="196" t="str">
        <f t="shared" si="20"/>
        <v>Na 17g - M</v>
      </c>
      <c r="AB95" s="196" t="str">
        <f>IFERROR(VLOOKUP(DAY(B95),'[2]Chuyển đổi mã'!$F$1:$G$32,2,0),0)</f>
        <v>W4</v>
      </c>
      <c r="AC95" s="196" t="str">
        <f t="shared" si="21"/>
        <v>323555</v>
      </c>
      <c r="AD95" s="196" t="str">
        <f t="shared" si="22"/>
        <v>NPP</v>
      </c>
      <c r="AE95" s="196" t="str">
        <f t="shared" si="23"/>
        <v>NPP323555</v>
      </c>
      <c r="AF95" s="196">
        <f t="shared" si="24"/>
        <v>0</v>
      </c>
    </row>
    <row r="96" spans="1:32" ht="12.95" hidden="1" customHeight="1">
      <c r="A96" s="190">
        <v>10778</v>
      </c>
      <c r="B96" s="191">
        <v>43581</v>
      </c>
      <c r="C96" s="190" t="s">
        <v>311</v>
      </c>
      <c r="D96" s="190" t="s">
        <v>444</v>
      </c>
      <c r="E96" s="190" t="s">
        <v>346</v>
      </c>
      <c r="F96" s="190" t="s">
        <v>393</v>
      </c>
      <c r="G96" s="192" t="s">
        <v>394</v>
      </c>
      <c r="H96" s="192" t="s">
        <v>296</v>
      </c>
      <c r="I96" s="192" t="s">
        <v>395</v>
      </c>
      <c r="J96" s="192" t="s">
        <v>350</v>
      </c>
      <c r="K96" s="190" t="s">
        <v>351</v>
      </c>
      <c r="L96" s="190" t="s">
        <v>359</v>
      </c>
      <c r="M96" s="192" t="s">
        <v>360</v>
      </c>
      <c r="N96" s="193">
        <v>-2</v>
      </c>
      <c r="O96" s="193">
        <v>313636</v>
      </c>
      <c r="P96" s="194">
        <v>-627272</v>
      </c>
      <c r="Q96" s="194">
        <v>-62727.199999999997</v>
      </c>
      <c r="R96" s="194">
        <v>-689999.2</v>
      </c>
      <c r="S96" s="192"/>
      <c r="T96" s="192" t="s">
        <v>310</v>
      </c>
      <c r="U96" s="190">
        <v>0</v>
      </c>
      <c r="V96" s="190"/>
      <c r="W96" s="195" t="s">
        <v>356</v>
      </c>
      <c r="X96" s="196" t="str">
        <f>+IFERROR(VLOOKUP($F96,'[2]Chuyển đổi mã'!$A$1:$C$91,3,0),$F96)&amp;AC96</f>
        <v>Big C North320445</v>
      </c>
      <c r="Y96" s="196" t="str">
        <f>IFERROR(VLOOKUP($F96,'[2]Chuyển đổi mã'!$A$1:$C$184,3,0),F96)</f>
        <v>Big C North</v>
      </c>
      <c r="Z96" s="196" t="str">
        <f>VLOOKUP($G96,'[2]Thông tin NPP'!$B:$D,3,0)</f>
        <v>BIG C North</v>
      </c>
      <c r="AA96" s="196" t="str">
        <f t="shared" si="20"/>
        <v>Na 58g</v>
      </c>
      <c r="AB96" s="196" t="str">
        <f>IFERROR(VLOOKUP(DAY(B96),'[2]Chuyển đổi mã'!$F$1:$G$32,2,0),0)</f>
        <v>W4</v>
      </c>
      <c r="AC96" s="196" t="str">
        <f t="shared" si="21"/>
        <v>320445</v>
      </c>
      <c r="AD96" s="196" t="str">
        <f t="shared" si="22"/>
        <v>NPP</v>
      </c>
      <c r="AE96" s="196" t="str">
        <f t="shared" si="23"/>
        <v>NPP320445</v>
      </c>
      <c r="AF96" s="196">
        <f t="shared" si="24"/>
        <v>0</v>
      </c>
    </row>
    <row r="97" spans="1:32" ht="12.95" hidden="1" customHeight="1">
      <c r="A97" s="190">
        <v>10778</v>
      </c>
      <c r="B97" s="191">
        <v>43581</v>
      </c>
      <c r="C97" s="190" t="s">
        <v>311</v>
      </c>
      <c r="D97" s="190" t="s">
        <v>444</v>
      </c>
      <c r="E97" s="190" t="s">
        <v>346</v>
      </c>
      <c r="F97" s="190" t="s">
        <v>393</v>
      </c>
      <c r="G97" s="192" t="s">
        <v>394</v>
      </c>
      <c r="H97" s="192" t="s">
        <v>296</v>
      </c>
      <c r="I97" s="192" t="s">
        <v>395</v>
      </c>
      <c r="J97" s="192" t="s">
        <v>350</v>
      </c>
      <c r="K97" s="190" t="s">
        <v>351</v>
      </c>
      <c r="L97" s="190" t="s">
        <v>361</v>
      </c>
      <c r="M97" s="192" t="s">
        <v>362</v>
      </c>
      <c r="N97" s="193">
        <v>-1</v>
      </c>
      <c r="O97" s="193">
        <v>313636</v>
      </c>
      <c r="P97" s="194">
        <v>-313636</v>
      </c>
      <c r="Q97" s="194">
        <v>-31363.599999999999</v>
      </c>
      <c r="R97" s="194">
        <v>-344999.6</v>
      </c>
      <c r="S97" s="192"/>
      <c r="T97" s="192" t="s">
        <v>310</v>
      </c>
      <c r="U97" s="190">
        <v>0</v>
      </c>
      <c r="V97" s="190"/>
      <c r="W97" s="195" t="s">
        <v>356</v>
      </c>
      <c r="X97" s="196" t="str">
        <f>+IFERROR(VLOOKUP($F97,'[2]Chuyển đổi mã'!$A$1:$C$91,3,0),$F97)&amp;AC97</f>
        <v>Big C North331017</v>
      </c>
      <c r="Y97" s="196" t="str">
        <f>IFERROR(VLOOKUP($F97,'[2]Chuyển đổi mã'!$A$1:$C$184,3,0),F97)</f>
        <v>Big C North</v>
      </c>
      <c r="Z97" s="196" t="str">
        <f>VLOOKUP($G97,'[2]Thông tin NPP'!$B:$D,3,0)</f>
        <v>BIG C North</v>
      </c>
      <c r="AA97" s="196" t="str">
        <f t="shared" si="20"/>
        <v>Richoco Wf</v>
      </c>
      <c r="AB97" s="196" t="str">
        <f>IFERROR(VLOOKUP(DAY(B97),'[2]Chuyển đổi mã'!$F$1:$G$32,2,0),0)</f>
        <v>W4</v>
      </c>
      <c r="AC97" s="196" t="str">
        <f t="shared" si="21"/>
        <v>331017</v>
      </c>
      <c r="AD97" s="196" t="str">
        <f t="shared" si="22"/>
        <v>NPP</v>
      </c>
      <c r="AE97" s="196" t="str">
        <f t="shared" si="23"/>
        <v>NPP331017</v>
      </c>
      <c r="AF97" s="196">
        <f t="shared" si="24"/>
        <v>0</v>
      </c>
    </row>
    <row r="98" spans="1:32" ht="12.95" hidden="1" customHeight="1">
      <c r="A98" s="190">
        <v>10778</v>
      </c>
      <c r="B98" s="191">
        <v>43581</v>
      </c>
      <c r="C98" s="190" t="s">
        <v>311</v>
      </c>
      <c r="D98" s="190" t="s">
        <v>444</v>
      </c>
      <c r="E98" s="190" t="s">
        <v>346</v>
      </c>
      <c r="F98" s="190" t="s">
        <v>393</v>
      </c>
      <c r="G98" s="192" t="s">
        <v>394</v>
      </c>
      <c r="H98" s="192" t="s">
        <v>296</v>
      </c>
      <c r="I98" s="192" t="s">
        <v>395</v>
      </c>
      <c r="J98" s="192" t="s">
        <v>350</v>
      </c>
      <c r="K98" s="190" t="s">
        <v>351</v>
      </c>
      <c r="L98" s="190" t="s">
        <v>363</v>
      </c>
      <c r="M98" s="192" t="s">
        <v>364</v>
      </c>
      <c r="N98" s="193">
        <v>-3</v>
      </c>
      <c r="O98" s="193">
        <v>334545</v>
      </c>
      <c r="P98" s="194">
        <v>-1003635</v>
      </c>
      <c r="Q98" s="194">
        <v>-100363.5</v>
      </c>
      <c r="R98" s="194">
        <v>-1103998.5</v>
      </c>
      <c r="S98" s="192"/>
      <c r="T98" s="192" t="s">
        <v>310</v>
      </c>
      <c r="U98" s="190">
        <v>0</v>
      </c>
      <c r="V98" s="190"/>
      <c r="W98" s="195" t="s">
        <v>356</v>
      </c>
      <c r="X98" s="196" t="str">
        <f>+IFERROR(VLOOKUP($F98,'[2]Chuyển đổi mã'!$A$1:$C$91,3,0),$F98)&amp;AC98</f>
        <v>Big C North323708</v>
      </c>
      <c r="Y98" s="196" t="str">
        <f>IFERROR(VLOOKUP($F98,'[2]Chuyển đổi mã'!$A$1:$C$184,3,0),F98)</f>
        <v>Big C North</v>
      </c>
      <c r="Z98" s="196" t="str">
        <f>VLOOKUP($G98,'[2]Thông tin NPP'!$B:$D,3,0)</f>
        <v>BIG C North</v>
      </c>
      <c r="AA98" s="196" t="str">
        <f t="shared" si="20"/>
        <v>Nextar Bro</v>
      </c>
      <c r="AB98" s="196" t="str">
        <f>IFERROR(VLOOKUP(DAY(B98),'[2]Chuyển đổi mã'!$F$1:$G$32,2,0),0)</f>
        <v>W4</v>
      </c>
      <c r="AC98" s="196" t="str">
        <f t="shared" si="21"/>
        <v>323708</v>
      </c>
      <c r="AD98" s="196" t="str">
        <f t="shared" si="22"/>
        <v>NPP</v>
      </c>
      <c r="AE98" s="196" t="str">
        <f t="shared" si="23"/>
        <v>NPP323708</v>
      </c>
      <c r="AF98" s="196">
        <f t="shared" si="24"/>
        <v>0</v>
      </c>
    </row>
    <row r="99" spans="1:32" ht="12.95" hidden="1" customHeight="1">
      <c r="A99" s="190">
        <v>10778</v>
      </c>
      <c r="B99" s="191">
        <v>43581</v>
      </c>
      <c r="C99" s="190" t="s">
        <v>311</v>
      </c>
      <c r="D99" s="190" t="s">
        <v>444</v>
      </c>
      <c r="E99" s="190" t="s">
        <v>346</v>
      </c>
      <c r="F99" s="190" t="s">
        <v>393</v>
      </c>
      <c r="G99" s="192" t="s">
        <v>394</v>
      </c>
      <c r="H99" s="192" t="s">
        <v>296</v>
      </c>
      <c r="I99" s="192" t="s">
        <v>395</v>
      </c>
      <c r="J99" s="192" t="s">
        <v>350</v>
      </c>
      <c r="K99" s="190" t="s">
        <v>351</v>
      </c>
      <c r="L99" s="190" t="s">
        <v>365</v>
      </c>
      <c r="M99" s="192" t="s">
        <v>366</v>
      </c>
      <c r="N99" s="193">
        <v>-2</v>
      </c>
      <c r="O99" s="193">
        <v>313636</v>
      </c>
      <c r="P99" s="194">
        <v>-627272</v>
      </c>
      <c r="Q99" s="194">
        <v>-62727.199999999997</v>
      </c>
      <c r="R99" s="194">
        <v>-689999.2</v>
      </c>
      <c r="S99" s="192"/>
      <c r="T99" s="192" t="s">
        <v>310</v>
      </c>
      <c r="U99" s="190">
        <v>0</v>
      </c>
      <c r="V99" s="190"/>
      <c r="W99" s="195" t="s">
        <v>356</v>
      </c>
      <c r="X99" s="196" t="str">
        <f>+IFERROR(VLOOKUP($F99,'[2]Chuyển đổi mã'!$A$1:$C$91,3,0),$F99)&amp;AC99</f>
        <v>Big C North323709</v>
      </c>
      <c r="Y99" s="196" t="str">
        <f>IFERROR(VLOOKUP($F99,'[2]Chuyển đổi mã'!$A$1:$C$184,3,0),F99)</f>
        <v>Big C North</v>
      </c>
      <c r="Z99" s="196" t="str">
        <f>VLOOKUP($G99,'[2]Thông tin NPP'!$B:$D,3,0)</f>
        <v>BIG C North</v>
      </c>
      <c r="AA99" s="196" t="str">
        <f t="shared" si="20"/>
        <v>Nextar Bro</v>
      </c>
      <c r="AB99" s="196" t="str">
        <f>IFERROR(VLOOKUP(DAY(B99),'[2]Chuyển đổi mã'!$F$1:$G$32,2,0),0)</f>
        <v>W4</v>
      </c>
      <c r="AC99" s="196" t="str">
        <f t="shared" si="21"/>
        <v>323709</v>
      </c>
      <c r="AD99" s="196" t="str">
        <f t="shared" si="22"/>
        <v>NPP</v>
      </c>
      <c r="AE99" s="196" t="str">
        <f t="shared" si="23"/>
        <v>NPP323709</v>
      </c>
      <c r="AF99" s="196">
        <f t="shared" si="24"/>
        <v>0</v>
      </c>
    </row>
    <row r="100" spans="1:32" ht="12.95" hidden="1" customHeight="1">
      <c r="A100" s="190">
        <v>10774</v>
      </c>
      <c r="B100" s="191">
        <v>43581</v>
      </c>
      <c r="C100" s="190" t="s">
        <v>311</v>
      </c>
      <c r="D100" s="190" t="s">
        <v>445</v>
      </c>
      <c r="E100" s="190" t="s">
        <v>346</v>
      </c>
      <c r="F100" s="190" t="s">
        <v>389</v>
      </c>
      <c r="G100" s="192" t="s">
        <v>390</v>
      </c>
      <c r="H100" s="192" t="s">
        <v>296</v>
      </c>
      <c r="I100" s="192" t="s">
        <v>391</v>
      </c>
      <c r="J100" s="192" t="s">
        <v>350</v>
      </c>
      <c r="K100" s="190" t="s">
        <v>351</v>
      </c>
      <c r="L100" s="190" t="s">
        <v>352</v>
      </c>
      <c r="M100" s="192" t="s">
        <v>353</v>
      </c>
      <c r="N100" s="193">
        <v>-1000</v>
      </c>
      <c r="O100" s="193">
        <v>106905</v>
      </c>
      <c r="P100" s="194">
        <v>-106905000</v>
      </c>
      <c r="Q100" s="194">
        <v>-10690500</v>
      </c>
      <c r="R100" s="194">
        <v>-117595500</v>
      </c>
      <c r="S100" s="192"/>
      <c r="T100" s="192" t="s">
        <v>310</v>
      </c>
      <c r="U100" s="190">
        <v>0</v>
      </c>
      <c r="V100" s="190"/>
      <c r="W100" s="195" t="s">
        <v>356</v>
      </c>
      <c r="X100" s="196" t="str">
        <f>+IFERROR(VLOOKUP($F100,'[2]Chuyển đổi mã'!$A$1:$C$91,3,0),$F100)&amp;AC100</f>
        <v>NPP00000468320463</v>
      </c>
      <c r="Y100" s="196" t="str">
        <f>IFERROR(VLOOKUP($F100,'[2]Chuyển đổi mã'!$A$1:$C$184,3,0),F100)</f>
        <v>NPP00000468</v>
      </c>
      <c r="Z100" s="196" t="e">
        <f>VLOOKUP($G100,'[2]Thông tin NPP'!$B:$D,3,0)</f>
        <v>#N/A</v>
      </c>
      <c r="AA100" s="196" t="str">
        <f t="shared" si="20"/>
        <v>Na 8,5g</v>
      </c>
      <c r="AB100" s="196" t="str">
        <f>IFERROR(VLOOKUP(DAY(B100),'[2]Chuyển đổi mã'!$F$1:$G$32,2,0),0)</f>
        <v>W4</v>
      </c>
      <c r="AC100" s="196" t="str">
        <f t="shared" si="21"/>
        <v>320463</v>
      </c>
      <c r="AD100" s="196" t="str">
        <f t="shared" si="22"/>
        <v>NPP</v>
      </c>
      <c r="AE100" s="196" t="str">
        <f t="shared" si="23"/>
        <v>NPP320463</v>
      </c>
      <c r="AF100" s="196">
        <f t="shared" si="24"/>
        <v>0</v>
      </c>
    </row>
    <row r="101" spans="1:32" ht="12.95" hidden="1" customHeight="1">
      <c r="A101" s="190">
        <v>10774</v>
      </c>
      <c r="B101" s="191">
        <v>43581</v>
      </c>
      <c r="C101" s="190" t="s">
        <v>311</v>
      </c>
      <c r="D101" s="190" t="s">
        <v>445</v>
      </c>
      <c r="E101" s="190" t="s">
        <v>346</v>
      </c>
      <c r="F101" s="190" t="s">
        <v>389</v>
      </c>
      <c r="G101" s="192" t="s">
        <v>390</v>
      </c>
      <c r="H101" s="192" t="s">
        <v>296</v>
      </c>
      <c r="I101" s="192" t="s">
        <v>391</v>
      </c>
      <c r="J101" s="192" t="s">
        <v>350</v>
      </c>
      <c r="K101" s="190" t="s">
        <v>351</v>
      </c>
      <c r="L101" s="190" t="s">
        <v>359</v>
      </c>
      <c r="M101" s="192" t="s">
        <v>360</v>
      </c>
      <c r="N101" s="193">
        <v>-170</v>
      </c>
      <c r="O101" s="193">
        <v>273000</v>
      </c>
      <c r="P101" s="194">
        <v>-46410000</v>
      </c>
      <c r="Q101" s="194">
        <v>-4641000</v>
      </c>
      <c r="R101" s="194">
        <v>-51051000</v>
      </c>
      <c r="S101" s="192"/>
      <c r="T101" s="192" t="s">
        <v>310</v>
      </c>
      <c r="U101" s="190">
        <v>0</v>
      </c>
      <c r="V101" s="190"/>
      <c r="W101" s="195" t="s">
        <v>356</v>
      </c>
      <c r="X101" s="196" t="str">
        <f>+IFERROR(VLOOKUP($F101,'[2]Chuyển đổi mã'!$A$1:$C$91,3,0),$F101)&amp;AC101</f>
        <v>NPP00000468320445</v>
      </c>
      <c r="Y101" s="196" t="str">
        <f>IFERROR(VLOOKUP($F101,'[2]Chuyển đổi mã'!$A$1:$C$184,3,0),F101)</f>
        <v>NPP00000468</v>
      </c>
      <c r="Z101" s="196" t="e">
        <f>VLOOKUP($G101,'[2]Thông tin NPP'!$B:$D,3,0)</f>
        <v>#N/A</v>
      </c>
      <c r="AA101" s="196" t="str">
        <f t="shared" si="20"/>
        <v>Na 58g</v>
      </c>
      <c r="AB101" s="196" t="str">
        <f>IFERROR(VLOOKUP(DAY(B101),'[2]Chuyển đổi mã'!$F$1:$G$32,2,0),0)</f>
        <v>W4</v>
      </c>
      <c r="AC101" s="196" t="str">
        <f t="shared" si="21"/>
        <v>320445</v>
      </c>
      <c r="AD101" s="196" t="str">
        <f t="shared" si="22"/>
        <v>NPP</v>
      </c>
      <c r="AE101" s="196" t="str">
        <f t="shared" si="23"/>
        <v>NPP320445</v>
      </c>
      <c r="AF101" s="196">
        <f t="shared" si="24"/>
        <v>0</v>
      </c>
    </row>
    <row r="102" spans="1:32" ht="12.95" hidden="1" customHeight="1">
      <c r="A102" s="190">
        <v>10773</v>
      </c>
      <c r="B102" s="191">
        <v>43581</v>
      </c>
      <c r="C102" s="190" t="s">
        <v>311</v>
      </c>
      <c r="D102" s="190" t="s">
        <v>446</v>
      </c>
      <c r="E102" s="190" t="s">
        <v>346</v>
      </c>
      <c r="F102" s="190" t="s">
        <v>389</v>
      </c>
      <c r="G102" s="192" t="s">
        <v>390</v>
      </c>
      <c r="H102" s="192" t="s">
        <v>296</v>
      </c>
      <c r="I102" s="192" t="s">
        <v>391</v>
      </c>
      <c r="J102" s="192" t="s">
        <v>350</v>
      </c>
      <c r="K102" s="190" t="s">
        <v>351</v>
      </c>
      <c r="L102" s="190" t="s">
        <v>352</v>
      </c>
      <c r="M102" s="192" t="s">
        <v>353</v>
      </c>
      <c r="N102" s="193">
        <v>-1000</v>
      </c>
      <c r="O102" s="193">
        <v>106905</v>
      </c>
      <c r="P102" s="194">
        <v>-106905000</v>
      </c>
      <c r="Q102" s="194">
        <v>-10690500</v>
      </c>
      <c r="R102" s="194">
        <v>-117595500</v>
      </c>
      <c r="S102" s="192"/>
      <c r="T102" s="192" t="s">
        <v>310</v>
      </c>
      <c r="U102" s="190">
        <v>0</v>
      </c>
      <c r="V102" s="190"/>
      <c r="W102" s="195" t="s">
        <v>356</v>
      </c>
      <c r="X102" s="196" t="str">
        <f>+IFERROR(VLOOKUP($F102,'[2]Chuyển đổi mã'!$A$1:$C$91,3,0),$F102)&amp;AC102</f>
        <v>NPP00000468320463</v>
      </c>
      <c r="Y102" s="196" t="str">
        <f>IFERROR(VLOOKUP($F102,'[2]Chuyển đổi mã'!$A$1:$C$184,3,0),F102)</f>
        <v>NPP00000468</v>
      </c>
      <c r="Z102" s="196" t="e">
        <f>VLOOKUP($G102,'[2]Thông tin NPP'!$B:$D,3,0)</f>
        <v>#N/A</v>
      </c>
      <c r="AA102" s="196" t="str">
        <f t="shared" si="20"/>
        <v>Na 8,5g</v>
      </c>
      <c r="AB102" s="196" t="str">
        <f>IFERROR(VLOOKUP(DAY(B102),'[2]Chuyển đổi mã'!$F$1:$G$32,2,0),0)</f>
        <v>W4</v>
      </c>
      <c r="AC102" s="196" t="str">
        <f t="shared" si="21"/>
        <v>320463</v>
      </c>
      <c r="AD102" s="196" t="str">
        <f t="shared" si="22"/>
        <v>NPP</v>
      </c>
      <c r="AE102" s="196" t="str">
        <f t="shared" si="23"/>
        <v>NPP320463</v>
      </c>
      <c r="AF102" s="196">
        <f t="shared" si="24"/>
        <v>0</v>
      </c>
    </row>
    <row r="103" spans="1:32" ht="12.95" hidden="1" customHeight="1">
      <c r="A103" s="190">
        <v>10773</v>
      </c>
      <c r="B103" s="191">
        <v>43581</v>
      </c>
      <c r="C103" s="190" t="s">
        <v>311</v>
      </c>
      <c r="D103" s="190" t="s">
        <v>446</v>
      </c>
      <c r="E103" s="190" t="s">
        <v>346</v>
      </c>
      <c r="F103" s="190" t="s">
        <v>389</v>
      </c>
      <c r="G103" s="192" t="s">
        <v>390</v>
      </c>
      <c r="H103" s="192" t="s">
        <v>296</v>
      </c>
      <c r="I103" s="192" t="s">
        <v>391</v>
      </c>
      <c r="J103" s="192" t="s">
        <v>350</v>
      </c>
      <c r="K103" s="190" t="s">
        <v>351</v>
      </c>
      <c r="L103" s="190" t="s">
        <v>359</v>
      </c>
      <c r="M103" s="192" t="s">
        <v>360</v>
      </c>
      <c r="N103" s="193">
        <v>-30</v>
      </c>
      <c r="O103" s="193">
        <v>273000</v>
      </c>
      <c r="P103" s="194">
        <v>-8190000</v>
      </c>
      <c r="Q103" s="194">
        <v>-819000</v>
      </c>
      <c r="R103" s="194">
        <v>-9009000</v>
      </c>
      <c r="S103" s="192"/>
      <c r="T103" s="192" t="s">
        <v>310</v>
      </c>
      <c r="U103" s="190">
        <v>0</v>
      </c>
      <c r="V103" s="190"/>
      <c r="W103" s="195" t="s">
        <v>356</v>
      </c>
      <c r="X103" s="196" t="str">
        <f>+IFERROR(VLOOKUP($F103,'[2]Chuyển đổi mã'!$A$1:$C$91,3,0),$F103)&amp;AC103</f>
        <v>NPP00000468320445</v>
      </c>
      <c r="Y103" s="196" t="str">
        <f>IFERROR(VLOOKUP($F103,'[2]Chuyển đổi mã'!$A$1:$C$184,3,0),F103)</f>
        <v>NPP00000468</v>
      </c>
      <c r="Z103" s="196" t="e">
        <f>VLOOKUP($G103,'[2]Thông tin NPP'!$B:$D,3,0)</f>
        <v>#N/A</v>
      </c>
      <c r="AA103" s="196" t="str">
        <f t="shared" si="20"/>
        <v>Na 58g</v>
      </c>
      <c r="AB103" s="196" t="str">
        <f>IFERROR(VLOOKUP(DAY(B103),'[2]Chuyển đổi mã'!$F$1:$G$32,2,0),0)</f>
        <v>W4</v>
      </c>
      <c r="AC103" s="196" t="str">
        <f t="shared" si="21"/>
        <v>320445</v>
      </c>
      <c r="AD103" s="196" t="str">
        <f t="shared" si="22"/>
        <v>NPP</v>
      </c>
      <c r="AE103" s="196" t="str">
        <f t="shared" si="23"/>
        <v>NPP320445</v>
      </c>
      <c r="AF103" s="196">
        <f t="shared" si="24"/>
        <v>0</v>
      </c>
    </row>
    <row r="104" spans="1:32" ht="12.95" customHeight="1">
      <c r="A104" s="190">
        <v>10415</v>
      </c>
      <c r="B104" s="191">
        <v>43566</v>
      </c>
      <c r="C104" s="190" t="s">
        <v>311</v>
      </c>
      <c r="D104" s="190" t="s">
        <v>449</v>
      </c>
      <c r="E104" s="190" t="s">
        <v>346</v>
      </c>
      <c r="F104" s="190" t="s">
        <v>450</v>
      </c>
      <c r="G104" s="192" t="s">
        <v>451</v>
      </c>
      <c r="H104" s="192" t="s">
        <v>296</v>
      </c>
      <c r="I104" s="192" t="s">
        <v>349</v>
      </c>
      <c r="J104" s="192" t="s">
        <v>350</v>
      </c>
      <c r="K104" s="190"/>
      <c r="L104" s="190"/>
      <c r="M104" s="192" t="s">
        <v>452</v>
      </c>
      <c r="N104" s="193" t="s">
        <v>447</v>
      </c>
      <c r="O104" s="193">
        <v>3775368.02</v>
      </c>
      <c r="P104" s="194">
        <v>-3775368</v>
      </c>
      <c r="Q104" s="194">
        <v>-377537</v>
      </c>
      <c r="R104" s="194">
        <v>-4152905</v>
      </c>
      <c r="S104" s="192"/>
      <c r="T104" s="192"/>
      <c r="U104" s="190">
        <v>0</v>
      </c>
      <c r="V104" s="190" t="s">
        <v>310</v>
      </c>
      <c r="W104" s="195" t="s">
        <v>448</v>
      </c>
      <c r="X104" s="196" t="str">
        <f>+IFERROR(VLOOKUP($F104,'[2]Chuyển đổi mã'!$A$1:$C$91,3,0),$F104)&amp;AC104</f>
        <v>Lotte South</v>
      </c>
      <c r="Y104" s="196" t="str">
        <f>IFERROR(VLOOKUP($F104,'[2]Chuyển đổi mã'!$A$1:$C$184,3,0),F104)</f>
        <v>Lotte South</v>
      </c>
      <c r="Z104" s="196" t="str">
        <f>VLOOKUP($G104,'[2]Thông tin NPP'!$B:$D,3,0)</f>
        <v>Lotte South</v>
      </c>
      <c r="AA104" s="196" t="str">
        <f t="shared" ref="AA104:AA105" si="25">LEFT($M104,10)</f>
        <v>Chiết khấu</v>
      </c>
      <c r="AB104" s="196" t="str">
        <f>IFERROR(VLOOKUP(DAY(B104),'[2]Chuyển đổi mã'!$F$1:$G$32,2,0),0)</f>
        <v>W2</v>
      </c>
      <c r="AC104" s="196" t="str">
        <f t="shared" ref="AC104:AC105" si="26">LEFT(L104,6)</f>
        <v/>
      </c>
      <c r="AD104" s="196" t="str">
        <f t="shared" ref="AD104:AD105" si="27">LEFT(F104,3)</f>
        <v>NPP</v>
      </c>
      <c r="AE104" s="196" t="str">
        <f t="shared" ref="AE104:AE105" si="28">AD104&amp;AC104</f>
        <v>NPP</v>
      </c>
      <c r="AF104" s="196">
        <f t="shared" ref="AF104:AF105" si="29">IF(RIGHT(L104,1)="P","P",0)</f>
        <v>0</v>
      </c>
    </row>
    <row r="105" spans="1:32" ht="12.95" hidden="1" customHeight="1">
      <c r="A105" s="190">
        <v>10416</v>
      </c>
      <c r="B105" s="191">
        <v>43566</v>
      </c>
      <c r="C105" s="190" t="s">
        <v>311</v>
      </c>
      <c r="D105" s="190" t="s">
        <v>453</v>
      </c>
      <c r="E105" s="190" t="s">
        <v>346</v>
      </c>
      <c r="F105" s="190" t="s">
        <v>454</v>
      </c>
      <c r="G105" s="192" t="s">
        <v>455</v>
      </c>
      <c r="H105" s="192" t="s">
        <v>296</v>
      </c>
      <c r="I105" s="192" t="s">
        <v>395</v>
      </c>
      <c r="J105" s="192" t="s">
        <v>350</v>
      </c>
      <c r="K105" s="190"/>
      <c r="L105" s="190"/>
      <c r="M105" s="192" t="s">
        <v>456</v>
      </c>
      <c r="N105" s="193" t="s">
        <v>447</v>
      </c>
      <c r="O105" s="193">
        <v>2732057.88</v>
      </c>
      <c r="P105" s="194">
        <v>-2732057</v>
      </c>
      <c r="Q105" s="194">
        <v>-273206</v>
      </c>
      <c r="R105" s="194">
        <v>-3005263</v>
      </c>
      <c r="S105" s="192"/>
      <c r="T105" s="192"/>
      <c r="U105" s="190">
        <v>0</v>
      </c>
      <c r="V105" s="190" t="s">
        <v>310</v>
      </c>
      <c r="W105" s="195" t="s">
        <v>448</v>
      </c>
      <c r="X105" s="196" t="str">
        <f>+IFERROR(VLOOKUP($F105,'[2]Chuyển đổi mã'!$A$1:$C$91,3,0),$F105)&amp;AC105</f>
        <v>Lotte North</v>
      </c>
      <c r="Y105" s="196" t="str">
        <f>IFERROR(VLOOKUP($F105,'[2]Chuyển đổi mã'!$A$1:$C$184,3,0),F105)</f>
        <v>Lotte North</v>
      </c>
      <c r="Z105" s="196" t="str">
        <f>VLOOKUP($G105,'[2]Thông tin NPP'!$B:$D,3,0)</f>
        <v>Lotte North</v>
      </c>
      <c r="AA105" s="196" t="str">
        <f t="shared" si="25"/>
        <v>Chiết khấu</v>
      </c>
      <c r="AB105" s="196" t="str">
        <f>IFERROR(VLOOKUP(DAY(B105),'[2]Chuyển đổi mã'!$F$1:$G$32,2,0),0)</f>
        <v>W2</v>
      </c>
      <c r="AC105" s="196" t="str">
        <f t="shared" si="26"/>
        <v/>
      </c>
      <c r="AD105" s="196" t="str">
        <f t="shared" si="27"/>
        <v>NPP</v>
      </c>
      <c r="AE105" s="196" t="str">
        <f t="shared" si="28"/>
        <v>NPP</v>
      </c>
      <c r="AF105" s="196">
        <f t="shared" si="29"/>
        <v>0</v>
      </c>
    </row>
    <row r="106" spans="1:32" ht="12.95" customHeight="1">
      <c r="A106" s="190">
        <v>62463</v>
      </c>
      <c r="B106" s="191">
        <v>43557</v>
      </c>
      <c r="C106" s="190" t="s">
        <v>457</v>
      </c>
      <c r="D106" s="190" t="s">
        <v>345</v>
      </c>
      <c r="E106" s="190" t="s">
        <v>346</v>
      </c>
      <c r="F106" s="190" t="s">
        <v>347</v>
      </c>
      <c r="G106" s="192" t="s">
        <v>348</v>
      </c>
      <c r="H106" s="192" t="s">
        <v>296</v>
      </c>
      <c r="I106" s="192" t="s">
        <v>349</v>
      </c>
      <c r="J106" s="192" t="s">
        <v>350</v>
      </c>
      <c r="K106" s="190" t="s">
        <v>351</v>
      </c>
      <c r="L106" s="190" t="s">
        <v>352</v>
      </c>
      <c r="M106" s="192" t="s">
        <v>353</v>
      </c>
      <c r="N106" s="193">
        <v>50</v>
      </c>
      <c r="O106" s="193">
        <v>119700.35</v>
      </c>
      <c r="P106" s="194">
        <v>5985017.5</v>
      </c>
      <c r="Q106" s="194">
        <v>598501.75</v>
      </c>
      <c r="R106" s="194">
        <v>6583519.25</v>
      </c>
      <c r="S106" s="192" t="s">
        <v>354</v>
      </c>
      <c r="T106" s="192" t="s">
        <v>355</v>
      </c>
      <c r="U106" s="190">
        <v>60186</v>
      </c>
      <c r="V106" s="190"/>
      <c r="W106" s="195" t="s">
        <v>356</v>
      </c>
      <c r="X106" s="196" t="str">
        <f>+IFERROR(VLOOKUP($F106,'[2]Chuyển đổi mã'!$A$1:$C$91,3,0),$F106)&amp;AC106</f>
        <v>Big C South320463</v>
      </c>
      <c r="Y106" s="196" t="str">
        <f>IFERROR(VLOOKUP($F106,'[2]Chuyển đổi mã'!$A$1:$C$184,3,0),F106)</f>
        <v>Big C South</v>
      </c>
      <c r="Z106" s="196" t="str">
        <f>VLOOKUP($G106,'[2]Thông tin NPP'!$B:$D,3,0)</f>
        <v>Big C South</v>
      </c>
      <c r="AA106" s="196" t="str">
        <f t="shared" ref="AA106:AA141" si="30">LEFT($M106,10)</f>
        <v>Na 8,5g</v>
      </c>
      <c r="AB106" s="196" t="str">
        <f>IFERROR(VLOOKUP(DAY(B106),'[2]Chuyển đổi mã'!$F$1:$G$32,2,0),0)</f>
        <v>W1</v>
      </c>
      <c r="AC106" s="196" t="str">
        <f t="shared" ref="AC106:AC141" si="31">LEFT(L106,6)</f>
        <v>320463</v>
      </c>
      <c r="AD106" s="196" t="str">
        <f t="shared" ref="AD106:AD141" si="32">LEFT(F106,3)</f>
        <v>NPP</v>
      </c>
      <c r="AE106" s="196" t="str">
        <f t="shared" ref="AE106:AE141" si="33">AD106&amp;AC106</f>
        <v>NPP320463</v>
      </c>
      <c r="AF106" s="196">
        <f t="shared" ref="AF106:AF141" si="34">IF(RIGHT(L106,1)="P","P",0)</f>
        <v>0</v>
      </c>
    </row>
    <row r="107" spans="1:32" ht="12.95" customHeight="1">
      <c r="A107" s="190">
        <v>62463</v>
      </c>
      <c r="B107" s="191">
        <v>43557</v>
      </c>
      <c r="C107" s="190" t="s">
        <v>457</v>
      </c>
      <c r="D107" s="190" t="s">
        <v>345</v>
      </c>
      <c r="E107" s="190" t="s">
        <v>346</v>
      </c>
      <c r="F107" s="190" t="s">
        <v>347</v>
      </c>
      <c r="G107" s="192" t="s">
        <v>348</v>
      </c>
      <c r="H107" s="192" t="s">
        <v>296</v>
      </c>
      <c r="I107" s="192" t="s">
        <v>349</v>
      </c>
      <c r="J107" s="192" t="s">
        <v>350</v>
      </c>
      <c r="K107" s="190" t="s">
        <v>351</v>
      </c>
      <c r="L107" s="190" t="s">
        <v>357</v>
      </c>
      <c r="M107" s="192" t="s">
        <v>358</v>
      </c>
      <c r="N107" s="193">
        <v>1</v>
      </c>
      <c r="O107" s="193">
        <v>213273</v>
      </c>
      <c r="P107" s="194">
        <v>213273</v>
      </c>
      <c r="Q107" s="194">
        <v>21327.3</v>
      </c>
      <c r="R107" s="194">
        <v>234600.3</v>
      </c>
      <c r="S107" s="192"/>
      <c r="T107" s="192" t="s">
        <v>310</v>
      </c>
      <c r="U107" s="190">
        <v>60186</v>
      </c>
      <c r="V107" s="190"/>
      <c r="W107" s="195" t="s">
        <v>356</v>
      </c>
      <c r="X107" s="196" t="str">
        <f>+IFERROR(VLOOKUP($F107,'[2]Chuyển đổi mã'!$A$1:$C$91,3,0),$F107)&amp;AC107</f>
        <v>Big C South323555</v>
      </c>
      <c r="Y107" s="196" t="str">
        <f>IFERROR(VLOOKUP($F107,'[2]Chuyển đổi mã'!$A$1:$C$184,3,0),F107)</f>
        <v>Big C South</v>
      </c>
      <c r="Z107" s="196" t="str">
        <f>VLOOKUP($G107,'[2]Thông tin NPP'!$B:$D,3,0)</f>
        <v>Big C South</v>
      </c>
      <c r="AA107" s="196" t="str">
        <f t="shared" si="30"/>
        <v>Na 17g - M</v>
      </c>
      <c r="AB107" s="196" t="str">
        <f>IFERROR(VLOOKUP(DAY(B107),'[2]Chuyển đổi mã'!$F$1:$G$32,2,0),0)</f>
        <v>W1</v>
      </c>
      <c r="AC107" s="196" t="str">
        <f t="shared" si="31"/>
        <v>323555</v>
      </c>
      <c r="AD107" s="196" t="str">
        <f t="shared" si="32"/>
        <v>NPP</v>
      </c>
      <c r="AE107" s="196" t="str">
        <f t="shared" si="33"/>
        <v>NPP323555</v>
      </c>
      <c r="AF107" s="196">
        <f t="shared" si="34"/>
        <v>0</v>
      </c>
    </row>
    <row r="108" spans="1:32" ht="12.95" customHeight="1">
      <c r="A108" s="190">
        <v>62463</v>
      </c>
      <c r="B108" s="191">
        <v>43557</v>
      </c>
      <c r="C108" s="190" t="s">
        <v>457</v>
      </c>
      <c r="D108" s="190" t="s">
        <v>345</v>
      </c>
      <c r="E108" s="190" t="s">
        <v>346</v>
      </c>
      <c r="F108" s="190" t="s">
        <v>347</v>
      </c>
      <c r="G108" s="192" t="s">
        <v>348</v>
      </c>
      <c r="H108" s="192" t="s">
        <v>296</v>
      </c>
      <c r="I108" s="192" t="s">
        <v>349</v>
      </c>
      <c r="J108" s="192" t="s">
        <v>350</v>
      </c>
      <c r="K108" s="190" t="s">
        <v>351</v>
      </c>
      <c r="L108" s="190" t="s">
        <v>359</v>
      </c>
      <c r="M108" s="192" t="s">
        <v>360</v>
      </c>
      <c r="N108" s="193">
        <v>1</v>
      </c>
      <c r="O108" s="193">
        <v>313636</v>
      </c>
      <c r="P108" s="194">
        <v>313636</v>
      </c>
      <c r="Q108" s="194">
        <v>31363.599999999999</v>
      </c>
      <c r="R108" s="194">
        <v>344999.6</v>
      </c>
      <c r="S108" s="192"/>
      <c r="T108" s="192" t="s">
        <v>310</v>
      </c>
      <c r="U108" s="190">
        <v>60186</v>
      </c>
      <c r="V108" s="190"/>
      <c r="W108" s="195" t="s">
        <v>356</v>
      </c>
      <c r="X108" s="196" t="str">
        <f>+IFERROR(VLOOKUP($F108,'[2]Chuyển đổi mã'!$A$1:$C$91,3,0),$F108)&amp;AC108</f>
        <v>Big C South320445</v>
      </c>
      <c r="Y108" s="196" t="str">
        <f>IFERROR(VLOOKUP($F108,'[2]Chuyển đổi mã'!$A$1:$C$184,3,0),F108)</f>
        <v>Big C South</v>
      </c>
      <c r="Z108" s="196" t="str">
        <f>VLOOKUP($G108,'[2]Thông tin NPP'!$B:$D,3,0)</f>
        <v>Big C South</v>
      </c>
      <c r="AA108" s="196" t="str">
        <f t="shared" si="30"/>
        <v>Na 58g</v>
      </c>
      <c r="AB108" s="196" t="str">
        <f>IFERROR(VLOOKUP(DAY(B108),'[2]Chuyển đổi mã'!$F$1:$G$32,2,0),0)</f>
        <v>W1</v>
      </c>
      <c r="AC108" s="196" t="str">
        <f t="shared" si="31"/>
        <v>320445</v>
      </c>
      <c r="AD108" s="196" t="str">
        <f t="shared" si="32"/>
        <v>NPP</v>
      </c>
      <c r="AE108" s="196" t="str">
        <f t="shared" si="33"/>
        <v>NPP320445</v>
      </c>
      <c r="AF108" s="196">
        <f t="shared" si="34"/>
        <v>0</v>
      </c>
    </row>
    <row r="109" spans="1:32" ht="12.95" customHeight="1">
      <c r="A109" s="190">
        <v>62463</v>
      </c>
      <c r="B109" s="191">
        <v>43557</v>
      </c>
      <c r="C109" s="190" t="s">
        <v>457</v>
      </c>
      <c r="D109" s="190" t="s">
        <v>345</v>
      </c>
      <c r="E109" s="190" t="s">
        <v>346</v>
      </c>
      <c r="F109" s="190" t="s">
        <v>347</v>
      </c>
      <c r="G109" s="192" t="s">
        <v>348</v>
      </c>
      <c r="H109" s="192" t="s">
        <v>296</v>
      </c>
      <c r="I109" s="192" t="s">
        <v>349</v>
      </c>
      <c r="J109" s="192" t="s">
        <v>350</v>
      </c>
      <c r="K109" s="190" t="s">
        <v>351</v>
      </c>
      <c r="L109" s="190" t="s">
        <v>361</v>
      </c>
      <c r="M109" s="192" t="s">
        <v>362</v>
      </c>
      <c r="N109" s="193">
        <v>1</v>
      </c>
      <c r="O109" s="193">
        <v>313636</v>
      </c>
      <c r="P109" s="194">
        <v>313636</v>
      </c>
      <c r="Q109" s="194">
        <v>31363.599999999999</v>
      </c>
      <c r="R109" s="194">
        <v>344999.6</v>
      </c>
      <c r="S109" s="192"/>
      <c r="T109" s="192" t="s">
        <v>310</v>
      </c>
      <c r="U109" s="190">
        <v>60186</v>
      </c>
      <c r="V109" s="190"/>
      <c r="W109" s="195" t="s">
        <v>356</v>
      </c>
      <c r="X109" s="196" t="str">
        <f>+IFERROR(VLOOKUP($F109,'[2]Chuyển đổi mã'!$A$1:$C$91,3,0),$F109)&amp;AC109</f>
        <v>Big C South331017</v>
      </c>
      <c r="Y109" s="196" t="str">
        <f>IFERROR(VLOOKUP($F109,'[2]Chuyển đổi mã'!$A$1:$C$184,3,0),F109)</f>
        <v>Big C South</v>
      </c>
      <c r="Z109" s="196" t="str">
        <f>VLOOKUP($G109,'[2]Thông tin NPP'!$B:$D,3,0)</f>
        <v>Big C South</v>
      </c>
      <c r="AA109" s="196" t="str">
        <f t="shared" si="30"/>
        <v>Richoco Wf</v>
      </c>
      <c r="AB109" s="196" t="str">
        <f>IFERROR(VLOOKUP(DAY(B109),'[2]Chuyển đổi mã'!$F$1:$G$32,2,0),0)</f>
        <v>W1</v>
      </c>
      <c r="AC109" s="196" t="str">
        <f t="shared" si="31"/>
        <v>331017</v>
      </c>
      <c r="AD109" s="196" t="str">
        <f t="shared" si="32"/>
        <v>NPP</v>
      </c>
      <c r="AE109" s="196" t="str">
        <f t="shared" si="33"/>
        <v>NPP331017</v>
      </c>
      <c r="AF109" s="196">
        <f t="shared" si="34"/>
        <v>0</v>
      </c>
    </row>
    <row r="110" spans="1:32" ht="12.95" customHeight="1">
      <c r="A110" s="190">
        <v>62463</v>
      </c>
      <c r="B110" s="191">
        <v>43557</v>
      </c>
      <c r="C110" s="190" t="s">
        <v>457</v>
      </c>
      <c r="D110" s="190" t="s">
        <v>345</v>
      </c>
      <c r="E110" s="190" t="s">
        <v>346</v>
      </c>
      <c r="F110" s="190" t="s">
        <v>347</v>
      </c>
      <c r="G110" s="192" t="s">
        <v>348</v>
      </c>
      <c r="H110" s="192" t="s">
        <v>296</v>
      </c>
      <c r="I110" s="192" t="s">
        <v>349</v>
      </c>
      <c r="J110" s="192" t="s">
        <v>350</v>
      </c>
      <c r="K110" s="190" t="s">
        <v>351</v>
      </c>
      <c r="L110" s="190" t="s">
        <v>363</v>
      </c>
      <c r="M110" s="192" t="s">
        <v>364</v>
      </c>
      <c r="N110" s="193">
        <v>1</v>
      </c>
      <c r="O110" s="193">
        <v>334545</v>
      </c>
      <c r="P110" s="194">
        <v>334545</v>
      </c>
      <c r="Q110" s="194">
        <v>33454.5</v>
      </c>
      <c r="R110" s="194">
        <v>367999.5</v>
      </c>
      <c r="S110" s="192"/>
      <c r="T110" s="192" t="s">
        <v>310</v>
      </c>
      <c r="U110" s="190">
        <v>60186</v>
      </c>
      <c r="V110" s="190"/>
      <c r="W110" s="195" t="s">
        <v>356</v>
      </c>
      <c r="X110" s="196" t="str">
        <f>+IFERROR(VLOOKUP($F110,'[2]Chuyển đổi mã'!$A$1:$C$91,3,0),$F110)&amp;AC110</f>
        <v>Big C South323708</v>
      </c>
      <c r="Y110" s="196" t="str">
        <f>IFERROR(VLOOKUP($F110,'[2]Chuyển đổi mã'!$A$1:$C$184,3,0),F110)</f>
        <v>Big C South</v>
      </c>
      <c r="Z110" s="196" t="str">
        <f>VLOOKUP($G110,'[2]Thông tin NPP'!$B:$D,3,0)</f>
        <v>Big C South</v>
      </c>
      <c r="AA110" s="196" t="str">
        <f t="shared" si="30"/>
        <v>Nextar Bro</v>
      </c>
      <c r="AB110" s="196" t="str">
        <f>IFERROR(VLOOKUP(DAY(B110),'[2]Chuyển đổi mã'!$F$1:$G$32,2,0),0)</f>
        <v>W1</v>
      </c>
      <c r="AC110" s="196" t="str">
        <f t="shared" si="31"/>
        <v>323708</v>
      </c>
      <c r="AD110" s="196" t="str">
        <f t="shared" si="32"/>
        <v>NPP</v>
      </c>
      <c r="AE110" s="196" t="str">
        <f t="shared" si="33"/>
        <v>NPP323708</v>
      </c>
      <c r="AF110" s="196">
        <f t="shared" si="34"/>
        <v>0</v>
      </c>
    </row>
    <row r="111" spans="1:32" ht="12.95" customHeight="1">
      <c r="A111" s="190">
        <v>62463</v>
      </c>
      <c r="B111" s="191">
        <v>43557</v>
      </c>
      <c r="C111" s="190" t="s">
        <v>457</v>
      </c>
      <c r="D111" s="190" t="s">
        <v>345</v>
      </c>
      <c r="E111" s="190" t="s">
        <v>346</v>
      </c>
      <c r="F111" s="190" t="s">
        <v>347</v>
      </c>
      <c r="G111" s="192" t="s">
        <v>348</v>
      </c>
      <c r="H111" s="192" t="s">
        <v>296</v>
      </c>
      <c r="I111" s="192" t="s">
        <v>349</v>
      </c>
      <c r="J111" s="192" t="s">
        <v>350</v>
      </c>
      <c r="K111" s="190" t="s">
        <v>351</v>
      </c>
      <c r="L111" s="190" t="s">
        <v>365</v>
      </c>
      <c r="M111" s="192" t="s">
        <v>366</v>
      </c>
      <c r="N111" s="193">
        <v>1</v>
      </c>
      <c r="O111" s="193">
        <v>313636</v>
      </c>
      <c r="P111" s="194">
        <v>313636</v>
      </c>
      <c r="Q111" s="194">
        <v>31363.599999999999</v>
      </c>
      <c r="R111" s="194">
        <v>344999.6</v>
      </c>
      <c r="S111" s="192"/>
      <c r="T111" s="192" t="s">
        <v>310</v>
      </c>
      <c r="U111" s="190">
        <v>60186</v>
      </c>
      <c r="V111" s="190"/>
      <c r="W111" s="195" t="s">
        <v>356</v>
      </c>
      <c r="X111" s="196" t="str">
        <f>+IFERROR(VLOOKUP($F111,'[2]Chuyển đổi mã'!$A$1:$C$91,3,0),$F111)&amp;AC111</f>
        <v>Big C South323709</v>
      </c>
      <c r="Y111" s="196" t="str">
        <f>IFERROR(VLOOKUP($F111,'[2]Chuyển đổi mã'!$A$1:$C$184,3,0),F111)</f>
        <v>Big C South</v>
      </c>
      <c r="Z111" s="196" t="str">
        <f>VLOOKUP($G111,'[2]Thông tin NPP'!$B:$D,3,0)</f>
        <v>Big C South</v>
      </c>
      <c r="AA111" s="196" t="str">
        <f t="shared" si="30"/>
        <v>Nextar Bro</v>
      </c>
      <c r="AB111" s="196" t="str">
        <f>IFERROR(VLOOKUP(DAY(B111),'[2]Chuyển đổi mã'!$F$1:$G$32,2,0),0)</f>
        <v>W1</v>
      </c>
      <c r="AC111" s="196" t="str">
        <f t="shared" si="31"/>
        <v>323709</v>
      </c>
      <c r="AD111" s="196" t="str">
        <f t="shared" si="32"/>
        <v>NPP</v>
      </c>
      <c r="AE111" s="196" t="str">
        <f t="shared" si="33"/>
        <v>NPP323709</v>
      </c>
      <c r="AF111" s="196">
        <f t="shared" si="34"/>
        <v>0</v>
      </c>
    </row>
    <row r="112" spans="1:32" ht="12.95" customHeight="1">
      <c r="A112" s="190">
        <v>62464</v>
      </c>
      <c r="B112" s="191">
        <v>43557</v>
      </c>
      <c r="C112" s="190" t="s">
        <v>457</v>
      </c>
      <c r="D112" s="190" t="s">
        <v>458</v>
      </c>
      <c r="E112" s="190" t="s">
        <v>346</v>
      </c>
      <c r="F112" s="190" t="s">
        <v>459</v>
      </c>
      <c r="G112" s="192" t="s">
        <v>460</v>
      </c>
      <c r="H112" s="192" t="s">
        <v>296</v>
      </c>
      <c r="I112" s="192" t="s">
        <v>349</v>
      </c>
      <c r="J112" s="192" t="s">
        <v>350</v>
      </c>
      <c r="K112" s="190" t="s">
        <v>351</v>
      </c>
      <c r="L112" s="190" t="s">
        <v>352</v>
      </c>
      <c r="M112" s="192" t="s">
        <v>353</v>
      </c>
      <c r="N112" s="193">
        <v>5</v>
      </c>
      <c r="O112" s="193">
        <v>155455</v>
      </c>
      <c r="P112" s="194">
        <v>777275</v>
      </c>
      <c r="Q112" s="194">
        <v>77727.5</v>
      </c>
      <c r="R112" s="194">
        <v>855002.5</v>
      </c>
      <c r="S112" s="192"/>
      <c r="T112" s="192" t="s">
        <v>310</v>
      </c>
      <c r="U112" s="190">
        <v>60184</v>
      </c>
      <c r="V112" s="190"/>
      <c r="W112" s="195" t="s">
        <v>356</v>
      </c>
      <c r="X112" s="196" t="str">
        <f>+IFERROR(VLOOKUP($F112,'[2]Chuyển đổi mã'!$A$1:$C$91,3,0),$F112)&amp;AC112</f>
        <v>Lotte South320463</v>
      </c>
      <c r="Y112" s="196" t="str">
        <f>IFERROR(VLOOKUP($F112,'[2]Chuyển đổi mã'!$A$1:$C$184,3,0),F112)</f>
        <v>Lotte South</v>
      </c>
      <c r="Z112" s="196" t="str">
        <f>VLOOKUP($G112,'[2]Thông tin NPP'!$B:$D,3,0)</f>
        <v>Lotte South</v>
      </c>
      <c r="AA112" s="196" t="str">
        <f t="shared" si="30"/>
        <v>Na 8,5g</v>
      </c>
      <c r="AB112" s="196" t="str">
        <f>IFERROR(VLOOKUP(DAY(B112),'[2]Chuyển đổi mã'!$F$1:$G$32,2,0),0)</f>
        <v>W1</v>
      </c>
      <c r="AC112" s="196" t="str">
        <f t="shared" si="31"/>
        <v>320463</v>
      </c>
      <c r="AD112" s="196" t="str">
        <f t="shared" si="32"/>
        <v>NPP</v>
      </c>
      <c r="AE112" s="196" t="str">
        <f t="shared" si="33"/>
        <v>NPP320463</v>
      </c>
      <c r="AF112" s="196">
        <f t="shared" si="34"/>
        <v>0</v>
      </c>
    </row>
    <row r="113" spans="1:32" ht="12.95" customHeight="1">
      <c r="A113" s="190">
        <v>62464</v>
      </c>
      <c r="B113" s="191">
        <v>43557</v>
      </c>
      <c r="C113" s="190" t="s">
        <v>457</v>
      </c>
      <c r="D113" s="190" t="s">
        <v>458</v>
      </c>
      <c r="E113" s="190" t="s">
        <v>346</v>
      </c>
      <c r="F113" s="190" t="s">
        <v>459</v>
      </c>
      <c r="G113" s="192" t="s">
        <v>460</v>
      </c>
      <c r="H113" s="192" t="s">
        <v>296</v>
      </c>
      <c r="I113" s="192" t="s">
        <v>349</v>
      </c>
      <c r="J113" s="192" t="s">
        <v>350</v>
      </c>
      <c r="K113" s="190" t="s">
        <v>351</v>
      </c>
      <c r="L113" s="190" t="s">
        <v>381</v>
      </c>
      <c r="M113" s="192" t="s">
        <v>382</v>
      </c>
      <c r="N113" s="193">
        <v>5</v>
      </c>
      <c r="O113" s="193">
        <v>300000</v>
      </c>
      <c r="P113" s="194">
        <v>1500000</v>
      </c>
      <c r="Q113" s="194">
        <v>150000</v>
      </c>
      <c r="R113" s="194">
        <v>1650000</v>
      </c>
      <c r="S113" s="192"/>
      <c r="T113" s="192" t="s">
        <v>310</v>
      </c>
      <c r="U113" s="190">
        <v>60184</v>
      </c>
      <c r="V113" s="190"/>
      <c r="W113" s="195" t="s">
        <v>356</v>
      </c>
      <c r="X113" s="196" t="str">
        <f>+IFERROR(VLOOKUP($F113,'[2]Chuyển đổi mã'!$A$1:$C$91,3,0),$F113)&amp;AC113</f>
        <v>Lotte South320429</v>
      </c>
      <c r="Y113" s="196" t="str">
        <f>IFERROR(VLOOKUP($F113,'[2]Chuyển đổi mã'!$A$1:$C$184,3,0),F113)</f>
        <v>Lotte South</v>
      </c>
      <c r="Z113" s="196" t="str">
        <f>VLOOKUP($G113,'[2]Thông tin NPP'!$B:$D,3,0)</f>
        <v>Lotte South</v>
      </c>
      <c r="AA113" s="196" t="str">
        <f t="shared" si="30"/>
        <v>Tin Can 35</v>
      </c>
      <c r="AB113" s="196" t="str">
        <f>IFERROR(VLOOKUP(DAY(B113),'[2]Chuyển đổi mã'!$F$1:$G$32,2,0),0)</f>
        <v>W1</v>
      </c>
      <c r="AC113" s="196" t="str">
        <f t="shared" si="31"/>
        <v>320429</v>
      </c>
      <c r="AD113" s="196" t="str">
        <f t="shared" si="32"/>
        <v>NPP</v>
      </c>
      <c r="AE113" s="196" t="str">
        <f t="shared" si="33"/>
        <v>NPP320429</v>
      </c>
      <c r="AF113" s="196">
        <f t="shared" si="34"/>
        <v>0</v>
      </c>
    </row>
    <row r="114" spans="1:32" ht="12.95" customHeight="1">
      <c r="A114" s="190">
        <v>62464</v>
      </c>
      <c r="B114" s="191">
        <v>43557</v>
      </c>
      <c r="C114" s="190" t="s">
        <v>457</v>
      </c>
      <c r="D114" s="190" t="s">
        <v>458</v>
      </c>
      <c r="E114" s="190" t="s">
        <v>346</v>
      </c>
      <c r="F114" s="190" t="s">
        <v>459</v>
      </c>
      <c r="G114" s="192" t="s">
        <v>460</v>
      </c>
      <c r="H114" s="192" t="s">
        <v>296</v>
      </c>
      <c r="I114" s="192" t="s">
        <v>349</v>
      </c>
      <c r="J114" s="192" t="s">
        <v>350</v>
      </c>
      <c r="K114" s="190" t="s">
        <v>351</v>
      </c>
      <c r="L114" s="190" t="s">
        <v>378</v>
      </c>
      <c r="M114" s="192" t="s">
        <v>379</v>
      </c>
      <c r="N114" s="193">
        <v>5</v>
      </c>
      <c r="O114" s="193">
        <v>213273</v>
      </c>
      <c r="P114" s="194">
        <v>1066365</v>
      </c>
      <c r="Q114" s="194">
        <v>106636.5</v>
      </c>
      <c r="R114" s="194">
        <v>1173001.5</v>
      </c>
      <c r="S114" s="192"/>
      <c r="T114" s="192" t="s">
        <v>310</v>
      </c>
      <c r="U114" s="190">
        <v>60184</v>
      </c>
      <c r="V114" s="190"/>
      <c r="W114" s="195" t="s">
        <v>356</v>
      </c>
      <c r="X114" s="196" t="str">
        <f>+IFERROR(VLOOKUP($F114,'[2]Chuyển đổi mã'!$A$1:$C$91,3,0),$F114)&amp;AC114</f>
        <v>Lotte South321238</v>
      </c>
      <c r="Y114" s="196" t="str">
        <f>IFERROR(VLOOKUP($F114,'[2]Chuyển đổi mã'!$A$1:$C$184,3,0),F114)</f>
        <v>Lotte South</v>
      </c>
      <c r="Z114" s="196" t="str">
        <f>VLOOKUP($G114,'[2]Thông tin NPP'!$B:$D,3,0)</f>
        <v>Lotte South</v>
      </c>
      <c r="AA114" s="196" t="str">
        <f t="shared" si="30"/>
        <v>Richoco Wf</v>
      </c>
      <c r="AB114" s="196" t="str">
        <f>IFERROR(VLOOKUP(DAY(B114),'[2]Chuyển đổi mã'!$F$1:$G$32,2,0),0)</f>
        <v>W1</v>
      </c>
      <c r="AC114" s="196" t="str">
        <f t="shared" si="31"/>
        <v>321238</v>
      </c>
      <c r="AD114" s="196" t="str">
        <f t="shared" si="32"/>
        <v>NPP</v>
      </c>
      <c r="AE114" s="196" t="str">
        <f t="shared" si="33"/>
        <v>NPP321238</v>
      </c>
      <c r="AF114" s="196">
        <f t="shared" si="34"/>
        <v>0</v>
      </c>
    </row>
    <row r="115" spans="1:32" ht="12.95" customHeight="1">
      <c r="A115" s="190">
        <v>62464</v>
      </c>
      <c r="B115" s="191">
        <v>43557</v>
      </c>
      <c r="C115" s="190" t="s">
        <v>457</v>
      </c>
      <c r="D115" s="190" t="s">
        <v>458</v>
      </c>
      <c r="E115" s="190" t="s">
        <v>346</v>
      </c>
      <c r="F115" s="190" t="s">
        <v>459</v>
      </c>
      <c r="G115" s="192" t="s">
        <v>460</v>
      </c>
      <c r="H115" s="192" t="s">
        <v>296</v>
      </c>
      <c r="I115" s="192" t="s">
        <v>349</v>
      </c>
      <c r="J115" s="192" t="s">
        <v>350</v>
      </c>
      <c r="K115" s="190" t="s">
        <v>351</v>
      </c>
      <c r="L115" s="190" t="s">
        <v>361</v>
      </c>
      <c r="M115" s="192" t="s">
        <v>362</v>
      </c>
      <c r="N115" s="193">
        <v>2</v>
      </c>
      <c r="O115" s="193">
        <v>300000</v>
      </c>
      <c r="P115" s="194">
        <v>600000</v>
      </c>
      <c r="Q115" s="194">
        <v>60000</v>
      </c>
      <c r="R115" s="194">
        <v>660000</v>
      </c>
      <c r="S115" s="192"/>
      <c r="T115" s="192" t="s">
        <v>310</v>
      </c>
      <c r="U115" s="190">
        <v>60184</v>
      </c>
      <c r="V115" s="190"/>
      <c r="W115" s="195" t="s">
        <v>356</v>
      </c>
      <c r="X115" s="196" t="str">
        <f>+IFERROR(VLOOKUP($F115,'[2]Chuyển đổi mã'!$A$1:$C$91,3,0),$F115)&amp;AC115</f>
        <v>Lotte South331017</v>
      </c>
      <c r="Y115" s="196" t="str">
        <f>IFERROR(VLOOKUP($F115,'[2]Chuyển đổi mã'!$A$1:$C$184,3,0),F115)</f>
        <v>Lotte South</v>
      </c>
      <c r="Z115" s="196" t="str">
        <f>VLOOKUP($G115,'[2]Thông tin NPP'!$B:$D,3,0)</f>
        <v>Lotte South</v>
      </c>
      <c r="AA115" s="196" t="str">
        <f t="shared" si="30"/>
        <v>Richoco Wf</v>
      </c>
      <c r="AB115" s="196" t="str">
        <f>IFERROR(VLOOKUP(DAY(B115),'[2]Chuyển đổi mã'!$F$1:$G$32,2,0),0)</f>
        <v>W1</v>
      </c>
      <c r="AC115" s="196" t="str">
        <f t="shared" si="31"/>
        <v>331017</v>
      </c>
      <c r="AD115" s="196" t="str">
        <f t="shared" si="32"/>
        <v>NPP</v>
      </c>
      <c r="AE115" s="196" t="str">
        <f t="shared" si="33"/>
        <v>NPP331017</v>
      </c>
      <c r="AF115" s="196">
        <f t="shared" si="34"/>
        <v>0</v>
      </c>
    </row>
    <row r="116" spans="1:32" ht="12.95" customHeight="1">
      <c r="A116" s="190">
        <v>62464</v>
      </c>
      <c r="B116" s="191">
        <v>43557</v>
      </c>
      <c r="C116" s="190" t="s">
        <v>457</v>
      </c>
      <c r="D116" s="190" t="s">
        <v>458</v>
      </c>
      <c r="E116" s="190" t="s">
        <v>346</v>
      </c>
      <c r="F116" s="190" t="s">
        <v>459</v>
      </c>
      <c r="G116" s="192" t="s">
        <v>460</v>
      </c>
      <c r="H116" s="192" t="s">
        <v>296</v>
      </c>
      <c r="I116" s="192" t="s">
        <v>349</v>
      </c>
      <c r="J116" s="192" t="s">
        <v>350</v>
      </c>
      <c r="K116" s="190" t="s">
        <v>351</v>
      </c>
      <c r="L116" s="190" t="s">
        <v>357</v>
      </c>
      <c r="M116" s="192" t="s">
        <v>358</v>
      </c>
      <c r="N116" s="193">
        <v>10</v>
      </c>
      <c r="O116" s="193">
        <v>213273</v>
      </c>
      <c r="P116" s="194">
        <v>2132730</v>
      </c>
      <c r="Q116" s="194">
        <v>213273</v>
      </c>
      <c r="R116" s="194">
        <v>2346003</v>
      </c>
      <c r="S116" s="192"/>
      <c r="T116" s="192" t="s">
        <v>310</v>
      </c>
      <c r="U116" s="190">
        <v>60184</v>
      </c>
      <c r="V116" s="190"/>
      <c r="W116" s="195" t="s">
        <v>356</v>
      </c>
      <c r="X116" s="196" t="str">
        <f>+IFERROR(VLOOKUP($F116,'[2]Chuyển đổi mã'!$A$1:$C$91,3,0),$F116)&amp;AC116</f>
        <v>Lotte South323555</v>
      </c>
      <c r="Y116" s="196" t="str">
        <f>IFERROR(VLOOKUP($F116,'[2]Chuyển đổi mã'!$A$1:$C$184,3,0),F116)</f>
        <v>Lotte South</v>
      </c>
      <c r="Z116" s="196" t="str">
        <f>VLOOKUP($G116,'[2]Thông tin NPP'!$B:$D,3,0)</f>
        <v>Lotte South</v>
      </c>
      <c r="AA116" s="196" t="str">
        <f t="shared" si="30"/>
        <v>Na 17g - M</v>
      </c>
      <c r="AB116" s="196" t="str">
        <f>IFERROR(VLOOKUP(DAY(B116),'[2]Chuyển đổi mã'!$F$1:$G$32,2,0),0)</f>
        <v>W1</v>
      </c>
      <c r="AC116" s="196" t="str">
        <f t="shared" si="31"/>
        <v>323555</v>
      </c>
      <c r="AD116" s="196" t="str">
        <f t="shared" si="32"/>
        <v>NPP</v>
      </c>
      <c r="AE116" s="196" t="str">
        <f t="shared" si="33"/>
        <v>NPP323555</v>
      </c>
      <c r="AF116" s="196">
        <f t="shared" si="34"/>
        <v>0</v>
      </c>
    </row>
    <row r="117" spans="1:32" ht="12.95" hidden="1" customHeight="1">
      <c r="A117" s="190">
        <v>62465</v>
      </c>
      <c r="B117" s="191">
        <v>43557</v>
      </c>
      <c r="C117" s="190" t="s">
        <v>457</v>
      </c>
      <c r="D117" s="190" t="s">
        <v>461</v>
      </c>
      <c r="E117" s="190" t="s">
        <v>346</v>
      </c>
      <c r="F117" s="190" t="s">
        <v>454</v>
      </c>
      <c r="G117" s="192" t="s">
        <v>455</v>
      </c>
      <c r="H117" s="192" t="s">
        <v>296</v>
      </c>
      <c r="I117" s="192" t="s">
        <v>395</v>
      </c>
      <c r="J117" s="192" t="s">
        <v>350</v>
      </c>
      <c r="K117" s="190" t="s">
        <v>351</v>
      </c>
      <c r="L117" s="190" t="s">
        <v>381</v>
      </c>
      <c r="M117" s="192" t="s">
        <v>382</v>
      </c>
      <c r="N117" s="193">
        <v>2</v>
      </c>
      <c r="O117" s="193">
        <v>300000</v>
      </c>
      <c r="P117" s="194">
        <v>600000</v>
      </c>
      <c r="Q117" s="194">
        <v>60000</v>
      </c>
      <c r="R117" s="194">
        <v>660000</v>
      </c>
      <c r="S117" s="192"/>
      <c r="T117" s="192" t="s">
        <v>310</v>
      </c>
      <c r="U117" s="190">
        <v>60185</v>
      </c>
      <c r="V117" s="190"/>
      <c r="W117" s="195" t="s">
        <v>356</v>
      </c>
      <c r="X117" s="196" t="str">
        <f>+IFERROR(VLOOKUP($F117,'[2]Chuyển đổi mã'!$A$1:$C$91,3,0),$F117)&amp;AC117</f>
        <v>Lotte North320429</v>
      </c>
      <c r="Y117" s="196" t="str">
        <f>IFERROR(VLOOKUP($F117,'[2]Chuyển đổi mã'!$A$1:$C$184,3,0),F117)</f>
        <v>Lotte North</v>
      </c>
      <c r="Z117" s="196" t="str">
        <f>VLOOKUP($G117,'[2]Thông tin NPP'!$B:$D,3,0)</f>
        <v>Lotte North</v>
      </c>
      <c r="AA117" s="196" t="str">
        <f t="shared" si="30"/>
        <v>Tin Can 35</v>
      </c>
      <c r="AB117" s="196" t="str">
        <f>IFERROR(VLOOKUP(DAY(B117),'[2]Chuyển đổi mã'!$F$1:$G$32,2,0),0)</f>
        <v>W1</v>
      </c>
      <c r="AC117" s="196" t="str">
        <f t="shared" si="31"/>
        <v>320429</v>
      </c>
      <c r="AD117" s="196" t="str">
        <f t="shared" si="32"/>
        <v>NPP</v>
      </c>
      <c r="AE117" s="196" t="str">
        <f t="shared" si="33"/>
        <v>NPP320429</v>
      </c>
      <c r="AF117" s="196">
        <f t="shared" si="34"/>
        <v>0</v>
      </c>
    </row>
    <row r="118" spans="1:32" ht="12.95" hidden="1" customHeight="1">
      <c r="A118" s="190">
        <v>62465</v>
      </c>
      <c r="B118" s="191">
        <v>43557</v>
      </c>
      <c r="C118" s="190" t="s">
        <v>457</v>
      </c>
      <c r="D118" s="190" t="s">
        <v>461</v>
      </c>
      <c r="E118" s="190" t="s">
        <v>346</v>
      </c>
      <c r="F118" s="190" t="s">
        <v>454</v>
      </c>
      <c r="G118" s="192" t="s">
        <v>455</v>
      </c>
      <c r="H118" s="192" t="s">
        <v>296</v>
      </c>
      <c r="I118" s="192" t="s">
        <v>395</v>
      </c>
      <c r="J118" s="192" t="s">
        <v>350</v>
      </c>
      <c r="K118" s="190" t="s">
        <v>351</v>
      </c>
      <c r="L118" s="190" t="s">
        <v>361</v>
      </c>
      <c r="M118" s="192" t="s">
        <v>362</v>
      </c>
      <c r="N118" s="193">
        <v>3</v>
      </c>
      <c r="O118" s="193">
        <v>300000</v>
      </c>
      <c r="P118" s="194">
        <v>900000</v>
      </c>
      <c r="Q118" s="194">
        <v>90000</v>
      </c>
      <c r="R118" s="194">
        <v>990000</v>
      </c>
      <c r="S118" s="192"/>
      <c r="T118" s="192" t="s">
        <v>310</v>
      </c>
      <c r="U118" s="190">
        <v>60185</v>
      </c>
      <c r="V118" s="190"/>
      <c r="W118" s="195" t="s">
        <v>356</v>
      </c>
      <c r="X118" s="196" t="str">
        <f>+IFERROR(VLOOKUP($F118,'[2]Chuyển đổi mã'!$A$1:$C$91,3,0),$F118)&amp;AC118</f>
        <v>Lotte North331017</v>
      </c>
      <c r="Y118" s="196" t="str">
        <f>IFERROR(VLOOKUP($F118,'[2]Chuyển đổi mã'!$A$1:$C$184,3,0),F118)</f>
        <v>Lotte North</v>
      </c>
      <c r="Z118" s="196" t="str">
        <f>VLOOKUP($G118,'[2]Thông tin NPP'!$B:$D,3,0)</f>
        <v>Lotte North</v>
      </c>
      <c r="AA118" s="196" t="str">
        <f t="shared" si="30"/>
        <v>Richoco Wf</v>
      </c>
      <c r="AB118" s="196" t="str">
        <f>IFERROR(VLOOKUP(DAY(B118),'[2]Chuyển đổi mã'!$F$1:$G$32,2,0),0)</f>
        <v>W1</v>
      </c>
      <c r="AC118" s="196" t="str">
        <f t="shared" si="31"/>
        <v>331017</v>
      </c>
      <c r="AD118" s="196" t="str">
        <f t="shared" si="32"/>
        <v>NPP</v>
      </c>
      <c r="AE118" s="196" t="str">
        <f t="shared" si="33"/>
        <v>NPP331017</v>
      </c>
      <c r="AF118" s="196">
        <f t="shared" si="34"/>
        <v>0</v>
      </c>
    </row>
    <row r="119" spans="1:32" ht="12.95" hidden="1" customHeight="1">
      <c r="A119" s="190">
        <v>62465</v>
      </c>
      <c r="B119" s="191">
        <v>43557</v>
      </c>
      <c r="C119" s="190" t="s">
        <v>457</v>
      </c>
      <c r="D119" s="190" t="s">
        <v>461</v>
      </c>
      <c r="E119" s="190" t="s">
        <v>346</v>
      </c>
      <c r="F119" s="190" t="s">
        <v>454</v>
      </c>
      <c r="G119" s="192" t="s">
        <v>455</v>
      </c>
      <c r="H119" s="192" t="s">
        <v>296</v>
      </c>
      <c r="I119" s="192" t="s">
        <v>395</v>
      </c>
      <c r="J119" s="192" t="s">
        <v>350</v>
      </c>
      <c r="K119" s="190" t="s">
        <v>351</v>
      </c>
      <c r="L119" s="190" t="s">
        <v>359</v>
      </c>
      <c r="M119" s="192" t="s">
        <v>360</v>
      </c>
      <c r="N119" s="193">
        <v>2</v>
      </c>
      <c r="O119" s="193">
        <v>300000</v>
      </c>
      <c r="P119" s="194">
        <v>600000</v>
      </c>
      <c r="Q119" s="194">
        <v>60000</v>
      </c>
      <c r="R119" s="194">
        <v>660000</v>
      </c>
      <c r="S119" s="192"/>
      <c r="T119" s="192" t="s">
        <v>310</v>
      </c>
      <c r="U119" s="190">
        <v>60185</v>
      </c>
      <c r="V119" s="190"/>
      <c r="W119" s="195" t="s">
        <v>356</v>
      </c>
      <c r="X119" s="196" t="str">
        <f>+IFERROR(VLOOKUP($F119,'[2]Chuyển đổi mã'!$A$1:$C$91,3,0),$F119)&amp;AC119</f>
        <v>Lotte North320445</v>
      </c>
      <c r="Y119" s="196" t="str">
        <f>IFERROR(VLOOKUP($F119,'[2]Chuyển đổi mã'!$A$1:$C$184,3,0),F119)</f>
        <v>Lotte North</v>
      </c>
      <c r="Z119" s="196" t="str">
        <f>VLOOKUP($G119,'[2]Thông tin NPP'!$B:$D,3,0)</f>
        <v>Lotte North</v>
      </c>
      <c r="AA119" s="196" t="str">
        <f t="shared" si="30"/>
        <v>Na 58g</v>
      </c>
      <c r="AB119" s="196" t="str">
        <f>IFERROR(VLOOKUP(DAY(B119),'[2]Chuyển đổi mã'!$F$1:$G$32,2,0),0)</f>
        <v>W1</v>
      </c>
      <c r="AC119" s="196" t="str">
        <f t="shared" si="31"/>
        <v>320445</v>
      </c>
      <c r="AD119" s="196" t="str">
        <f t="shared" si="32"/>
        <v>NPP</v>
      </c>
      <c r="AE119" s="196" t="str">
        <f t="shared" si="33"/>
        <v>NPP320445</v>
      </c>
      <c r="AF119" s="196">
        <f t="shared" si="34"/>
        <v>0</v>
      </c>
    </row>
    <row r="120" spans="1:32" ht="12.95" hidden="1" customHeight="1">
      <c r="A120" s="190">
        <v>62465</v>
      </c>
      <c r="B120" s="191">
        <v>43557</v>
      </c>
      <c r="C120" s="190" t="s">
        <v>457</v>
      </c>
      <c r="D120" s="190" t="s">
        <v>461</v>
      </c>
      <c r="E120" s="190" t="s">
        <v>346</v>
      </c>
      <c r="F120" s="190" t="s">
        <v>454</v>
      </c>
      <c r="G120" s="192" t="s">
        <v>455</v>
      </c>
      <c r="H120" s="192" t="s">
        <v>296</v>
      </c>
      <c r="I120" s="192" t="s">
        <v>395</v>
      </c>
      <c r="J120" s="192" t="s">
        <v>350</v>
      </c>
      <c r="K120" s="190" t="s">
        <v>351</v>
      </c>
      <c r="L120" s="190" t="s">
        <v>357</v>
      </c>
      <c r="M120" s="192" t="s">
        <v>358</v>
      </c>
      <c r="N120" s="193">
        <v>5</v>
      </c>
      <c r="O120" s="193">
        <v>213273</v>
      </c>
      <c r="P120" s="194">
        <v>1066365</v>
      </c>
      <c r="Q120" s="194">
        <v>106636.5</v>
      </c>
      <c r="R120" s="194">
        <v>1173001.5</v>
      </c>
      <c r="S120" s="192"/>
      <c r="T120" s="192" t="s">
        <v>310</v>
      </c>
      <c r="U120" s="190">
        <v>60185</v>
      </c>
      <c r="V120" s="190"/>
      <c r="W120" s="195" t="s">
        <v>356</v>
      </c>
      <c r="X120" s="196" t="str">
        <f>+IFERROR(VLOOKUP($F120,'[2]Chuyển đổi mã'!$A$1:$C$91,3,0),$F120)&amp;AC120</f>
        <v>Lotte North323555</v>
      </c>
      <c r="Y120" s="196" t="str">
        <f>IFERROR(VLOOKUP($F120,'[2]Chuyển đổi mã'!$A$1:$C$184,3,0),F120)</f>
        <v>Lotte North</v>
      </c>
      <c r="Z120" s="196" t="str">
        <f>VLOOKUP($G120,'[2]Thông tin NPP'!$B:$D,3,0)</f>
        <v>Lotte North</v>
      </c>
      <c r="AA120" s="196" t="str">
        <f t="shared" si="30"/>
        <v>Na 17g - M</v>
      </c>
      <c r="AB120" s="196" t="str">
        <f>IFERROR(VLOOKUP(DAY(B120),'[2]Chuyển đổi mã'!$F$1:$G$32,2,0),0)</f>
        <v>W1</v>
      </c>
      <c r="AC120" s="196" t="str">
        <f t="shared" si="31"/>
        <v>323555</v>
      </c>
      <c r="AD120" s="196" t="str">
        <f t="shared" si="32"/>
        <v>NPP</v>
      </c>
      <c r="AE120" s="196" t="str">
        <f t="shared" si="33"/>
        <v>NPP323555</v>
      </c>
      <c r="AF120" s="196">
        <f t="shared" si="34"/>
        <v>0</v>
      </c>
    </row>
    <row r="121" spans="1:32" ht="12.95" hidden="1" customHeight="1">
      <c r="A121" s="190">
        <v>62465</v>
      </c>
      <c r="B121" s="191">
        <v>43557</v>
      </c>
      <c r="C121" s="190" t="s">
        <v>457</v>
      </c>
      <c r="D121" s="190" t="s">
        <v>461</v>
      </c>
      <c r="E121" s="190" t="s">
        <v>346</v>
      </c>
      <c r="F121" s="190" t="s">
        <v>454</v>
      </c>
      <c r="G121" s="192" t="s">
        <v>455</v>
      </c>
      <c r="H121" s="192" t="s">
        <v>296</v>
      </c>
      <c r="I121" s="192" t="s">
        <v>395</v>
      </c>
      <c r="J121" s="192" t="s">
        <v>350</v>
      </c>
      <c r="K121" s="190" t="s">
        <v>351</v>
      </c>
      <c r="L121" s="190" t="s">
        <v>365</v>
      </c>
      <c r="M121" s="192" t="s">
        <v>366</v>
      </c>
      <c r="N121" s="193">
        <v>3</v>
      </c>
      <c r="O121" s="193">
        <v>300000</v>
      </c>
      <c r="P121" s="194">
        <v>900000</v>
      </c>
      <c r="Q121" s="194">
        <v>90000</v>
      </c>
      <c r="R121" s="194">
        <v>990000</v>
      </c>
      <c r="S121" s="192"/>
      <c r="T121" s="192" t="s">
        <v>310</v>
      </c>
      <c r="U121" s="190">
        <v>60185</v>
      </c>
      <c r="V121" s="190"/>
      <c r="W121" s="195" t="s">
        <v>356</v>
      </c>
      <c r="X121" s="196" t="str">
        <f>+IFERROR(VLOOKUP($F121,'[2]Chuyển đổi mã'!$A$1:$C$91,3,0),$F121)&amp;AC121</f>
        <v>Lotte North323709</v>
      </c>
      <c r="Y121" s="196" t="str">
        <f>IFERROR(VLOOKUP($F121,'[2]Chuyển đổi mã'!$A$1:$C$184,3,0),F121)</f>
        <v>Lotte North</v>
      </c>
      <c r="Z121" s="196" t="str">
        <f>VLOOKUP($G121,'[2]Thông tin NPP'!$B:$D,3,0)</f>
        <v>Lotte North</v>
      </c>
      <c r="AA121" s="196" t="str">
        <f t="shared" si="30"/>
        <v>Nextar Bro</v>
      </c>
      <c r="AB121" s="196" t="str">
        <f>IFERROR(VLOOKUP(DAY(B121),'[2]Chuyển đổi mã'!$F$1:$G$32,2,0),0)</f>
        <v>W1</v>
      </c>
      <c r="AC121" s="196" t="str">
        <f t="shared" si="31"/>
        <v>323709</v>
      </c>
      <c r="AD121" s="196" t="str">
        <f t="shared" si="32"/>
        <v>NPP</v>
      </c>
      <c r="AE121" s="196" t="str">
        <f t="shared" si="33"/>
        <v>NPP323709</v>
      </c>
      <c r="AF121" s="196">
        <f t="shared" si="34"/>
        <v>0</v>
      </c>
    </row>
    <row r="122" spans="1:32" ht="12.95" hidden="1" customHeight="1">
      <c r="A122" s="190">
        <v>62465</v>
      </c>
      <c r="B122" s="191">
        <v>43557</v>
      </c>
      <c r="C122" s="190" t="s">
        <v>457</v>
      </c>
      <c r="D122" s="190" t="s">
        <v>461</v>
      </c>
      <c r="E122" s="190" t="s">
        <v>346</v>
      </c>
      <c r="F122" s="190" t="s">
        <v>454</v>
      </c>
      <c r="G122" s="192" t="s">
        <v>455</v>
      </c>
      <c r="H122" s="192" t="s">
        <v>296</v>
      </c>
      <c r="I122" s="192" t="s">
        <v>395</v>
      </c>
      <c r="J122" s="192" t="s">
        <v>350</v>
      </c>
      <c r="K122" s="190" t="s">
        <v>351</v>
      </c>
      <c r="L122" s="190" t="s">
        <v>363</v>
      </c>
      <c r="M122" s="192" t="s">
        <v>364</v>
      </c>
      <c r="N122" s="193">
        <v>3</v>
      </c>
      <c r="O122" s="193">
        <v>320000</v>
      </c>
      <c r="P122" s="194">
        <v>960000</v>
      </c>
      <c r="Q122" s="194">
        <v>96000</v>
      </c>
      <c r="R122" s="194">
        <v>1056000</v>
      </c>
      <c r="S122" s="192"/>
      <c r="T122" s="192" t="s">
        <v>310</v>
      </c>
      <c r="U122" s="190">
        <v>60185</v>
      </c>
      <c r="V122" s="190"/>
      <c r="W122" s="195" t="s">
        <v>356</v>
      </c>
      <c r="X122" s="196" t="str">
        <f>+IFERROR(VLOOKUP($F122,'[2]Chuyển đổi mã'!$A$1:$C$91,3,0),$F122)&amp;AC122</f>
        <v>Lotte North323708</v>
      </c>
      <c r="Y122" s="196" t="str">
        <f>IFERROR(VLOOKUP($F122,'[2]Chuyển đổi mã'!$A$1:$C$184,3,0),F122)</f>
        <v>Lotte North</v>
      </c>
      <c r="Z122" s="196" t="str">
        <f>VLOOKUP($G122,'[2]Thông tin NPP'!$B:$D,3,0)</f>
        <v>Lotte North</v>
      </c>
      <c r="AA122" s="196" t="str">
        <f t="shared" si="30"/>
        <v>Nextar Bro</v>
      </c>
      <c r="AB122" s="196" t="str">
        <f>IFERROR(VLOOKUP(DAY(B122),'[2]Chuyển đổi mã'!$F$1:$G$32,2,0),0)</f>
        <v>W1</v>
      </c>
      <c r="AC122" s="196" t="str">
        <f t="shared" si="31"/>
        <v>323708</v>
      </c>
      <c r="AD122" s="196" t="str">
        <f t="shared" si="32"/>
        <v>NPP</v>
      </c>
      <c r="AE122" s="196" t="str">
        <f t="shared" si="33"/>
        <v>NPP323708</v>
      </c>
      <c r="AF122" s="196">
        <f t="shared" si="34"/>
        <v>0</v>
      </c>
    </row>
    <row r="123" spans="1:32" ht="12.95" customHeight="1">
      <c r="A123" s="190">
        <v>62466</v>
      </c>
      <c r="B123" s="191">
        <v>43557</v>
      </c>
      <c r="C123" s="190" t="s">
        <v>457</v>
      </c>
      <c r="D123" s="190" t="s">
        <v>462</v>
      </c>
      <c r="E123" s="190" t="s">
        <v>346</v>
      </c>
      <c r="F123" s="190" t="s">
        <v>463</v>
      </c>
      <c r="G123" s="192" t="s">
        <v>464</v>
      </c>
      <c r="H123" s="192" t="s">
        <v>296</v>
      </c>
      <c r="I123" s="192" t="s">
        <v>349</v>
      </c>
      <c r="J123" s="192" t="s">
        <v>350</v>
      </c>
      <c r="K123" s="190" t="s">
        <v>351</v>
      </c>
      <c r="L123" s="190" t="s">
        <v>352</v>
      </c>
      <c r="M123" s="192" t="s">
        <v>353</v>
      </c>
      <c r="N123" s="193">
        <v>25</v>
      </c>
      <c r="O123" s="193">
        <v>119700.35</v>
      </c>
      <c r="P123" s="194">
        <v>2992508.75</v>
      </c>
      <c r="Q123" s="194">
        <v>299250.875</v>
      </c>
      <c r="R123" s="194">
        <v>3291759.625</v>
      </c>
      <c r="S123" s="192" t="s">
        <v>354</v>
      </c>
      <c r="T123" s="192" t="s">
        <v>355</v>
      </c>
      <c r="U123" s="190">
        <v>60189</v>
      </c>
      <c r="V123" s="190"/>
      <c r="W123" s="195" t="s">
        <v>356</v>
      </c>
      <c r="X123" s="196" t="str">
        <f>+IFERROR(VLOOKUP($F123,'[2]Chuyển đổi mã'!$A$1:$C$91,3,0),$F123)&amp;AC123</f>
        <v>Big C South320463</v>
      </c>
      <c r="Y123" s="196" t="str">
        <f>IFERROR(VLOOKUP($F123,'[2]Chuyển đổi mã'!$A$1:$C$184,3,0),F123)</f>
        <v>Big C South</v>
      </c>
      <c r="Z123" s="196" t="str">
        <f>VLOOKUP($G123,'[2]Thông tin NPP'!$B:$D,3,0)</f>
        <v>BIG C South</v>
      </c>
      <c r="AA123" s="196" t="str">
        <f t="shared" si="30"/>
        <v>Na 8,5g</v>
      </c>
      <c r="AB123" s="196" t="str">
        <f>IFERROR(VLOOKUP(DAY(B123),'[2]Chuyển đổi mã'!$F$1:$G$32,2,0),0)</f>
        <v>W1</v>
      </c>
      <c r="AC123" s="196" t="str">
        <f t="shared" si="31"/>
        <v>320463</v>
      </c>
      <c r="AD123" s="196" t="str">
        <f t="shared" si="32"/>
        <v>NPP</v>
      </c>
      <c r="AE123" s="196" t="str">
        <f t="shared" si="33"/>
        <v>NPP320463</v>
      </c>
      <c r="AF123" s="196">
        <f t="shared" si="34"/>
        <v>0</v>
      </c>
    </row>
    <row r="124" spans="1:32" ht="12.95" customHeight="1">
      <c r="A124" s="190">
        <v>62466</v>
      </c>
      <c r="B124" s="191">
        <v>43557</v>
      </c>
      <c r="C124" s="190" t="s">
        <v>457</v>
      </c>
      <c r="D124" s="190" t="s">
        <v>462</v>
      </c>
      <c r="E124" s="190" t="s">
        <v>346</v>
      </c>
      <c r="F124" s="190" t="s">
        <v>463</v>
      </c>
      <c r="G124" s="192" t="s">
        <v>464</v>
      </c>
      <c r="H124" s="192" t="s">
        <v>296</v>
      </c>
      <c r="I124" s="192" t="s">
        <v>349</v>
      </c>
      <c r="J124" s="192" t="s">
        <v>350</v>
      </c>
      <c r="K124" s="190" t="s">
        <v>351</v>
      </c>
      <c r="L124" s="190" t="s">
        <v>359</v>
      </c>
      <c r="M124" s="192" t="s">
        <v>360</v>
      </c>
      <c r="N124" s="193">
        <v>1</v>
      </c>
      <c r="O124" s="193">
        <v>313636</v>
      </c>
      <c r="P124" s="194">
        <v>313636</v>
      </c>
      <c r="Q124" s="194">
        <v>31363.599999999999</v>
      </c>
      <c r="R124" s="194">
        <v>344999.6</v>
      </c>
      <c r="S124" s="192"/>
      <c r="T124" s="192" t="s">
        <v>310</v>
      </c>
      <c r="U124" s="190">
        <v>60189</v>
      </c>
      <c r="V124" s="190"/>
      <c r="W124" s="195" t="s">
        <v>356</v>
      </c>
      <c r="X124" s="196" t="str">
        <f>+IFERROR(VLOOKUP($F124,'[2]Chuyển đổi mã'!$A$1:$C$91,3,0),$F124)&amp;AC124</f>
        <v>Big C South320445</v>
      </c>
      <c r="Y124" s="196" t="str">
        <f>IFERROR(VLOOKUP($F124,'[2]Chuyển đổi mã'!$A$1:$C$184,3,0),F124)</f>
        <v>Big C South</v>
      </c>
      <c r="Z124" s="196" t="str">
        <f>VLOOKUP($G124,'[2]Thông tin NPP'!$B:$D,3,0)</f>
        <v>BIG C South</v>
      </c>
      <c r="AA124" s="196" t="str">
        <f t="shared" si="30"/>
        <v>Na 58g</v>
      </c>
      <c r="AB124" s="196" t="str">
        <f>IFERROR(VLOOKUP(DAY(B124),'[2]Chuyển đổi mã'!$F$1:$G$32,2,0),0)</f>
        <v>W1</v>
      </c>
      <c r="AC124" s="196" t="str">
        <f t="shared" si="31"/>
        <v>320445</v>
      </c>
      <c r="AD124" s="196" t="str">
        <f t="shared" si="32"/>
        <v>NPP</v>
      </c>
      <c r="AE124" s="196" t="str">
        <f t="shared" si="33"/>
        <v>NPP320445</v>
      </c>
      <c r="AF124" s="196">
        <f t="shared" si="34"/>
        <v>0</v>
      </c>
    </row>
    <row r="125" spans="1:32" ht="12.95" customHeight="1">
      <c r="A125" s="190">
        <v>62466</v>
      </c>
      <c r="B125" s="191">
        <v>43557</v>
      </c>
      <c r="C125" s="190" t="s">
        <v>457</v>
      </c>
      <c r="D125" s="190" t="s">
        <v>462</v>
      </c>
      <c r="E125" s="190" t="s">
        <v>346</v>
      </c>
      <c r="F125" s="190" t="s">
        <v>463</v>
      </c>
      <c r="G125" s="192" t="s">
        <v>464</v>
      </c>
      <c r="H125" s="192" t="s">
        <v>296</v>
      </c>
      <c r="I125" s="192" t="s">
        <v>349</v>
      </c>
      <c r="J125" s="192" t="s">
        <v>350</v>
      </c>
      <c r="K125" s="190" t="s">
        <v>351</v>
      </c>
      <c r="L125" s="190" t="s">
        <v>361</v>
      </c>
      <c r="M125" s="192" t="s">
        <v>362</v>
      </c>
      <c r="N125" s="193">
        <v>1</v>
      </c>
      <c r="O125" s="193">
        <v>313636</v>
      </c>
      <c r="P125" s="194">
        <v>313636</v>
      </c>
      <c r="Q125" s="194">
        <v>31363.599999999999</v>
      </c>
      <c r="R125" s="194">
        <v>344999.6</v>
      </c>
      <c r="S125" s="192"/>
      <c r="T125" s="192" t="s">
        <v>310</v>
      </c>
      <c r="U125" s="190">
        <v>60189</v>
      </c>
      <c r="V125" s="190"/>
      <c r="W125" s="195" t="s">
        <v>356</v>
      </c>
      <c r="X125" s="196" t="str">
        <f>+IFERROR(VLOOKUP($F125,'[2]Chuyển đổi mã'!$A$1:$C$91,3,0),$F125)&amp;AC125</f>
        <v>Big C South331017</v>
      </c>
      <c r="Y125" s="196" t="str">
        <f>IFERROR(VLOOKUP($F125,'[2]Chuyển đổi mã'!$A$1:$C$184,3,0),F125)</f>
        <v>Big C South</v>
      </c>
      <c r="Z125" s="196" t="str">
        <f>VLOOKUP($G125,'[2]Thông tin NPP'!$B:$D,3,0)</f>
        <v>BIG C South</v>
      </c>
      <c r="AA125" s="196" t="str">
        <f t="shared" si="30"/>
        <v>Richoco Wf</v>
      </c>
      <c r="AB125" s="196" t="str">
        <f>IFERROR(VLOOKUP(DAY(B125),'[2]Chuyển đổi mã'!$F$1:$G$32,2,0),0)</f>
        <v>W1</v>
      </c>
      <c r="AC125" s="196" t="str">
        <f t="shared" si="31"/>
        <v>331017</v>
      </c>
      <c r="AD125" s="196" t="str">
        <f t="shared" si="32"/>
        <v>NPP</v>
      </c>
      <c r="AE125" s="196" t="str">
        <f t="shared" si="33"/>
        <v>NPP331017</v>
      </c>
      <c r="AF125" s="196">
        <f t="shared" si="34"/>
        <v>0</v>
      </c>
    </row>
    <row r="126" spans="1:32" ht="12.95" customHeight="1">
      <c r="A126" s="190">
        <v>62466</v>
      </c>
      <c r="B126" s="191">
        <v>43557</v>
      </c>
      <c r="C126" s="190" t="s">
        <v>457</v>
      </c>
      <c r="D126" s="190" t="s">
        <v>462</v>
      </c>
      <c r="E126" s="190" t="s">
        <v>346</v>
      </c>
      <c r="F126" s="190" t="s">
        <v>463</v>
      </c>
      <c r="G126" s="192" t="s">
        <v>464</v>
      </c>
      <c r="H126" s="192" t="s">
        <v>296</v>
      </c>
      <c r="I126" s="192" t="s">
        <v>349</v>
      </c>
      <c r="J126" s="192" t="s">
        <v>350</v>
      </c>
      <c r="K126" s="190" t="s">
        <v>351</v>
      </c>
      <c r="L126" s="190" t="s">
        <v>363</v>
      </c>
      <c r="M126" s="192" t="s">
        <v>364</v>
      </c>
      <c r="N126" s="193">
        <v>3</v>
      </c>
      <c r="O126" s="193">
        <v>334545</v>
      </c>
      <c r="P126" s="194">
        <v>1003635</v>
      </c>
      <c r="Q126" s="194">
        <v>100363.5</v>
      </c>
      <c r="R126" s="194">
        <v>1103998.5</v>
      </c>
      <c r="S126" s="192"/>
      <c r="T126" s="192" t="s">
        <v>310</v>
      </c>
      <c r="U126" s="190">
        <v>60189</v>
      </c>
      <c r="V126" s="190"/>
      <c r="W126" s="195" t="s">
        <v>356</v>
      </c>
      <c r="X126" s="196" t="str">
        <f>+IFERROR(VLOOKUP($F126,'[2]Chuyển đổi mã'!$A$1:$C$91,3,0),$F126)&amp;AC126</f>
        <v>Big C South323708</v>
      </c>
      <c r="Y126" s="196" t="str">
        <f>IFERROR(VLOOKUP($F126,'[2]Chuyển đổi mã'!$A$1:$C$184,3,0),F126)</f>
        <v>Big C South</v>
      </c>
      <c r="Z126" s="196" t="str">
        <f>VLOOKUP($G126,'[2]Thông tin NPP'!$B:$D,3,0)</f>
        <v>BIG C South</v>
      </c>
      <c r="AA126" s="196" t="str">
        <f t="shared" si="30"/>
        <v>Nextar Bro</v>
      </c>
      <c r="AB126" s="196" t="str">
        <f>IFERROR(VLOOKUP(DAY(B126),'[2]Chuyển đổi mã'!$F$1:$G$32,2,0),0)</f>
        <v>W1</v>
      </c>
      <c r="AC126" s="196" t="str">
        <f t="shared" si="31"/>
        <v>323708</v>
      </c>
      <c r="AD126" s="196" t="str">
        <f t="shared" si="32"/>
        <v>NPP</v>
      </c>
      <c r="AE126" s="196" t="str">
        <f t="shared" si="33"/>
        <v>NPP323708</v>
      </c>
      <c r="AF126" s="196">
        <f t="shared" si="34"/>
        <v>0</v>
      </c>
    </row>
    <row r="127" spans="1:32" ht="12.95" customHeight="1">
      <c r="A127" s="190">
        <v>62466</v>
      </c>
      <c r="B127" s="191">
        <v>43557</v>
      </c>
      <c r="C127" s="190" t="s">
        <v>457</v>
      </c>
      <c r="D127" s="190" t="s">
        <v>462</v>
      </c>
      <c r="E127" s="190" t="s">
        <v>346</v>
      </c>
      <c r="F127" s="190" t="s">
        <v>463</v>
      </c>
      <c r="G127" s="192" t="s">
        <v>464</v>
      </c>
      <c r="H127" s="192" t="s">
        <v>296</v>
      </c>
      <c r="I127" s="192" t="s">
        <v>349</v>
      </c>
      <c r="J127" s="192" t="s">
        <v>350</v>
      </c>
      <c r="K127" s="190" t="s">
        <v>351</v>
      </c>
      <c r="L127" s="190" t="s">
        <v>365</v>
      </c>
      <c r="M127" s="192" t="s">
        <v>366</v>
      </c>
      <c r="N127" s="193">
        <v>2</v>
      </c>
      <c r="O127" s="193">
        <v>313636</v>
      </c>
      <c r="P127" s="194">
        <v>627272</v>
      </c>
      <c r="Q127" s="194">
        <v>62727.199999999997</v>
      </c>
      <c r="R127" s="194">
        <v>689999.2</v>
      </c>
      <c r="S127" s="192"/>
      <c r="T127" s="192" t="s">
        <v>310</v>
      </c>
      <c r="U127" s="190">
        <v>60189</v>
      </c>
      <c r="V127" s="190"/>
      <c r="W127" s="195" t="s">
        <v>356</v>
      </c>
      <c r="X127" s="196" t="str">
        <f>+IFERROR(VLOOKUP($F127,'[2]Chuyển đổi mã'!$A$1:$C$91,3,0),$F127)&amp;AC127</f>
        <v>Big C South323709</v>
      </c>
      <c r="Y127" s="196" t="str">
        <f>IFERROR(VLOOKUP($F127,'[2]Chuyển đổi mã'!$A$1:$C$184,3,0),F127)</f>
        <v>Big C South</v>
      </c>
      <c r="Z127" s="196" t="str">
        <f>VLOOKUP($G127,'[2]Thông tin NPP'!$B:$D,3,0)</f>
        <v>BIG C South</v>
      </c>
      <c r="AA127" s="196" t="str">
        <f t="shared" si="30"/>
        <v>Nextar Bro</v>
      </c>
      <c r="AB127" s="196" t="str">
        <f>IFERROR(VLOOKUP(DAY(B127),'[2]Chuyển đổi mã'!$F$1:$G$32,2,0),0)</f>
        <v>W1</v>
      </c>
      <c r="AC127" s="196" t="str">
        <f t="shared" si="31"/>
        <v>323709</v>
      </c>
      <c r="AD127" s="196" t="str">
        <f t="shared" si="32"/>
        <v>NPP</v>
      </c>
      <c r="AE127" s="196" t="str">
        <f t="shared" si="33"/>
        <v>NPP323709</v>
      </c>
      <c r="AF127" s="196">
        <f t="shared" si="34"/>
        <v>0</v>
      </c>
    </row>
    <row r="128" spans="1:32" ht="12.95" customHeight="1">
      <c r="A128" s="190">
        <v>62467</v>
      </c>
      <c r="B128" s="191">
        <v>43557</v>
      </c>
      <c r="C128" s="190" t="s">
        <v>457</v>
      </c>
      <c r="D128" s="190" t="s">
        <v>465</v>
      </c>
      <c r="E128" s="190" t="s">
        <v>346</v>
      </c>
      <c r="F128" s="190" t="s">
        <v>466</v>
      </c>
      <c r="G128" s="192" t="s">
        <v>467</v>
      </c>
      <c r="H128" s="192" t="s">
        <v>296</v>
      </c>
      <c r="I128" s="192" t="s">
        <v>349</v>
      </c>
      <c r="J128" s="192" t="s">
        <v>350</v>
      </c>
      <c r="K128" s="190" t="s">
        <v>351</v>
      </c>
      <c r="L128" s="190" t="s">
        <v>352</v>
      </c>
      <c r="M128" s="192" t="s">
        <v>353</v>
      </c>
      <c r="N128" s="193">
        <v>11</v>
      </c>
      <c r="O128" s="193">
        <v>119700.35</v>
      </c>
      <c r="P128" s="194">
        <v>1316703.8500000001</v>
      </c>
      <c r="Q128" s="194">
        <v>131670.38500000001</v>
      </c>
      <c r="R128" s="194">
        <v>1448374.2350000001</v>
      </c>
      <c r="S128" s="192" t="s">
        <v>354</v>
      </c>
      <c r="T128" s="192" t="s">
        <v>355</v>
      </c>
      <c r="U128" s="190">
        <v>60190</v>
      </c>
      <c r="V128" s="190"/>
      <c r="W128" s="195" t="s">
        <v>356</v>
      </c>
      <c r="X128" s="196" t="str">
        <f>+IFERROR(VLOOKUP($F128,'[2]Chuyển đổi mã'!$A$1:$C$91,3,0),$F128)&amp;AC128</f>
        <v>Big C South320463</v>
      </c>
      <c r="Y128" s="196" t="str">
        <f>IFERROR(VLOOKUP($F128,'[2]Chuyển đổi mã'!$A$1:$C$184,3,0),F128)</f>
        <v>Big C South</v>
      </c>
      <c r="Z128" s="196" t="str">
        <f>VLOOKUP($G128,'[2]Thông tin NPP'!$B:$D,3,0)</f>
        <v>Big C South</v>
      </c>
      <c r="AA128" s="196" t="str">
        <f t="shared" si="30"/>
        <v>Na 8,5g</v>
      </c>
      <c r="AB128" s="196" t="str">
        <f>IFERROR(VLOOKUP(DAY(B128),'[2]Chuyển đổi mã'!$F$1:$G$32,2,0),0)</f>
        <v>W1</v>
      </c>
      <c r="AC128" s="196" t="str">
        <f t="shared" si="31"/>
        <v>320463</v>
      </c>
      <c r="AD128" s="196" t="str">
        <f t="shared" si="32"/>
        <v>NPP</v>
      </c>
      <c r="AE128" s="196" t="str">
        <f t="shared" si="33"/>
        <v>NPP320463</v>
      </c>
      <c r="AF128" s="196">
        <f t="shared" si="34"/>
        <v>0</v>
      </c>
    </row>
    <row r="129" spans="1:32" ht="12.95" customHeight="1">
      <c r="A129" s="190">
        <v>62467</v>
      </c>
      <c r="B129" s="191">
        <v>43557</v>
      </c>
      <c r="C129" s="190" t="s">
        <v>457</v>
      </c>
      <c r="D129" s="190" t="s">
        <v>465</v>
      </c>
      <c r="E129" s="190" t="s">
        <v>346</v>
      </c>
      <c r="F129" s="190" t="s">
        <v>466</v>
      </c>
      <c r="G129" s="192" t="s">
        <v>467</v>
      </c>
      <c r="H129" s="192" t="s">
        <v>296</v>
      </c>
      <c r="I129" s="192" t="s">
        <v>349</v>
      </c>
      <c r="J129" s="192" t="s">
        <v>350</v>
      </c>
      <c r="K129" s="190" t="s">
        <v>351</v>
      </c>
      <c r="L129" s="190" t="s">
        <v>387</v>
      </c>
      <c r="M129" s="192" t="s">
        <v>388</v>
      </c>
      <c r="N129" s="193">
        <v>1</v>
      </c>
      <c r="O129" s="193">
        <v>355455</v>
      </c>
      <c r="P129" s="194">
        <v>355455</v>
      </c>
      <c r="Q129" s="194">
        <v>35545.5</v>
      </c>
      <c r="R129" s="194">
        <v>391000.5</v>
      </c>
      <c r="S129" s="192"/>
      <c r="T129" s="192" t="s">
        <v>310</v>
      </c>
      <c r="U129" s="190">
        <v>60190</v>
      </c>
      <c r="V129" s="190"/>
      <c r="W129" s="195" t="s">
        <v>356</v>
      </c>
      <c r="X129" s="196" t="str">
        <f>+IFERROR(VLOOKUP($F129,'[2]Chuyển đổi mã'!$A$1:$C$91,3,0),$F129)&amp;AC129</f>
        <v>Big C South323620</v>
      </c>
      <c r="Y129" s="196" t="str">
        <f>IFERROR(VLOOKUP($F129,'[2]Chuyển đổi mã'!$A$1:$C$184,3,0),F129)</f>
        <v>Big C South</v>
      </c>
      <c r="Z129" s="196" t="str">
        <f>VLOOKUP($G129,'[2]Thông tin NPP'!$B:$D,3,0)</f>
        <v>Big C South</v>
      </c>
      <c r="AA129" s="196" t="str">
        <f t="shared" si="30"/>
        <v>Ahh 16g</v>
      </c>
      <c r="AB129" s="196" t="str">
        <f>IFERROR(VLOOKUP(DAY(B129),'[2]Chuyển đổi mã'!$F$1:$G$32,2,0),0)</f>
        <v>W1</v>
      </c>
      <c r="AC129" s="196" t="str">
        <f t="shared" si="31"/>
        <v>323620</v>
      </c>
      <c r="AD129" s="196" t="str">
        <f t="shared" si="32"/>
        <v>NPP</v>
      </c>
      <c r="AE129" s="196" t="str">
        <f t="shared" si="33"/>
        <v>NPP323620</v>
      </c>
      <c r="AF129" s="196">
        <f t="shared" si="34"/>
        <v>0</v>
      </c>
    </row>
    <row r="130" spans="1:32" ht="12.95" customHeight="1">
      <c r="A130" s="190">
        <v>62467</v>
      </c>
      <c r="B130" s="191">
        <v>43557</v>
      </c>
      <c r="C130" s="190" t="s">
        <v>457</v>
      </c>
      <c r="D130" s="190" t="s">
        <v>465</v>
      </c>
      <c r="E130" s="190" t="s">
        <v>346</v>
      </c>
      <c r="F130" s="190" t="s">
        <v>466</v>
      </c>
      <c r="G130" s="192" t="s">
        <v>467</v>
      </c>
      <c r="H130" s="192" t="s">
        <v>296</v>
      </c>
      <c r="I130" s="192" t="s">
        <v>349</v>
      </c>
      <c r="J130" s="192" t="s">
        <v>350</v>
      </c>
      <c r="K130" s="190" t="s">
        <v>351</v>
      </c>
      <c r="L130" s="190" t="s">
        <v>357</v>
      </c>
      <c r="M130" s="192" t="s">
        <v>358</v>
      </c>
      <c r="N130" s="193">
        <v>8</v>
      </c>
      <c r="O130" s="193">
        <v>213273</v>
      </c>
      <c r="P130" s="194">
        <v>1706184</v>
      </c>
      <c r="Q130" s="194">
        <v>170618.4</v>
      </c>
      <c r="R130" s="194">
        <v>1876802.4</v>
      </c>
      <c r="S130" s="192"/>
      <c r="T130" s="192" t="s">
        <v>310</v>
      </c>
      <c r="U130" s="190">
        <v>60190</v>
      </c>
      <c r="V130" s="190"/>
      <c r="W130" s="195" t="s">
        <v>356</v>
      </c>
      <c r="X130" s="196" t="str">
        <f>+IFERROR(VLOOKUP($F130,'[2]Chuyển đổi mã'!$A$1:$C$91,3,0),$F130)&amp;AC130</f>
        <v>Big C South323555</v>
      </c>
      <c r="Y130" s="196" t="str">
        <f>IFERROR(VLOOKUP($F130,'[2]Chuyển đổi mã'!$A$1:$C$184,3,0),F130)</f>
        <v>Big C South</v>
      </c>
      <c r="Z130" s="196" t="str">
        <f>VLOOKUP($G130,'[2]Thông tin NPP'!$B:$D,3,0)</f>
        <v>Big C South</v>
      </c>
      <c r="AA130" s="196" t="str">
        <f t="shared" si="30"/>
        <v>Na 17g - M</v>
      </c>
      <c r="AB130" s="196" t="str">
        <f>IFERROR(VLOOKUP(DAY(B130),'[2]Chuyển đổi mã'!$F$1:$G$32,2,0),0)</f>
        <v>W1</v>
      </c>
      <c r="AC130" s="196" t="str">
        <f t="shared" si="31"/>
        <v>323555</v>
      </c>
      <c r="AD130" s="196" t="str">
        <f t="shared" si="32"/>
        <v>NPP</v>
      </c>
      <c r="AE130" s="196" t="str">
        <f t="shared" si="33"/>
        <v>NPP323555</v>
      </c>
      <c r="AF130" s="196">
        <f t="shared" si="34"/>
        <v>0</v>
      </c>
    </row>
    <row r="131" spans="1:32" ht="12.95" customHeight="1">
      <c r="A131" s="190">
        <v>62467</v>
      </c>
      <c r="B131" s="191">
        <v>43557</v>
      </c>
      <c r="C131" s="190" t="s">
        <v>457</v>
      </c>
      <c r="D131" s="190" t="s">
        <v>465</v>
      </c>
      <c r="E131" s="190" t="s">
        <v>346</v>
      </c>
      <c r="F131" s="190" t="s">
        <v>466</v>
      </c>
      <c r="G131" s="192" t="s">
        <v>467</v>
      </c>
      <c r="H131" s="192" t="s">
        <v>296</v>
      </c>
      <c r="I131" s="192" t="s">
        <v>349</v>
      </c>
      <c r="J131" s="192" t="s">
        <v>350</v>
      </c>
      <c r="K131" s="190" t="s">
        <v>351</v>
      </c>
      <c r="L131" s="190" t="s">
        <v>359</v>
      </c>
      <c r="M131" s="192" t="s">
        <v>360</v>
      </c>
      <c r="N131" s="193">
        <v>4</v>
      </c>
      <c r="O131" s="193">
        <v>313636</v>
      </c>
      <c r="P131" s="194">
        <v>1254544</v>
      </c>
      <c r="Q131" s="194">
        <v>125454.39999999999</v>
      </c>
      <c r="R131" s="194">
        <v>1379998.4</v>
      </c>
      <c r="S131" s="192"/>
      <c r="T131" s="192" t="s">
        <v>310</v>
      </c>
      <c r="U131" s="190">
        <v>60190</v>
      </c>
      <c r="V131" s="190"/>
      <c r="W131" s="195" t="s">
        <v>356</v>
      </c>
      <c r="X131" s="196" t="str">
        <f>+IFERROR(VLOOKUP($F131,'[2]Chuyển đổi mã'!$A$1:$C$91,3,0),$F131)&amp;AC131</f>
        <v>Big C South320445</v>
      </c>
      <c r="Y131" s="196" t="str">
        <f>IFERROR(VLOOKUP($F131,'[2]Chuyển đổi mã'!$A$1:$C$184,3,0),F131)</f>
        <v>Big C South</v>
      </c>
      <c r="Z131" s="196" t="str">
        <f>VLOOKUP($G131,'[2]Thông tin NPP'!$B:$D,3,0)</f>
        <v>Big C South</v>
      </c>
      <c r="AA131" s="196" t="str">
        <f t="shared" si="30"/>
        <v>Na 58g</v>
      </c>
      <c r="AB131" s="196" t="str">
        <f>IFERROR(VLOOKUP(DAY(B131),'[2]Chuyển đổi mã'!$F$1:$G$32,2,0),0)</f>
        <v>W1</v>
      </c>
      <c r="AC131" s="196" t="str">
        <f t="shared" si="31"/>
        <v>320445</v>
      </c>
      <c r="AD131" s="196" t="str">
        <f t="shared" si="32"/>
        <v>NPP</v>
      </c>
      <c r="AE131" s="196" t="str">
        <f t="shared" si="33"/>
        <v>NPP320445</v>
      </c>
      <c r="AF131" s="196">
        <f t="shared" si="34"/>
        <v>0</v>
      </c>
    </row>
    <row r="132" spans="1:32" ht="12.95" customHeight="1">
      <c r="A132" s="190">
        <v>62467</v>
      </c>
      <c r="B132" s="191">
        <v>43557</v>
      </c>
      <c r="C132" s="190" t="s">
        <v>457</v>
      </c>
      <c r="D132" s="190" t="s">
        <v>465</v>
      </c>
      <c r="E132" s="190" t="s">
        <v>346</v>
      </c>
      <c r="F132" s="190" t="s">
        <v>466</v>
      </c>
      <c r="G132" s="192" t="s">
        <v>467</v>
      </c>
      <c r="H132" s="192" t="s">
        <v>296</v>
      </c>
      <c r="I132" s="192" t="s">
        <v>349</v>
      </c>
      <c r="J132" s="192" t="s">
        <v>350</v>
      </c>
      <c r="K132" s="190" t="s">
        <v>351</v>
      </c>
      <c r="L132" s="190" t="s">
        <v>361</v>
      </c>
      <c r="M132" s="192" t="s">
        <v>362</v>
      </c>
      <c r="N132" s="193">
        <v>3</v>
      </c>
      <c r="O132" s="193">
        <v>313636</v>
      </c>
      <c r="P132" s="194">
        <v>940908</v>
      </c>
      <c r="Q132" s="194">
        <v>94090.8</v>
      </c>
      <c r="R132" s="194">
        <v>1034998.8</v>
      </c>
      <c r="S132" s="192"/>
      <c r="T132" s="192" t="s">
        <v>310</v>
      </c>
      <c r="U132" s="190">
        <v>60190</v>
      </c>
      <c r="V132" s="190"/>
      <c r="W132" s="195" t="s">
        <v>356</v>
      </c>
      <c r="X132" s="196" t="str">
        <f>+IFERROR(VLOOKUP($F132,'[2]Chuyển đổi mã'!$A$1:$C$91,3,0),$F132)&amp;AC132</f>
        <v>Big C South331017</v>
      </c>
      <c r="Y132" s="196" t="str">
        <f>IFERROR(VLOOKUP($F132,'[2]Chuyển đổi mã'!$A$1:$C$184,3,0),F132)</f>
        <v>Big C South</v>
      </c>
      <c r="Z132" s="196" t="str">
        <f>VLOOKUP($G132,'[2]Thông tin NPP'!$B:$D,3,0)</f>
        <v>Big C South</v>
      </c>
      <c r="AA132" s="196" t="str">
        <f t="shared" si="30"/>
        <v>Richoco Wf</v>
      </c>
      <c r="AB132" s="196" t="str">
        <f>IFERROR(VLOOKUP(DAY(B132),'[2]Chuyển đổi mã'!$F$1:$G$32,2,0),0)</f>
        <v>W1</v>
      </c>
      <c r="AC132" s="196" t="str">
        <f t="shared" si="31"/>
        <v>331017</v>
      </c>
      <c r="AD132" s="196" t="str">
        <f t="shared" si="32"/>
        <v>NPP</v>
      </c>
      <c r="AE132" s="196" t="str">
        <f t="shared" si="33"/>
        <v>NPP331017</v>
      </c>
      <c r="AF132" s="196">
        <f t="shared" si="34"/>
        <v>0</v>
      </c>
    </row>
    <row r="133" spans="1:32" ht="12.95" customHeight="1">
      <c r="A133" s="190">
        <v>62468</v>
      </c>
      <c r="B133" s="191">
        <v>43557</v>
      </c>
      <c r="C133" s="190" t="s">
        <v>457</v>
      </c>
      <c r="D133" s="190" t="s">
        <v>468</v>
      </c>
      <c r="E133" s="190" t="s">
        <v>346</v>
      </c>
      <c r="F133" s="190" t="s">
        <v>469</v>
      </c>
      <c r="G133" s="192" t="s">
        <v>470</v>
      </c>
      <c r="H133" s="192" t="s">
        <v>296</v>
      </c>
      <c r="I133" s="192" t="s">
        <v>349</v>
      </c>
      <c r="J133" s="192" t="s">
        <v>350</v>
      </c>
      <c r="K133" s="190" t="s">
        <v>351</v>
      </c>
      <c r="L133" s="190" t="s">
        <v>352</v>
      </c>
      <c r="M133" s="192" t="s">
        <v>353</v>
      </c>
      <c r="N133" s="193">
        <v>4</v>
      </c>
      <c r="O133" s="193">
        <v>119700.35</v>
      </c>
      <c r="P133" s="194">
        <v>478801.4</v>
      </c>
      <c r="Q133" s="194">
        <v>47880.14</v>
      </c>
      <c r="R133" s="194">
        <v>526681.54</v>
      </c>
      <c r="S133" s="192" t="s">
        <v>354</v>
      </c>
      <c r="T133" s="192" t="s">
        <v>355</v>
      </c>
      <c r="U133" s="190">
        <v>60191</v>
      </c>
      <c r="V133" s="190"/>
      <c r="W133" s="195" t="s">
        <v>356</v>
      </c>
      <c r="X133" s="196" t="str">
        <f>+IFERROR(VLOOKUP($F133,'[2]Chuyển đổi mã'!$A$1:$C$91,3,0),$F133)&amp;AC133</f>
        <v>Big C South320463</v>
      </c>
      <c r="Y133" s="196" t="str">
        <f>IFERROR(VLOOKUP($F133,'[2]Chuyển đổi mã'!$A$1:$C$184,3,0),F133)</f>
        <v>Big C South</v>
      </c>
      <c r="Z133" s="196" t="str">
        <f>VLOOKUP($G133,'[2]Thông tin NPP'!$B:$D,3,0)</f>
        <v>BIG C South</v>
      </c>
      <c r="AA133" s="196" t="str">
        <f t="shared" si="30"/>
        <v>Na 8,5g</v>
      </c>
      <c r="AB133" s="196" t="str">
        <f>IFERROR(VLOOKUP(DAY(B133),'[2]Chuyển đổi mã'!$F$1:$G$32,2,0),0)</f>
        <v>W1</v>
      </c>
      <c r="AC133" s="196" t="str">
        <f t="shared" si="31"/>
        <v>320463</v>
      </c>
      <c r="AD133" s="196" t="str">
        <f t="shared" si="32"/>
        <v>NPP</v>
      </c>
      <c r="AE133" s="196" t="str">
        <f t="shared" si="33"/>
        <v>NPP320463</v>
      </c>
      <c r="AF133" s="196">
        <f t="shared" si="34"/>
        <v>0</v>
      </c>
    </row>
    <row r="134" spans="1:32" ht="12.95" customHeight="1">
      <c r="A134" s="190">
        <v>62468</v>
      </c>
      <c r="B134" s="191">
        <v>43557</v>
      </c>
      <c r="C134" s="190" t="s">
        <v>457</v>
      </c>
      <c r="D134" s="190" t="s">
        <v>468</v>
      </c>
      <c r="E134" s="190" t="s">
        <v>346</v>
      </c>
      <c r="F134" s="190" t="s">
        <v>469</v>
      </c>
      <c r="G134" s="192" t="s">
        <v>470</v>
      </c>
      <c r="H134" s="192" t="s">
        <v>296</v>
      </c>
      <c r="I134" s="192" t="s">
        <v>349</v>
      </c>
      <c r="J134" s="192" t="s">
        <v>350</v>
      </c>
      <c r="K134" s="190" t="s">
        <v>351</v>
      </c>
      <c r="L134" s="190" t="s">
        <v>387</v>
      </c>
      <c r="M134" s="192" t="s">
        <v>388</v>
      </c>
      <c r="N134" s="193">
        <v>4</v>
      </c>
      <c r="O134" s="193">
        <v>355455</v>
      </c>
      <c r="P134" s="194">
        <v>1421820</v>
      </c>
      <c r="Q134" s="194">
        <v>142182</v>
      </c>
      <c r="R134" s="194">
        <v>1564002</v>
      </c>
      <c r="S134" s="192"/>
      <c r="T134" s="192" t="s">
        <v>310</v>
      </c>
      <c r="U134" s="190">
        <v>60191</v>
      </c>
      <c r="V134" s="190"/>
      <c r="W134" s="195" t="s">
        <v>356</v>
      </c>
      <c r="X134" s="196" t="str">
        <f>+IFERROR(VLOOKUP($F134,'[2]Chuyển đổi mã'!$A$1:$C$91,3,0),$F134)&amp;AC134</f>
        <v>Big C South323620</v>
      </c>
      <c r="Y134" s="196" t="str">
        <f>IFERROR(VLOOKUP($F134,'[2]Chuyển đổi mã'!$A$1:$C$184,3,0),F134)</f>
        <v>Big C South</v>
      </c>
      <c r="Z134" s="196" t="str">
        <f>VLOOKUP($G134,'[2]Thông tin NPP'!$B:$D,3,0)</f>
        <v>BIG C South</v>
      </c>
      <c r="AA134" s="196" t="str">
        <f t="shared" si="30"/>
        <v>Ahh 16g</v>
      </c>
      <c r="AB134" s="196" t="str">
        <f>IFERROR(VLOOKUP(DAY(B134),'[2]Chuyển đổi mã'!$F$1:$G$32,2,0),0)</f>
        <v>W1</v>
      </c>
      <c r="AC134" s="196" t="str">
        <f t="shared" si="31"/>
        <v>323620</v>
      </c>
      <c r="AD134" s="196" t="str">
        <f t="shared" si="32"/>
        <v>NPP</v>
      </c>
      <c r="AE134" s="196" t="str">
        <f t="shared" si="33"/>
        <v>NPP323620</v>
      </c>
      <c r="AF134" s="196">
        <f t="shared" si="34"/>
        <v>0</v>
      </c>
    </row>
    <row r="135" spans="1:32" ht="12.95" customHeight="1">
      <c r="A135" s="190">
        <v>62468</v>
      </c>
      <c r="B135" s="191">
        <v>43557</v>
      </c>
      <c r="C135" s="190" t="s">
        <v>457</v>
      </c>
      <c r="D135" s="190" t="s">
        <v>468</v>
      </c>
      <c r="E135" s="190" t="s">
        <v>346</v>
      </c>
      <c r="F135" s="190" t="s">
        <v>469</v>
      </c>
      <c r="G135" s="192" t="s">
        <v>470</v>
      </c>
      <c r="H135" s="192" t="s">
        <v>296</v>
      </c>
      <c r="I135" s="192" t="s">
        <v>349</v>
      </c>
      <c r="J135" s="192" t="s">
        <v>350</v>
      </c>
      <c r="K135" s="190" t="s">
        <v>351</v>
      </c>
      <c r="L135" s="190" t="s">
        <v>357</v>
      </c>
      <c r="M135" s="192" t="s">
        <v>358</v>
      </c>
      <c r="N135" s="193">
        <v>3</v>
      </c>
      <c r="O135" s="193">
        <v>213273</v>
      </c>
      <c r="P135" s="194">
        <v>639819</v>
      </c>
      <c r="Q135" s="194">
        <v>63981.9</v>
      </c>
      <c r="R135" s="194">
        <v>703800.9</v>
      </c>
      <c r="S135" s="192"/>
      <c r="T135" s="192" t="s">
        <v>310</v>
      </c>
      <c r="U135" s="190">
        <v>60191</v>
      </c>
      <c r="V135" s="190"/>
      <c r="W135" s="195" t="s">
        <v>356</v>
      </c>
      <c r="X135" s="196" t="str">
        <f>+IFERROR(VLOOKUP($F135,'[2]Chuyển đổi mã'!$A$1:$C$91,3,0),$F135)&amp;AC135</f>
        <v>Big C South323555</v>
      </c>
      <c r="Y135" s="196" t="str">
        <f>IFERROR(VLOOKUP($F135,'[2]Chuyển đổi mã'!$A$1:$C$184,3,0),F135)</f>
        <v>Big C South</v>
      </c>
      <c r="Z135" s="196" t="str">
        <f>VLOOKUP($G135,'[2]Thông tin NPP'!$B:$D,3,0)</f>
        <v>BIG C South</v>
      </c>
      <c r="AA135" s="196" t="str">
        <f t="shared" si="30"/>
        <v>Na 17g - M</v>
      </c>
      <c r="AB135" s="196" t="str">
        <f>IFERROR(VLOOKUP(DAY(B135),'[2]Chuyển đổi mã'!$F$1:$G$32,2,0),0)</f>
        <v>W1</v>
      </c>
      <c r="AC135" s="196" t="str">
        <f t="shared" si="31"/>
        <v>323555</v>
      </c>
      <c r="AD135" s="196" t="str">
        <f t="shared" si="32"/>
        <v>NPP</v>
      </c>
      <c r="AE135" s="196" t="str">
        <f t="shared" si="33"/>
        <v>NPP323555</v>
      </c>
      <c r="AF135" s="196">
        <f t="shared" si="34"/>
        <v>0</v>
      </c>
    </row>
    <row r="136" spans="1:32" ht="12.95" customHeight="1">
      <c r="A136" s="190">
        <v>62468</v>
      </c>
      <c r="B136" s="191">
        <v>43557</v>
      </c>
      <c r="C136" s="190" t="s">
        <v>457</v>
      </c>
      <c r="D136" s="190" t="s">
        <v>468</v>
      </c>
      <c r="E136" s="190" t="s">
        <v>346</v>
      </c>
      <c r="F136" s="190" t="s">
        <v>469</v>
      </c>
      <c r="G136" s="192" t="s">
        <v>470</v>
      </c>
      <c r="H136" s="192" t="s">
        <v>296</v>
      </c>
      <c r="I136" s="192" t="s">
        <v>349</v>
      </c>
      <c r="J136" s="192" t="s">
        <v>350</v>
      </c>
      <c r="K136" s="190" t="s">
        <v>351</v>
      </c>
      <c r="L136" s="190" t="s">
        <v>359</v>
      </c>
      <c r="M136" s="192" t="s">
        <v>360</v>
      </c>
      <c r="N136" s="193">
        <v>2</v>
      </c>
      <c r="O136" s="193">
        <v>313636</v>
      </c>
      <c r="P136" s="194">
        <v>627272</v>
      </c>
      <c r="Q136" s="194">
        <v>62727.199999999997</v>
      </c>
      <c r="R136" s="194">
        <v>689999.2</v>
      </c>
      <c r="S136" s="192"/>
      <c r="T136" s="192" t="s">
        <v>310</v>
      </c>
      <c r="U136" s="190">
        <v>60191</v>
      </c>
      <c r="V136" s="190"/>
      <c r="W136" s="195" t="s">
        <v>356</v>
      </c>
      <c r="X136" s="196" t="str">
        <f>+IFERROR(VLOOKUP($F136,'[2]Chuyển đổi mã'!$A$1:$C$91,3,0),$F136)&amp;AC136</f>
        <v>Big C South320445</v>
      </c>
      <c r="Y136" s="196" t="str">
        <f>IFERROR(VLOOKUP($F136,'[2]Chuyển đổi mã'!$A$1:$C$184,3,0),F136)</f>
        <v>Big C South</v>
      </c>
      <c r="Z136" s="196" t="str">
        <f>VLOOKUP($G136,'[2]Thông tin NPP'!$B:$D,3,0)</f>
        <v>BIG C South</v>
      </c>
      <c r="AA136" s="196" t="str">
        <f t="shared" si="30"/>
        <v>Na 58g</v>
      </c>
      <c r="AB136" s="196" t="str">
        <f>IFERROR(VLOOKUP(DAY(B136),'[2]Chuyển đổi mã'!$F$1:$G$32,2,0),0)</f>
        <v>W1</v>
      </c>
      <c r="AC136" s="196" t="str">
        <f t="shared" si="31"/>
        <v>320445</v>
      </c>
      <c r="AD136" s="196" t="str">
        <f t="shared" si="32"/>
        <v>NPP</v>
      </c>
      <c r="AE136" s="196" t="str">
        <f t="shared" si="33"/>
        <v>NPP320445</v>
      </c>
      <c r="AF136" s="196">
        <f t="shared" si="34"/>
        <v>0</v>
      </c>
    </row>
    <row r="137" spans="1:32" ht="12.95" customHeight="1">
      <c r="A137" s="190">
        <v>62468</v>
      </c>
      <c r="B137" s="191">
        <v>43557</v>
      </c>
      <c r="C137" s="190" t="s">
        <v>457</v>
      </c>
      <c r="D137" s="190" t="s">
        <v>468</v>
      </c>
      <c r="E137" s="190" t="s">
        <v>346</v>
      </c>
      <c r="F137" s="190" t="s">
        <v>469</v>
      </c>
      <c r="G137" s="192" t="s">
        <v>470</v>
      </c>
      <c r="H137" s="192" t="s">
        <v>296</v>
      </c>
      <c r="I137" s="192" t="s">
        <v>349</v>
      </c>
      <c r="J137" s="192" t="s">
        <v>350</v>
      </c>
      <c r="K137" s="190" t="s">
        <v>351</v>
      </c>
      <c r="L137" s="190" t="s">
        <v>361</v>
      </c>
      <c r="M137" s="192" t="s">
        <v>362</v>
      </c>
      <c r="N137" s="193">
        <v>1</v>
      </c>
      <c r="O137" s="193">
        <v>313636</v>
      </c>
      <c r="P137" s="194">
        <v>313636</v>
      </c>
      <c r="Q137" s="194">
        <v>31363.599999999999</v>
      </c>
      <c r="R137" s="194">
        <v>344999.6</v>
      </c>
      <c r="S137" s="192"/>
      <c r="T137" s="192" t="s">
        <v>310</v>
      </c>
      <c r="U137" s="190">
        <v>60191</v>
      </c>
      <c r="V137" s="190"/>
      <c r="W137" s="195" t="s">
        <v>356</v>
      </c>
      <c r="X137" s="196" t="str">
        <f>+IFERROR(VLOOKUP($F137,'[2]Chuyển đổi mã'!$A$1:$C$91,3,0),$F137)&amp;AC137</f>
        <v>Big C South331017</v>
      </c>
      <c r="Y137" s="196" t="str">
        <f>IFERROR(VLOOKUP($F137,'[2]Chuyển đổi mã'!$A$1:$C$184,3,0),F137)</f>
        <v>Big C South</v>
      </c>
      <c r="Z137" s="196" t="str">
        <f>VLOOKUP($G137,'[2]Thông tin NPP'!$B:$D,3,0)</f>
        <v>BIG C South</v>
      </c>
      <c r="AA137" s="196" t="str">
        <f t="shared" si="30"/>
        <v>Richoco Wf</v>
      </c>
      <c r="AB137" s="196" t="str">
        <f>IFERROR(VLOOKUP(DAY(B137),'[2]Chuyển đổi mã'!$F$1:$G$32,2,0),0)</f>
        <v>W1</v>
      </c>
      <c r="AC137" s="196" t="str">
        <f t="shared" si="31"/>
        <v>331017</v>
      </c>
      <c r="AD137" s="196" t="str">
        <f t="shared" si="32"/>
        <v>NPP</v>
      </c>
      <c r="AE137" s="196" t="str">
        <f t="shared" si="33"/>
        <v>NPP331017</v>
      </c>
      <c r="AF137" s="196">
        <f t="shared" si="34"/>
        <v>0</v>
      </c>
    </row>
    <row r="138" spans="1:32" ht="12.95" customHeight="1">
      <c r="A138" s="190">
        <v>62468</v>
      </c>
      <c r="B138" s="191">
        <v>43557</v>
      </c>
      <c r="C138" s="190" t="s">
        <v>457</v>
      </c>
      <c r="D138" s="190" t="s">
        <v>468</v>
      </c>
      <c r="E138" s="190" t="s">
        <v>346</v>
      </c>
      <c r="F138" s="190" t="s">
        <v>469</v>
      </c>
      <c r="G138" s="192" t="s">
        <v>470</v>
      </c>
      <c r="H138" s="192" t="s">
        <v>296</v>
      </c>
      <c r="I138" s="192" t="s">
        <v>349</v>
      </c>
      <c r="J138" s="192" t="s">
        <v>350</v>
      </c>
      <c r="K138" s="190" t="s">
        <v>351</v>
      </c>
      <c r="L138" s="190" t="s">
        <v>363</v>
      </c>
      <c r="M138" s="192" t="s">
        <v>364</v>
      </c>
      <c r="N138" s="193">
        <v>3</v>
      </c>
      <c r="O138" s="193">
        <v>334545</v>
      </c>
      <c r="P138" s="194">
        <v>1003635</v>
      </c>
      <c r="Q138" s="194">
        <v>100363.5</v>
      </c>
      <c r="R138" s="194">
        <v>1103998.5</v>
      </c>
      <c r="S138" s="192"/>
      <c r="T138" s="192" t="s">
        <v>310</v>
      </c>
      <c r="U138" s="190">
        <v>60191</v>
      </c>
      <c r="V138" s="190"/>
      <c r="W138" s="195" t="s">
        <v>356</v>
      </c>
      <c r="X138" s="196" t="str">
        <f>+IFERROR(VLOOKUP($F138,'[2]Chuyển đổi mã'!$A$1:$C$91,3,0),$F138)&amp;AC138</f>
        <v>Big C South323708</v>
      </c>
      <c r="Y138" s="196" t="str">
        <f>IFERROR(VLOOKUP($F138,'[2]Chuyển đổi mã'!$A$1:$C$184,3,0),F138)</f>
        <v>Big C South</v>
      </c>
      <c r="Z138" s="196" t="str">
        <f>VLOOKUP($G138,'[2]Thông tin NPP'!$B:$D,3,0)</f>
        <v>BIG C South</v>
      </c>
      <c r="AA138" s="196" t="str">
        <f t="shared" si="30"/>
        <v>Nextar Bro</v>
      </c>
      <c r="AB138" s="196" t="str">
        <f>IFERROR(VLOOKUP(DAY(B138),'[2]Chuyển đổi mã'!$F$1:$G$32,2,0),0)</f>
        <v>W1</v>
      </c>
      <c r="AC138" s="196" t="str">
        <f t="shared" si="31"/>
        <v>323708</v>
      </c>
      <c r="AD138" s="196" t="str">
        <f t="shared" si="32"/>
        <v>NPP</v>
      </c>
      <c r="AE138" s="196" t="str">
        <f t="shared" si="33"/>
        <v>NPP323708</v>
      </c>
      <c r="AF138" s="196">
        <f t="shared" si="34"/>
        <v>0</v>
      </c>
    </row>
    <row r="139" spans="1:32" ht="12.95" customHeight="1">
      <c r="A139" s="190">
        <v>62468</v>
      </c>
      <c r="B139" s="191">
        <v>43557</v>
      </c>
      <c r="C139" s="190" t="s">
        <v>457</v>
      </c>
      <c r="D139" s="190" t="s">
        <v>468</v>
      </c>
      <c r="E139" s="190" t="s">
        <v>346</v>
      </c>
      <c r="F139" s="190" t="s">
        <v>469</v>
      </c>
      <c r="G139" s="192" t="s">
        <v>470</v>
      </c>
      <c r="H139" s="192" t="s">
        <v>296</v>
      </c>
      <c r="I139" s="192" t="s">
        <v>349</v>
      </c>
      <c r="J139" s="192" t="s">
        <v>350</v>
      </c>
      <c r="K139" s="190" t="s">
        <v>351</v>
      </c>
      <c r="L139" s="190" t="s">
        <v>365</v>
      </c>
      <c r="M139" s="192" t="s">
        <v>366</v>
      </c>
      <c r="N139" s="193">
        <v>2</v>
      </c>
      <c r="O139" s="193">
        <v>313636</v>
      </c>
      <c r="P139" s="194">
        <v>627272</v>
      </c>
      <c r="Q139" s="194">
        <v>62727.199999999997</v>
      </c>
      <c r="R139" s="194">
        <v>689999.2</v>
      </c>
      <c r="S139" s="192"/>
      <c r="T139" s="192" t="s">
        <v>310</v>
      </c>
      <c r="U139" s="190">
        <v>60191</v>
      </c>
      <c r="V139" s="190"/>
      <c r="W139" s="195" t="s">
        <v>356</v>
      </c>
      <c r="X139" s="196" t="str">
        <f>+IFERROR(VLOOKUP($F139,'[2]Chuyển đổi mã'!$A$1:$C$91,3,0),$F139)&amp;AC139</f>
        <v>Big C South323709</v>
      </c>
      <c r="Y139" s="196" t="str">
        <f>IFERROR(VLOOKUP($F139,'[2]Chuyển đổi mã'!$A$1:$C$184,3,0),F139)</f>
        <v>Big C South</v>
      </c>
      <c r="Z139" s="196" t="str">
        <f>VLOOKUP($G139,'[2]Thông tin NPP'!$B:$D,3,0)</f>
        <v>BIG C South</v>
      </c>
      <c r="AA139" s="196" t="str">
        <f t="shared" si="30"/>
        <v>Nextar Bro</v>
      </c>
      <c r="AB139" s="196" t="str">
        <f>IFERROR(VLOOKUP(DAY(B139),'[2]Chuyển đổi mã'!$F$1:$G$32,2,0),0)</f>
        <v>W1</v>
      </c>
      <c r="AC139" s="196" t="str">
        <f t="shared" si="31"/>
        <v>323709</v>
      </c>
      <c r="AD139" s="196" t="str">
        <f t="shared" si="32"/>
        <v>NPP</v>
      </c>
      <c r="AE139" s="196" t="str">
        <f t="shared" si="33"/>
        <v>NPP323709</v>
      </c>
      <c r="AF139" s="196">
        <f t="shared" si="34"/>
        <v>0</v>
      </c>
    </row>
    <row r="140" spans="1:32" ht="12.95" customHeight="1">
      <c r="A140" s="190">
        <v>62469</v>
      </c>
      <c r="B140" s="191">
        <v>43557</v>
      </c>
      <c r="C140" s="190" t="s">
        <v>457</v>
      </c>
      <c r="D140" s="190" t="s">
        <v>471</v>
      </c>
      <c r="E140" s="190" t="s">
        <v>346</v>
      </c>
      <c r="F140" s="190" t="s">
        <v>472</v>
      </c>
      <c r="G140" s="192" t="s">
        <v>473</v>
      </c>
      <c r="H140" s="192" t="s">
        <v>296</v>
      </c>
      <c r="I140" s="192" t="s">
        <v>349</v>
      </c>
      <c r="J140" s="192" t="s">
        <v>350</v>
      </c>
      <c r="K140" s="190" t="s">
        <v>351</v>
      </c>
      <c r="L140" s="190" t="s">
        <v>352</v>
      </c>
      <c r="M140" s="192" t="s">
        <v>353</v>
      </c>
      <c r="N140" s="193">
        <v>35</v>
      </c>
      <c r="O140" s="193">
        <v>119700.35</v>
      </c>
      <c r="P140" s="194">
        <v>4189512.25</v>
      </c>
      <c r="Q140" s="194">
        <v>418951.22499999998</v>
      </c>
      <c r="R140" s="194">
        <v>4608463.4749999996</v>
      </c>
      <c r="S140" s="192" t="s">
        <v>354</v>
      </c>
      <c r="T140" s="192" t="s">
        <v>355</v>
      </c>
      <c r="U140" s="190">
        <v>60192</v>
      </c>
      <c r="V140" s="190"/>
      <c r="W140" s="195" t="s">
        <v>356</v>
      </c>
      <c r="X140" s="196" t="str">
        <f>+IFERROR(VLOOKUP($F140,'[2]Chuyển đổi mã'!$A$1:$C$91,3,0),$F140)&amp;AC140</f>
        <v>Big C South320463</v>
      </c>
      <c r="Y140" s="196" t="str">
        <f>IFERROR(VLOOKUP($F140,'[2]Chuyển đổi mã'!$A$1:$C$184,3,0),F140)</f>
        <v>Big C South</v>
      </c>
      <c r="Z140" s="196" t="str">
        <f>VLOOKUP($G140,'[2]Thông tin NPP'!$B:$D,3,0)</f>
        <v>Big C South</v>
      </c>
      <c r="AA140" s="196" t="str">
        <f t="shared" si="30"/>
        <v>Na 8,5g</v>
      </c>
      <c r="AB140" s="196" t="str">
        <f>IFERROR(VLOOKUP(DAY(B140),'[2]Chuyển đổi mã'!$F$1:$G$32,2,0),0)</f>
        <v>W1</v>
      </c>
      <c r="AC140" s="196" t="str">
        <f t="shared" si="31"/>
        <v>320463</v>
      </c>
      <c r="AD140" s="196" t="str">
        <f t="shared" si="32"/>
        <v>NPP</v>
      </c>
      <c r="AE140" s="196" t="str">
        <f t="shared" si="33"/>
        <v>NPP320463</v>
      </c>
      <c r="AF140" s="196">
        <f t="shared" si="34"/>
        <v>0</v>
      </c>
    </row>
    <row r="141" spans="1:32" ht="12.95" customHeight="1">
      <c r="A141" s="190">
        <v>62469</v>
      </c>
      <c r="B141" s="191">
        <v>43557</v>
      </c>
      <c r="C141" s="190" t="s">
        <v>457</v>
      </c>
      <c r="D141" s="190" t="s">
        <v>471</v>
      </c>
      <c r="E141" s="190" t="s">
        <v>346</v>
      </c>
      <c r="F141" s="190" t="s">
        <v>472</v>
      </c>
      <c r="G141" s="192" t="s">
        <v>473</v>
      </c>
      <c r="H141" s="192" t="s">
        <v>296</v>
      </c>
      <c r="I141" s="192" t="s">
        <v>349</v>
      </c>
      <c r="J141" s="192" t="s">
        <v>350</v>
      </c>
      <c r="K141" s="190" t="s">
        <v>351</v>
      </c>
      <c r="L141" s="190" t="s">
        <v>363</v>
      </c>
      <c r="M141" s="192" t="s">
        <v>364</v>
      </c>
      <c r="N141" s="193">
        <v>3</v>
      </c>
      <c r="O141" s="193">
        <v>334545</v>
      </c>
      <c r="P141" s="194">
        <v>1003635</v>
      </c>
      <c r="Q141" s="194">
        <v>100363.5</v>
      </c>
      <c r="R141" s="194">
        <v>1103998.5</v>
      </c>
      <c r="S141" s="192"/>
      <c r="T141" s="192" t="s">
        <v>310</v>
      </c>
      <c r="U141" s="190">
        <v>60192</v>
      </c>
      <c r="V141" s="190"/>
      <c r="W141" s="195" t="s">
        <v>356</v>
      </c>
      <c r="X141" s="196" t="str">
        <f>+IFERROR(VLOOKUP($F141,'[2]Chuyển đổi mã'!$A$1:$C$91,3,0),$F141)&amp;AC141</f>
        <v>Big C South323708</v>
      </c>
      <c r="Y141" s="196" t="str">
        <f>IFERROR(VLOOKUP($F141,'[2]Chuyển đổi mã'!$A$1:$C$184,3,0),F141)</f>
        <v>Big C South</v>
      </c>
      <c r="Z141" s="196" t="str">
        <f>VLOOKUP($G141,'[2]Thông tin NPP'!$B:$D,3,0)</f>
        <v>Big C South</v>
      </c>
      <c r="AA141" s="196" t="str">
        <f t="shared" si="30"/>
        <v>Nextar Bro</v>
      </c>
      <c r="AB141" s="196" t="str">
        <f>IFERROR(VLOOKUP(DAY(B141),'[2]Chuyển đổi mã'!$F$1:$G$32,2,0),0)</f>
        <v>W1</v>
      </c>
      <c r="AC141" s="196" t="str">
        <f t="shared" si="31"/>
        <v>323708</v>
      </c>
      <c r="AD141" s="196" t="str">
        <f t="shared" si="32"/>
        <v>NPP</v>
      </c>
      <c r="AE141" s="196" t="str">
        <f t="shared" si="33"/>
        <v>NPP323708</v>
      </c>
      <c r="AF141" s="196">
        <f t="shared" si="34"/>
        <v>0</v>
      </c>
    </row>
    <row r="142" spans="1:32" ht="12.95" customHeight="1">
      <c r="A142" s="190">
        <v>62473</v>
      </c>
      <c r="B142" s="191">
        <v>43558</v>
      </c>
      <c r="C142" s="190" t="s">
        <v>457</v>
      </c>
      <c r="D142" s="190" t="s">
        <v>474</v>
      </c>
      <c r="E142" s="190" t="s">
        <v>346</v>
      </c>
      <c r="F142" s="190" t="s">
        <v>347</v>
      </c>
      <c r="G142" s="192" t="s">
        <v>348</v>
      </c>
      <c r="H142" s="192" t="s">
        <v>296</v>
      </c>
      <c r="I142" s="192" t="s">
        <v>349</v>
      </c>
      <c r="J142" s="192" t="s">
        <v>350</v>
      </c>
      <c r="K142" s="190" t="s">
        <v>351</v>
      </c>
      <c r="L142" s="190" t="s">
        <v>352</v>
      </c>
      <c r="M142" s="192" t="s">
        <v>353</v>
      </c>
      <c r="N142" s="193">
        <v>50</v>
      </c>
      <c r="O142" s="193">
        <v>119700.35</v>
      </c>
      <c r="P142" s="194">
        <v>5985017.5</v>
      </c>
      <c r="Q142" s="194">
        <v>598501.75</v>
      </c>
      <c r="R142" s="194">
        <v>6583519.25</v>
      </c>
      <c r="S142" s="192" t="s">
        <v>354</v>
      </c>
      <c r="T142" s="192" t="s">
        <v>355</v>
      </c>
      <c r="U142" s="190">
        <v>60243</v>
      </c>
      <c r="V142" s="190"/>
      <c r="W142" s="195" t="s">
        <v>356</v>
      </c>
      <c r="X142" s="196" t="str">
        <f>+IFERROR(VLOOKUP($F142,'[2]Chuyển đổi mã'!$A$1:$C$91,3,0),$F142)&amp;AC142</f>
        <v>Big C South320463</v>
      </c>
      <c r="Y142" s="196" t="str">
        <f>IFERROR(VLOOKUP($F142,'[2]Chuyển đổi mã'!$A$1:$C$184,3,0),F142)</f>
        <v>Big C South</v>
      </c>
      <c r="Z142" s="196" t="str">
        <f>VLOOKUP($G142,'[2]Thông tin NPP'!$B:$D,3,0)</f>
        <v>Big C South</v>
      </c>
      <c r="AA142" s="196" t="str">
        <f t="shared" ref="AA142:AA170" si="35">LEFT($M142,10)</f>
        <v>Na 8,5g</v>
      </c>
      <c r="AB142" s="196" t="str">
        <f>IFERROR(VLOOKUP(DAY(B142),'[2]Chuyển đổi mã'!$F$1:$G$32,2,0),0)</f>
        <v>W1</v>
      </c>
      <c r="AC142" s="196" t="str">
        <f t="shared" ref="AC142:AC170" si="36">LEFT(L142,6)</f>
        <v>320463</v>
      </c>
      <c r="AD142" s="196" t="str">
        <f t="shared" ref="AD142:AD170" si="37">LEFT(F142,3)</f>
        <v>NPP</v>
      </c>
      <c r="AE142" s="196" t="str">
        <f t="shared" ref="AE142:AE170" si="38">AD142&amp;AC142</f>
        <v>NPP320463</v>
      </c>
      <c r="AF142" s="196">
        <f t="shared" ref="AF142:AF170" si="39">IF(RIGHT(L142,1)="P","P",0)</f>
        <v>0</v>
      </c>
    </row>
    <row r="143" spans="1:32" ht="12.95" customHeight="1">
      <c r="A143" s="190">
        <v>62473</v>
      </c>
      <c r="B143" s="191">
        <v>43558</v>
      </c>
      <c r="C143" s="190" t="s">
        <v>457</v>
      </c>
      <c r="D143" s="190" t="s">
        <v>474</v>
      </c>
      <c r="E143" s="190" t="s">
        <v>346</v>
      </c>
      <c r="F143" s="190" t="s">
        <v>347</v>
      </c>
      <c r="G143" s="192" t="s">
        <v>348</v>
      </c>
      <c r="H143" s="192" t="s">
        <v>296</v>
      </c>
      <c r="I143" s="192" t="s">
        <v>349</v>
      </c>
      <c r="J143" s="192" t="s">
        <v>350</v>
      </c>
      <c r="K143" s="190" t="s">
        <v>351</v>
      </c>
      <c r="L143" s="190" t="s">
        <v>359</v>
      </c>
      <c r="M143" s="192" t="s">
        <v>360</v>
      </c>
      <c r="N143" s="193">
        <v>1</v>
      </c>
      <c r="O143" s="193">
        <v>313636</v>
      </c>
      <c r="P143" s="194">
        <v>313636</v>
      </c>
      <c r="Q143" s="194">
        <v>31363.599999999999</v>
      </c>
      <c r="R143" s="194">
        <v>344999.6</v>
      </c>
      <c r="S143" s="192"/>
      <c r="T143" s="192" t="s">
        <v>310</v>
      </c>
      <c r="U143" s="190">
        <v>60243</v>
      </c>
      <c r="V143" s="190"/>
      <c r="W143" s="195" t="s">
        <v>356</v>
      </c>
      <c r="X143" s="196" t="str">
        <f>+IFERROR(VLOOKUP($F143,'[2]Chuyển đổi mã'!$A$1:$C$91,3,0),$F143)&amp;AC143</f>
        <v>Big C South320445</v>
      </c>
      <c r="Y143" s="196" t="str">
        <f>IFERROR(VLOOKUP($F143,'[2]Chuyển đổi mã'!$A$1:$C$184,3,0),F143)</f>
        <v>Big C South</v>
      </c>
      <c r="Z143" s="196" t="str">
        <f>VLOOKUP($G143,'[2]Thông tin NPP'!$B:$D,3,0)</f>
        <v>Big C South</v>
      </c>
      <c r="AA143" s="196" t="str">
        <f t="shared" si="35"/>
        <v>Na 58g</v>
      </c>
      <c r="AB143" s="196" t="str">
        <f>IFERROR(VLOOKUP(DAY(B143),'[2]Chuyển đổi mã'!$F$1:$G$32,2,0),0)</f>
        <v>W1</v>
      </c>
      <c r="AC143" s="196" t="str">
        <f t="shared" si="36"/>
        <v>320445</v>
      </c>
      <c r="AD143" s="196" t="str">
        <f t="shared" si="37"/>
        <v>NPP</v>
      </c>
      <c r="AE143" s="196" t="str">
        <f t="shared" si="38"/>
        <v>NPP320445</v>
      </c>
      <c r="AF143" s="196">
        <f t="shared" si="39"/>
        <v>0</v>
      </c>
    </row>
    <row r="144" spans="1:32" ht="12.95" customHeight="1">
      <c r="A144" s="190">
        <v>62473</v>
      </c>
      <c r="B144" s="191">
        <v>43558</v>
      </c>
      <c r="C144" s="190" t="s">
        <v>457</v>
      </c>
      <c r="D144" s="190" t="s">
        <v>474</v>
      </c>
      <c r="E144" s="190" t="s">
        <v>346</v>
      </c>
      <c r="F144" s="190" t="s">
        <v>347</v>
      </c>
      <c r="G144" s="192" t="s">
        <v>348</v>
      </c>
      <c r="H144" s="192" t="s">
        <v>296</v>
      </c>
      <c r="I144" s="192" t="s">
        <v>349</v>
      </c>
      <c r="J144" s="192" t="s">
        <v>350</v>
      </c>
      <c r="K144" s="190" t="s">
        <v>351</v>
      </c>
      <c r="L144" s="190" t="s">
        <v>361</v>
      </c>
      <c r="M144" s="192" t="s">
        <v>362</v>
      </c>
      <c r="N144" s="193">
        <v>1</v>
      </c>
      <c r="O144" s="193">
        <v>313636</v>
      </c>
      <c r="P144" s="194">
        <v>313636</v>
      </c>
      <c r="Q144" s="194">
        <v>31363.599999999999</v>
      </c>
      <c r="R144" s="194">
        <v>344999.6</v>
      </c>
      <c r="S144" s="192"/>
      <c r="T144" s="192" t="s">
        <v>310</v>
      </c>
      <c r="U144" s="190">
        <v>60243</v>
      </c>
      <c r="V144" s="190"/>
      <c r="W144" s="195" t="s">
        <v>356</v>
      </c>
      <c r="X144" s="196" t="str">
        <f>+IFERROR(VLOOKUP($F144,'[2]Chuyển đổi mã'!$A$1:$C$91,3,0),$F144)&amp;AC144</f>
        <v>Big C South331017</v>
      </c>
      <c r="Y144" s="196" t="str">
        <f>IFERROR(VLOOKUP($F144,'[2]Chuyển đổi mã'!$A$1:$C$184,3,0),F144)</f>
        <v>Big C South</v>
      </c>
      <c r="Z144" s="196" t="str">
        <f>VLOOKUP($G144,'[2]Thông tin NPP'!$B:$D,3,0)</f>
        <v>Big C South</v>
      </c>
      <c r="AA144" s="196" t="str">
        <f t="shared" si="35"/>
        <v>Richoco Wf</v>
      </c>
      <c r="AB144" s="196" t="str">
        <f>IFERROR(VLOOKUP(DAY(B144),'[2]Chuyển đổi mã'!$F$1:$G$32,2,0),0)</f>
        <v>W1</v>
      </c>
      <c r="AC144" s="196" t="str">
        <f t="shared" si="36"/>
        <v>331017</v>
      </c>
      <c r="AD144" s="196" t="str">
        <f t="shared" si="37"/>
        <v>NPP</v>
      </c>
      <c r="AE144" s="196" t="str">
        <f t="shared" si="38"/>
        <v>NPP331017</v>
      </c>
      <c r="AF144" s="196">
        <f t="shared" si="39"/>
        <v>0</v>
      </c>
    </row>
    <row r="145" spans="1:32" ht="12.95" customHeight="1">
      <c r="A145" s="190">
        <v>62473</v>
      </c>
      <c r="B145" s="191">
        <v>43558</v>
      </c>
      <c r="C145" s="190" t="s">
        <v>457</v>
      </c>
      <c r="D145" s="190" t="s">
        <v>474</v>
      </c>
      <c r="E145" s="190" t="s">
        <v>346</v>
      </c>
      <c r="F145" s="190" t="s">
        <v>347</v>
      </c>
      <c r="G145" s="192" t="s">
        <v>348</v>
      </c>
      <c r="H145" s="192" t="s">
        <v>296</v>
      </c>
      <c r="I145" s="192" t="s">
        <v>349</v>
      </c>
      <c r="J145" s="192" t="s">
        <v>350</v>
      </c>
      <c r="K145" s="190" t="s">
        <v>351</v>
      </c>
      <c r="L145" s="190" t="s">
        <v>363</v>
      </c>
      <c r="M145" s="192" t="s">
        <v>364</v>
      </c>
      <c r="N145" s="193">
        <v>1</v>
      </c>
      <c r="O145" s="193">
        <v>334545</v>
      </c>
      <c r="P145" s="194">
        <v>334545</v>
      </c>
      <c r="Q145" s="194">
        <v>33454.5</v>
      </c>
      <c r="R145" s="194">
        <v>367999.5</v>
      </c>
      <c r="S145" s="192"/>
      <c r="T145" s="192" t="s">
        <v>310</v>
      </c>
      <c r="U145" s="190">
        <v>60243</v>
      </c>
      <c r="V145" s="190"/>
      <c r="W145" s="195" t="s">
        <v>356</v>
      </c>
      <c r="X145" s="196" t="str">
        <f>+IFERROR(VLOOKUP($F145,'[2]Chuyển đổi mã'!$A$1:$C$91,3,0),$F145)&amp;AC145</f>
        <v>Big C South323708</v>
      </c>
      <c r="Y145" s="196" t="str">
        <f>IFERROR(VLOOKUP($F145,'[2]Chuyển đổi mã'!$A$1:$C$184,3,0),F145)</f>
        <v>Big C South</v>
      </c>
      <c r="Z145" s="196" t="str">
        <f>VLOOKUP($G145,'[2]Thông tin NPP'!$B:$D,3,0)</f>
        <v>Big C South</v>
      </c>
      <c r="AA145" s="196" t="str">
        <f t="shared" si="35"/>
        <v>Nextar Bro</v>
      </c>
      <c r="AB145" s="196" t="str">
        <f>IFERROR(VLOOKUP(DAY(B145),'[2]Chuyển đổi mã'!$F$1:$G$32,2,0),0)</f>
        <v>W1</v>
      </c>
      <c r="AC145" s="196" t="str">
        <f t="shared" si="36"/>
        <v>323708</v>
      </c>
      <c r="AD145" s="196" t="str">
        <f t="shared" si="37"/>
        <v>NPP</v>
      </c>
      <c r="AE145" s="196" t="str">
        <f t="shared" si="38"/>
        <v>NPP323708</v>
      </c>
      <c r="AF145" s="196">
        <f t="shared" si="39"/>
        <v>0</v>
      </c>
    </row>
    <row r="146" spans="1:32" ht="12.95" customHeight="1">
      <c r="A146" s="190">
        <v>62473</v>
      </c>
      <c r="B146" s="191">
        <v>43558</v>
      </c>
      <c r="C146" s="190" t="s">
        <v>457</v>
      </c>
      <c r="D146" s="190" t="s">
        <v>474</v>
      </c>
      <c r="E146" s="190" t="s">
        <v>346</v>
      </c>
      <c r="F146" s="190" t="s">
        <v>347</v>
      </c>
      <c r="G146" s="192" t="s">
        <v>348</v>
      </c>
      <c r="H146" s="192" t="s">
        <v>296</v>
      </c>
      <c r="I146" s="192" t="s">
        <v>349</v>
      </c>
      <c r="J146" s="192" t="s">
        <v>350</v>
      </c>
      <c r="K146" s="190" t="s">
        <v>351</v>
      </c>
      <c r="L146" s="190" t="s">
        <v>365</v>
      </c>
      <c r="M146" s="192" t="s">
        <v>366</v>
      </c>
      <c r="N146" s="193">
        <v>1</v>
      </c>
      <c r="O146" s="193">
        <v>313636</v>
      </c>
      <c r="P146" s="194">
        <v>313636</v>
      </c>
      <c r="Q146" s="194">
        <v>31363.599999999999</v>
      </c>
      <c r="R146" s="194">
        <v>344999.6</v>
      </c>
      <c r="S146" s="192"/>
      <c r="T146" s="192" t="s">
        <v>310</v>
      </c>
      <c r="U146" s="190">
        <v>60243</v>
      </c>
      <c r="V146" s="190"/>
      <c r="W146" s="195" t="s">
        <v>356</v>
      </c>
      <c r="X146" s="196" t="str">
        <f>+IFERROR(VLOOKUP($F146,'[2]Chuyển đổi mã'!$A$1:$C$91,3,0),$F146)&amp;AC146</f>
        <v>Big C South323709</v>
      </c>
      <c r="Y146" s="196" t="str">
        <f>IFERROR(VLOOKUP($F146,'[2]Chuyển đổi mã'!$A$1:$C$184,3,0),F146)</f>
        <v>Big C South</v>
      </c>
      <c r="Z146" s="196" t="str">
        <f>VLOOKUP($G146,'[2]Thông tin NPP'!$B:$D,3,0)</f>
        <v>Big C South</v>
      </c>
      <c r="AA146" s="196" t="str">
        <f t="shared" si="35"/>
        <v>Nextar Bro</v>
      </c>
      <c r="AB146" s="196" t="str">
        <f>IFERROR(VLOOKUP(DAY(B146),'[2]Chuyển đổi mã'!$F$1:$G$32,2,0),0)</f>
        <v>W1</v>
      </c>
      <c r="AC146" s="196" t="str">
        <f t="shared" si="36"/>
        <v>323709</v>
      </c>
      <c r="AD146" s="196" t="str">
        <f t="shared" si="37"/>
        <v>NPP</v>
      </c>
      <c r="AE146" s="196" t="str">
        <f t="shared" si="38"/>
        <v>NPP323709</v>
      </c>
      <c r="AF146" s="196">
        <f t="shared" si="39"/>
        <v>0</v>
      </c>
    </row>
    <row r="147" spans="1:32" ht="12.95" customHeight="1">
      <c r="A147" s="190">
        <v>62480</v>
      </c>
      <c r="B147" s="191">
        <v>43558</v>
      </c>
      <c r="C147" s="190" t="s">
        <v>457</v>
      </c>
      <c r="D147" s="190" t="s">
        <v>475</v>
      </c>
      <c r="E147" s="190" t="s">
        <v>346</v>
      </c>
      <c r="F147" s="190" t="s">
        <v>421</v>
      </c>
      <c r="G147" s="192" t="s">
        <v>422</v>
      </c>
      <c r="H147" s="192" t="s">
        <v>296</v>
      </c>
      <c r="I147" s="192" t="s">
        <v>349</v>
      </c>
      <c r="J147" s="192" t="s">
        <v>350</v>
      </c>
      <c r="K147" s="190" t="s">
        <v>351</v>
      </c>
      <c r="L147" s="190" t="s">
        <v>352</v>
      </c>
      <c r="M147" s="192" t="s">
        <v>353</v>
      </c>
      <c r="N147" s="193">
        <v>15</v>
      </c>
      <c r="O147" s="193">
        <v>155455</v>
      </c>
      <c r="P147" s="194">
        <v>2331825</v>
      </c>
      <c r="Q147" s="194">
        <v>233182.5</v>
      </c>
      <c r="R147" s="194">
        <v>2565007.5</v>
      </c>
      <c r="S147" s="192"/>
      <c r="T147" s="192" t="s">
        <v>310</v>
      </c>
      <c r="U147" s="190">
        <v>60253</v>
      </c>
      <c r="V147" s="190"/>
      <c r="W147" s="195" t="s">
        <v>356</v>
      </c>
      <c r="X147" s="196" t="str">
        <f>+IFERROR(VLOOKUP($F147,'[2]Chuyển đổi mã'!$A$1:$C$91,3,0),$F147)&amp;AC147</f>
        <v>Lotte South320463</v>
      </c>
      <c r="Y147" s="196" t="str">
        <f>IFERROR(VLOOKUP($F147,'[2]Chuyển đổi mã'!$A$1:$C$184,3,0),F147)</f>
        <v>Lotte South</v>
      </c>
      <c r="Z147" s="196" t="str">
        <f>VLOOKUP($G147,'[2]Thông tin NPP'!$B:$D,3,0)</f>
        <v>Lotte South</v>
      </c>
      <c r="AA147" s="196" t="str">
        <f t="shared" si="35"/>
        <v>Na 8,5g</v>
      </c>
      <c r="AB147" s="196" t="str">
        <f>IFERROR(VLOOKUP(DAY(B147),'[2]Chuyển đổi mã'!$F$1:$G$32,2,0),0)</f>
        <v>W1</v>
      </c>
      <c r="AC147" s="196" t="str">
        <f t="shared" si="36"/>
        <v>320463</v>
      </c>
      <c r="AD147" s="196" t="str">
        <f t="shared" si="37"/>
        <v>NPP</v>
      </c>
      <c r="AE147" s="196" t="str">
        <f t="shared" si="38"/>
        <v>NPP320463</v>
      </c>
      <c r="AF147" s="196">
        <f t="shared" si="39"/>
        <v>0</v>
      </c>
    </row>
    <row r="148" spans="1:32" ht="12.95" customHeight="1">
      <c r="A148" s="190">
        <v>62480</v>
      </c>
      <c r="B148" s="191">
        <v>43558</v>
      </c>
      <c r="C148" s="190" t="s">
        <v>457</v>
      </c>
      <c r="D148" s="190" t="s">
        <v>475</v>
      </c>
      <c r="E148" s="190" t="s">
        <v>346</v>
      </c>
      <c r="F148" s="190" t="s">
        <v>421</v>
      </c>
      <c r="G148" s="192" t="s">
        <v>422</v>
      </c>
      <c r="H148" s="192" t="s">
        <v>296</v>
      </c>
      <c r="I148" s="192" t="s">
        <v>349</v>
      </c>
      <c r="J148" s="192" t="s">
        <v>350</v>
      </c>
      <c r="K148" s="190" t="s">
        <v>351</v>
      </c>
      <c r="L148" s="190" t="s">
        <v>381</v>
      </c>
      <c r="M148" s="192" t="s">
        <v>382</v>
      </c>
      <c r="N148" s="193">
        <v>3</v>
      </c>
      <c r="O148" s="193">
        <v>300000</v>
      </c>
      <c r="P148" s="194">
        <v>900000</v>
      </c>
      <c r="Q148" s="194">
        <v>90000</v>
      </c>
      <c r="R148" s="194">
        <v>990000</v>
      </c>
      <c r="S148" s="192"/>
      <c r="T148" s="192" t="s">
        <v>310</v>
      </c>
      <c r="U148" s="190">
        <v>60253</v>
      </c>
      <c r="V148" s="190"/>
      <c r="W148" s="195" t="s">
        <v>356</v>
      </c>
      <c r="X148" s="196" t="str">
        <f>+IFERROR(VLOOKUP($F148,'[2]Chuyển đổi mã'!$A$1:$C$91,3,0),$F148)&amp;AC148</f>
        <v>Lotte South320429</v>
      </c>
      <c r="Y148" s="196" t="str">
        <f>IFERROR(VLOOKUP($F148,'[2]Chuyển đổi mã'!$A$1:$C$184,3,0),F148)</f>
        <v>Lotte South</v>
      </c>
      <c r="Z148" s="196" t="str">
        <f>VLOOKUP($G148,'[2]Thông tin NPP'!$B:$D,3,0)</f>
        <v>Lotte South</v>
      </c>
      <c r="AA148" s="196" t="str">
        <f t="shared" si="35"/>
        <v>Tin Can 35</v>
      </c>
      <c r="AB148" s="196" t="str">
        <f>IFERROR(VLOOKUP(DAY(B148),'[2]Chuyển đổi mã'!$F$1:$G$32,2,0),0)</f>
        <v>W1</v>
      </c>
      <c r="AC148" s="196" t="str">
        <f t="shared" si="36"/>
        <v>320429</v>
      </c>
      <c r="AD148" s="196" t="str">
        <f t="shared" si="37"/>
        <v>NPP</v>
      </c>
      <c r="AE148" s="196" t="str">
        <f t="shared" si="38"/>
        <v>NPP320429</v>
      </c>
      <c r="AF148" s="196">
        <f t="shared" si="39"/>
        <v>0</v>
      </c>
    </row>
    <row r="149" spans="1:32" ht="12.95" customHeight="1">
      <c r="A149" s="190">
        <v>62480</v>
      </c>
      <c r="B149" s="191">
        <v>43558</v>
      </c>
      <c r="C149" s="190" t="s">
        <v>457</v>
      </c>
      <c r="D149" s="190" t="s">
        <v>475</v>
      </c>
      <c r="E149" s="190" t="s">
        <v>346</v>
      </c>
      <c r="F149" s="190" t="s">
        <v>421</v>
      </c>
      <c r="G149" s="192" t="s">
        <v>422</v>
      </c>
      <c r="H149" s="192" t="s">
        <v>296</v>
      </c>
      <c r="I149" s="192" t="s">
        <v>349</v>
      </c>
      <c r="J149" s="192" t="s">
        <v>350</v>
      </c>
      <c r="K149" s="190" t="s">
        <v>351</v>
      </c>
      <c r="L149" s="190" t="s">
        <v>378</v>
      </c>
      <c r="M149" s="192" t="s">
        <v>379</v>
      </c>
      <c r="N149" s="193">
        <v>6</v>
      </c>
      <c r="O149" s="193">
        <v>213273</v>
      </c>
      <c r="P149" s="194">
        <v>1279638</v>
      </c>
      <c r="Q149" s="194">
        <v>127963.8</v>
      </c>
      <c r="R149" s="194">
        <v>1407601.8</v>
      </c>
      <c r="S149" s="192"/>
      <c r="T149" s="192" t="s">
        <v>310</v>
      </c>
      <c r="U149" s="190">
        <v>60253</v>
      </c>
      <c r="V149" s="190"/>
      <c r="W149" s="195" t="s">
        <v>356</v>
      </c>
      <c r="X149" s="196" t="str">
        <f>+IFERROR(VLOOKUP($F149,'[2]Chuyển đổi mã'!$A$1:$C$91,3,0),$F149)&amp;AC149</f>
        <v>Lotte South321238</v>
      </c>
      <c r="Y149" s="196" t="str">
        <f>IFERROR(VLOOKUP($F149,'[2]Chuyển đổi mã'!$A$1:$C$184,3,0),F149)</f>
        <v>Lotte South</v>
      </c>
      <c r="Z149" s="196" t="str">
        <f>VLOOKUP($G149,'[2]Thông tin NPP'!$B:$D,3,0)</f>
        <v>Lotte South</v>
      </c>
      <c r="AA149" s="196" t="str">
        <f t="shared" si="35"/>
        <v>Richoco Wf</v>
      </c>
      <c r="AB149" s="196" t="str">
        <f>IFERROR(VLOOKUP(DAY(B149),'[2]Chuyển đổi mã'!$F$1:$G$32,2,0),0)</f>
        <v>W1</v>
      </c>
      <c r="AC149" s="196" t="str">
        <f t="shared" si="36"/>
        <v>321238</v>
      </c>
      <c r="AD149" s="196" t="str">
        <f t="shared" si="37"/>
        <v>NPP</v>
      </c>
      <c r="AE149" s="196" t="str">
        <f t="shared" si="38"/>
        <v>NPP321238</v>
      </c>
      <c r="AF149" s="196">
        <f t="shared" si="39"/>
        <v>0</v>
      </c>
    </row>
    <row r="150" spans="1:32" ht="12.95" customHeight="1">
      <c r="A150" s="190">
        <v>62480</v>
      </c>
      <c r="B150" s="191">
        <v>43558</v>
      </c>
      <c r="C150" s="190" t="s">
        <v>457</v>
      </c>
      <c r="D150" s="190" t="s">
        <v>475</v>
      </c>
      <c r="E150" s="190" t="s">
        <v>346</v>
      </c>
      <c r="F150" s="190" t="s">
        <v>421</v>
      </c>
      <c r="G150" s="192" t="s">
        <v>422</v>
      </c>
      <c r="H150" s="192" t="s">
        <v>296</v>
      </c>
      <c r="I150" s="192" t="s">
        <v>349</v>
      </c>
      <c r="J150" s="192" t="s">
        <v>350</v>
      </c>
      <c r="K150" s="190" t="s">
        <v>351</v>
      </c>
      <c r="L150" s="190" t="s">
        <v>361</v>
      </c>
      <c r="M150" s="192" t="s">
        <v>362</v>
      </c>
      <c r="N150" s="193">
        <v>1</v>
      </c>
      <c r="O150" s="193">
        <v>300000</v>
      </c>
      <c r="P150" s="194">
        <v>300000</v>
      </c>
      <c r="Q150" s="194">
        <v>30000</v>
      </c>
      <c r="R150" s="194">
        <v>330000</v>
      </c>
      <c r="S150" s="192"/>
      <c r="T150" s="192" t="s">
        <v>310</v>
      </c>
      <c r="U150" s="190">
        <v>60253</v>
      </c>
      <c r="V150" s="190"/>
      <c r="W150" s="195" t="s">
        <v>356</v>
      </c>
      <c r="X150" s="196" t="str">
        <f>+IFERROR(VLOOKUP($F150,'[2]Chuyển đổi mã'!$A$1:$C$91,3,0),$F150)&amp;AC150</f>
        <v>Lotte South331017</v>
      </c>
      <c r="Y150" s="196" t="str">
        <f>IFERROR(VLOOKUP($F150,'[2]Chuyển đổi mã'!$A$1:$C$184,3,0),F150)</f>
        <v>Lotte South</v>
      </c>
      <c r="Z150" s="196" t="str">
        <f>VLOOKUP($G150,'[2]Thông tin NPP'!$B:$D,3,0)</f>
        <v>Lotte South</v>
      </c>
      <c r="AA150" s="196" t="str">
        <f t="shared" si="35"/>
        <v>Richoco Wf</v>
      </c>
      <c r="AB150" s="196" t="str">
        <f>IFERROR(VLOOKUP(DAY(B150),'[2]Chuyển đổi mã'!$F$1:$G$32,2,0),0)</f>
        <v>W1</v>
      </c>
      <c r="AC150" s="196" t="str">
        <f t="shared" si="36"/>
        <v>331017</v>
      </c>
      <c r="AD150" s="196" t="str">
        <f t="shared" si="37"/>
        <v>NPP</v>
      </c>
      <c r="AE150" s="196" t="str">
        <f t="shared" si="38"/>
        <v>NPP331017</v>
      </c>
      <c r="AF150" s="196">
        <f t="shared" si="39"/>
        <v>0</v>
      </c>
    </row>
    <row r="151" spans="1:32" ht="12.95" customHeight="1">
      <c r="A151" s="190">
        <v>62480</v>
      </c>
      <c r="B151" s="191">
        <v>43558</v>
      </c>
      <c r="C151" s="190" t="s">
        <v>457</v>
      </c>
      <c r="D151" s="190" t="s">
        <v>475</v>
      </c>
      <c r="E151" s="190" t="s">
        <v>346</v>
      </c>
      <c r="F151" s="190" t="s">
        <v>421</v>
      </c>
      <c r="G151" s="192" t="s">
        <v>422</v>
      </c>
      <c r="H151" s="192" t="s">
        <v>296</v>
      </c>
      <c r="I151" s="192" t="s">
        <v>349</v>
      </c>
      <c r="J151" s="192" t="s">
        <v>350</v>
      </c>
      <c r="K151" s="190" t="s">
        <v>351</v>
      </c>
      <c r="L151" s="190" t="s">
        <v>359</v>
      </c>
      <c r="M151" s="192" t="s">
        <v>360</v>
      </c>
      <c r="N151" s="193">
        <v>3</v>
      </c>
      <c r="O151" s="193">
        <v>300000</v>
      </c>
      <c r="P151" s="194">
        <v>900000</v>
      </c>
      <c r="Q151" s="194">
        <v>90000</v>
      </c>
      <c r="R151" s="194">
        <v>990000</v>
      </c>
      <c r="S151" s="192"/>
      <c r="T151" s="192" t="s">
        <v>310</v>
      </c>
      <c r="U151" s="190">
        <v>60253</v>
      </c>
      <c r="V151" s="190"/>
      <c r="W151" s="195" t="s">
        <v>356</v>
      </c>
      <c r="X151" s="196" t="str">
        <f>+IFERROR(VLOOKUP($F151,'[2]Chuyển đổi mã'!$A$1:$C$91,3,0),$F151)&amp;AC151</f>
        <v>Lotte South320445</v>
      </c>
      <c r="Y151" s="196" t="str">
        <f>IFERROR(VLOOKUP($F151,'[2]Chuyển đổi mã'!$A$1:$C$184,3,0),F151)</f>
        <v>Lotte South</v>
      </c>
      <c r="Z151" s="196" t="str">
        <f>VLOOKUP($G151,'[2]Thông tin NPP'!$B:$D,3,0)</f>
        <v>Lotte South</v>
      </c>
      <c r="AA151" s="196" t="str">
        <f t="shared" si="35"/>
        <v>Na 58g</v>
      </c>
      <c r="AB151" s="196" t="str">
        <f>IFERROR(VLOOKUP(DAY(B151),'[2]Chuyển đổi mã'!$F$1:$G$32,2,0),0)</f>
        <v>W1</v>
      </c>
      <c r="AC151" s="196" t="str">
        <f t="shared" si="36"/>
        <v>320445</v>
      </c>
      <c r="AD151" s="196" t="str">
        <f t="shared" si="37"/>
        <v>NPP</v>
      </c>
      <c r="AE151" s="196" t="str">
        <f t="shared" si="38"/>
        <v>NPP320445</v>
      </c>
      <c r="AF151" s="196">
        <f t="shared" si="39"/>
        <v>0</v>
      </c>
    </row>
    <row r="152" spans="1:32" ht="12.95" customHeight="1">
      <c r="A152" s="190">
        <v>62480</v>
      </c>
      <c r="B152" s="191">
        <v>43558</v>
      </c>
      <c r="C152" s="190" t="s">
        <v>457</v>
      </c>
      <c r="D152" s="190" t="s">
        <v>475</v>
      </c>
      <c r="E152" s="190" t="s">
        <v>346</v>
      </c>
      <c r="F152" s="190" t="s">
        <v>421</v>
      </c>
      <c r="G152" s="192" t="s">
        <v>422</v>
      </c>
      <c r="H152" s="192" t="s">
        <v>296</v>
      </c>
      <c r="I152" s="192" t="s">
        <v>349</v>
      </c>
      <c r="J152" s="192" t="s">
        <v>350</v>
      </c>
      <c r="K152" s="190" t="s">
        <v>351</v>
      </c>
      <c r="L152" s="190" t="s">
        <v>357</v>
      </c>
      <c r="M152" s="192" t="s">
        <v>358</v>
      </c>
      <c r="N152" s="193">
        <v>6</v>
      </c>
      <c r="O152" s="193">
        <v>213273</v>
      </c>
      <c r="P152" s="194">
        <v>1279638</v>
      </c>
      <c r="Q152" s="194">
        <v>127963.8</v>
      </c>
      <c r="R152" s="194">
        <v>1407601.8</v>
      </c>
      <c r="S152" s="192"/>
      <c r="T152" s="192" t="s">
        <v>310</v>
      </c>
      <c r="U152" s="190">
        <v>60253</v>
      </c>
      <c r="V152" s="190"/>
      <c r="W152" s="195" t="s">
        <v>356</v>
      </c>
      <c r="X152" s="196" t="str">
        <f>+IFERROR(VLOOKUP($F152,'[2]Chuyển đổi mã'!$A$1:$C$91,3,0),$F152)&amp;AC152</f>
        <v>Lotte South323555</v>
      </c>
      <c r="Y152" s="196" t="str">
        <f>IFERROR(VLOOKUP($F152,'[2]Chuyển đổi mã'!$A$1:$C$184,3,0),F152)</f>
        <v>Lotte South</v>
      </c>
      <c r="Z152" s="196" t="str">
        <f>VLOOKUP($G152,'[2]Thông tin NPP'!$B:$D,3,0)</f>
        <v>Lotte South</v>
      </c>
      <c r="AA152" s="196" t="str">
        <f t="shared" si="35"/>
        <v>Na 17g - M</v>
      </c>
      <c r="AB152" s="196" t="str">
        <f>IFERROR(VLOOKUP(DAY(B152),'[2]Chuyển đổi mã'!$F$1:$G$32,2,0),0)</f>
        <v>W1</v>
      </c>
      <c r="AC152" s="196" t="str">
        <f t="shared" si="36"/>
        <v>323555</v>
      </c>
      <c r="AD152" s="196" t="str">
        <f t="shared" si="37"/>
        <v>NPP</v>
      </c>
      <c r="AE152" s="196" t="str">
        <f t="shared" si="38"/>
        <v>NPP323555</v>
      </c>
      <c r="AF152" s="196">
        <f t="shared" si="39"/>
        <v>0</v>
      </c>
    </row>
    <row r="153" spans="1:32" ht="12.95" customHeight="1">
      <c r="A153" s="190">
        <v>62480</v>
      </c>
      <c r="B153" s="191">
        <v>43558</v>
      </c>
      <c r="C153" s="190" t="s">
        <v>457</v>
      </c>
      <c r="D153" s="190" t="s">
        <v>475</v>
      </c>
      <c r="E153" s="190" t="s">
        <v>346</v>
      </c>
      <c r="F153" s="190" t="s">
        <v>421</v>
      </c>
      <c r="G153" s="192" t="s">
        <v>422</v>
      </c>
      <c r="H153" s="192" t="s">
        <v>296</v>
      </c>
      <c r="I153" s="192" t="s">
        <v>349</v>
      </c>
      <c r="J153" s="192" t="s">
        <v>350</v>
      </c>
      <c r="K153" s="190" t="s">
        <v>351</v>
      </c>
      <c r="L153" s="190" t="s">
        <v>365</v>
      </c>
      <c r="M153" s="192" t="s">
        <v>366</v>
      </c>
      <c r="N153" s="193">
        <v>1</v>
      </c>
      <c r="O153" s="193">
        <v>300000</v>
      </c>
      <c r="P153" s="194">
        <v>300000</v>
      </c>
      <c r="Q153" s="194">
        <v>30000</v>
      </c>
      <c r="R153" s="194">
        <v>330000</v>
      </c>
      <c r="S153" s="192"/>
      <c r="T153" s="192" t="s">
        <v>310</v>
      </c>
      <c r="U153" s="190">
        <v>60253</v>
      </c>
      <c r="V153" s="190"/>
      <c r="W153" s="195" t="s">
        <v>356</v>
      </c>
      <c r="X153" s="196" t="str">
        <f>+IFERROR(VLOOKUP($F153,'[2]Chuyển đổi mã'!$A$1:$C$91,3,0),$F153)&amp;AC153</f>
        <v>Lotte South323709</v>
      </c>
      <c r="Y153" s="196" t="str">
        <f>IFERROR(VLOOKUP($F153,'[2]Chuyển đổi mã'!$A$1:$C$184,3,0),F153)</f>
        <v>Lotte South</v>
      </c>
      <c r="Z153" s="196" t="str">
        <f>VLOOKUP($G153,'[2]Thông tin NPP'!$B:$D,3,0)</f>
        <v>Lotte South</v>
      </c>
      <c r="AA153" s="196" t="str">
        <f t="shared" si="35"/>
        <v>Nextar Bro</v>
      </c>
      <c r="AB153" s="196" t="str">
        <f>IFERROR(VLOOKUP(DAY(B153),'[2]Chuyển đổi mã'!$F$1:$G$32,2,0),0)</f>
        <v>W1</v>
      </c>
      <c r="AC153" s="196" t="str">
        <f t="shared" si="36"/>
        <v>323709</v>
      </c>
      <c r="AD153" s="196" t="str">
        <f t="shared" si="37"/>
        <v>NPP</v>
      </c>
      <c r="AE153" s="196" t="str">
        <f t="shared" si="38"/>
        <v>NPP323709</v>
      </c>
      <c r="AF153" s="196">
        <f t="shared" si="39"/>
        <v>0</v>
      </c>
    </row>
    <row r="154" spans="1:32" ht="12.95" customHeight="1">
      <c r="A154" s="190">
        <v>62480</v>
      </c>
      <c r="B154" s="191">
        <v>43558</v>
      </c>
      <c r="C154" s="190" t="s">
        <v>457</v>
      </c>
      <c r="D154" s="190" t="s">
        <v>475</v>
      </c>
      <c r="E154" s="190" t="s">
        <v>346</v>
      </c>
      <c r="F154" s="190" t="s">
        <v>421</v>
      </c>
      <c r="G154" s="192" t="s">
        <v>422</v>
      </c>
      <c r="H154" s="192" t="s">
        <v>296</v>
      </c>
      <c r="I154" s="192" t="s">
        <v>349</v>
      </c>
      <c r="J154" s="192" t="s">
        <v>350</v>
      </c>
      <c r="K154" s="190" t="s">
        <v>351</v>
      </c>
      <c r="L154" s="190" t="s">
        <v>363</v>
      </c>
      <c r="M154" s="192" t="s">
        <v>364</v>
      </c>
      <c r="N154" s="193">
        <v>3</v>
      </c>
      <c r="O154" s="193">
        <v>320000</v>
      </c>
      <c r="P154" s="194">
        <v>960000</v>
      </c>
      <c r="Q154" s="194">
        <v>96000</v>
      </c>
      <c r="R154" s="194">
        <v>1056000</v>
      </c>
      <c r="S154" s="192"/>
      <c r="T154" s="192" t="s">
        <v>310</v>
      </c>
      <c r="U154" s="190">
        <v>60253</v>
      </c>
      <c r="V154" s="190"/>
      <c r="W154" s="195" t="s">
        <v>356</v>
      </c>
      <c r="X154" s="196" t="str">
        <f>+IFERROR(VLOOKUP($F154,'[2]Chuyển đổi mã'!$A$1:$C$91,3,0),$F154)&amp;AC154</f>
        <v>Lotte South323708</v>
      </c>
      <c r="Y154" s="196" t="str">
        <f>IFERROR(VLOOKUP($F154,'[2]Chuyển đổi mã'!$A$1:$C$184,3,0),F154)</f>
        <v>Lotte South</v>
      </c>
      <c r="Z154" s="196" t="str">
        <f>VLOOKUP($G154,'[2]Thông tin NPP'!$B:$D,3,0)</f>
        <v>Lotte South</v>
      </c>
      <c r="AA154" s="196" t="str">
        <f t="shared" si="35"/>
        <v>Nextar Bro</v>
      </c>
      <c r="AB154" s="196" t="str">
        <f>IFERROR(VLOOKUP(DAY(B154),'[2]Chuyển đổi mã'!$F$1:$G$32,2,0),0)</f>
        <v>W1</v>
      </c>
      <c r="AC154" s="196" t="str">
        <f t="shared" si="36"/>
        <v>323708</v>
      </c>
      <c r="AD154" s="196" t="str">
        <f t="shared" si="37"/>
        <v>NPP</v>
      </c>
      <c r="AE154" s="196" t="str">
        <f t="shared" si="38"/>
        <v>NPP323708</v>
      </c>
      <c r="AF154" s="196">
        <f t="shared" si="39"/>
        <v>0</v>
      </c>
    </row>
    <row r="155" spans="1:32" ht="12.95" customHeight="1">
      <c r="A155" s="190">
        <v>62483</v>
      </c>
      <c r="B155" s="191">
        <v>43558</v>
      </c>
      <c r="C155" s="190" t="s">
        <v>457</v>
      </c>
      <c r="D155" s="190" t="s">
        <v>476</v>
      </c>
      <c r="E155" s="190" t="s">
        <v>346</v>
      </c>
      <c r="F155" s="190" t="s">
        <v>477</v>
      </c>
      <c r="G155" s="192" t="s">
        <v>478</v>
      </c>
      <c r="H155" s="192" t="s">
        <v>296</v>
      </c>
      <c r="I155" s="192" t="s">
        <v>349</v>
      </c>
      <c r="J155" s="192" t="s">
        <v>350</v>
      </c>
      <c r="K155" s="190" t="s">
        <v>351</v>
      </c>
      <c r="L155" s="190" t="s">
        <v>352</v>
      </c>
      <c r="M155" s="192" t="s">
        <v>353</v>
      </c>
      <c r="N155" s="193">
        <v>20</v>
      </c>
      <c r="O155" s="193">
        <v>155455</v>
      </c>
      <c r="P155" s="194">
        <v>3109100</v>
      </c>
      <c r="Q155" s="194">
        <v>310910</v>
      </c>
      <c r="R155" s="194">
        <v>3420010</v>
      </c>
      <c r="S155" s="192"/>
      <c r="T155" s="192" t="s">
        <v>310</v>
      </c>
      <c r="U155" s="190">
        <v>60251</v>
      </c>
      <c r="V155" s="190"/>
      <c r="W155" s="195" t="s">
        <v>356</v>
      </c>
      <c r="X155" s="196" t="str">
        <f>+IFERROR(VLOOKUP($F155,'[2]Chuyển đổi mã'!$A$1:$C$91,3,0),$F155)&amp;AC155</f>
        <v>Lotte South320463</v>
      </c>
      <c r="Y155" s="196" t="str">
        <f>IFERROR(VLOOKUP($F155,'[2]Chuyển đổi mã'!$A$1:$C$184,3,0),F155)</f>
        <v>Lotte South</v>
      </c>
      <c r="Z155" s="196" t="str">
        <f>VLOOKUP($G155,'[2]Thông tin NPP'!$B:$D,3,0)</f>
        <v>Lotte South</v>
      </c>
      <c r="AA155" s="196" t="str">
        <f t="shared" si="35"/>
        <v>Na 8,5g</v>
      </c>
      <c r="AB155" s="196" t="str">
        <f>IFERROR(VLOOKUP(DAY(B155),'[2]Chuyển đổi mã'!$F$1:$G$32,2,0),0)</f>
        <v>W1</v>
      </c>
      <c r="AC155" s="196" t="str">
        <f t="shared" si="36"/>
        <v>320463</v>
      </c>
      <c r="AD155" s="196" t="str">
        <f t="shared" si="37"/>
        <v>NPP</v>
      </c>
      <c r="AE155" s="196" t="str">
        <f t="shared" si="38"/>
        <v>NPP320463</v>
      </c>
      <c r="AF155" s="196">
        <f t="shared" si="39"/>
        <v>0</v>
      </c>
    </row>
    <row r="156" spans="1:32" ht="12.95" customHeight="1">
      <c r="A156" s="190">
        <v>62483</v>
      </c>
      <c r="B156" s="191">
        <v>43558</v>
      </c>
      <c r="C156" s="190" t="s">
        <v>457</v>
      </c>
      <c r="D156" s="190" t="s">
        <v>476</v>
      </c>
      <c r="E156" s="190" t="s">
        <v>346</v>
      </c>
      <c r="F156" s="190" t="s">
        <v>477</v>
      </c>
      <c r="G156" s="192" t="s">
        <v>478</v>
      </c>
      <c r="H156" s="192" t="s">
        <v>296</v>
      </c>
      <c r="I156" s="192" t="s">
        <v>349</v>
      </c>
      <c r="J156" s="192" t="s">
        <v>350</v>
      </c>
      <c r="K156" s="190" t="s">
        <v>351</v>
      </c>
      <c r="L156" s="190" t="s">
        <v>381</v>
      </c>
      <c r="M156" s="192" t="s">
        <v>382</v>
      </c>
      <c r="N156" s="193">
        <v>10</v>
      </c>
      <c r="O156" s="193">
        <v>300000</v>
      </c>
      <c r="P156" s="194">
        <v>3000000</v>
      </c>
      <c r="Q156" s="194">
        <v>300000</v>
      </c>
      <c r="R156" s="194">
        <v>3300000</v>
      </c>
      <c r="S156" s="192"/>
      <c r="T156" s="192" t="s">
        <v>310</v>
      </c>
      <c r="U156" s="190">
        <v>60251</v>
      </c>
      <c r="V156" s="190"/>
      <c r="W156" s="195" t="s">
        <v>356</v>
      </c>
      <c r="X156" s="196" t="str">
        <f>+IFERROR(VLOOKUP($F156,'[2]Chuyển đổi mã'!$A$1:$C$91,3,0),$F156)&amp;AC156</f>
        <v>Lotte South320429</v>
      </c>
      <c r="Y156" s="196" t="str">
        <f>IFERROR(VLOOKUP($F156,'[2]Chuyển đổi mã'!$A$1:$C$184,3,0),F156)</f>
        <v>Lotte South</v>
      </c>
      <c r="Z156" s="196" t="str">
        <f>VLOOKUP($G156,'[2]Thông tin NPP'!$B:$D,3,0)</f>
        <v>Lotte South</v>
      </c>
      <c r="AA156" s="196" t="str">
        <f t="shared" si="35"/>
        <v>Tin Can 35</v>
      </c>
      <c r="AB156" s="196" t="str">
        <f>IFERROR(VLOOKUP(DAY(B156),'[2]Chuyển đổi mã'!$F$1:$G$32,2,0),0)</f>
        <v>W1</v>
      </c>
      <c r="AC156" s="196" t="str">
        <f t="shared" si="36"/>
        <v>320429</v>
      </c>
      <c r="AD156" s="196" t="str">
        <f t="shared" si="37"/>
        <v>NPP</v>
      </c>
      <c r="AE156" s="196" t="str">
        <f t="shared" si="38"/>
        <v>NPP320429</v>
      </c>
      <c r="AF156" s="196">
        <f t="shared" si="39"/>
        <v>0</v>
      </c>
    </row>
    <row r="157" spans="1:32" ht="12.95" customHeight="1">
      <c r="A157" s="190">
        <v>62483</v>
      </c>
      <c r="B157" s="191">
        <v>43558</v>
      </c>
      <c r="C157" s="190" t="s">
        <v>457</v>
      </c>
      <c r="D157" s="190" t="s">
        <v>476</v>
      </c>
      <c r="E157" s="190" t="s">
        <v>346</v>
      </c>
      <c r="F157" s="190" t="s">
        <v>477</v>
      </c>
      <c r="G157" s="192" t="s">
        <v>478</v>
      </c>
      <c r="H157" s="192" t="s">
        <v>296</v>
      </c>
      <c r="I157" s="192" t="s">
        <v>349</v>
      </c>
      <c r="J157" s="192" t="s">
        <v>350</v>
      </c>
      <c r="K157" s="190" t="s">
        <v>351</v>
      </c>
      <c r="L157" s="190" t="s">
        <v>357</v>
      </c>
      <c r="M157" s="192" t="s">
        <v>358</v>
      </c>
      <c r="N157" s="193">
        <v>5</v>
      </c>
      <c r="O157" s="193">
        <v>213273</v>
      </c>
      <c r="P157" s="194">
        <v>1066365</v>
      </c>
      <c r="Q157" s="194">
        <v>106636.5</v>
      </c>
      <c r="R157" s="194">
        <v>1173001.5</v>
      </c>
      <c r="S157" s="192"/>
      <c r="T157" s="192" t="s">
        <v>310</v>
      </c>
      <c r="U157" s="190">
        <v>60251</v>
      </c>
      <c r="V157" s="190"/>
      <c r="W157" s="195" t="s">
        <v>356</v>
      </c>
      <c r="X157" s="196" t="str">
        <f>+IFERROR(VLOOKUP($F157,'[2]Chuyển đổi mã'!$A$1:$C$91,3,0),$F157)&amp;AC157</f>
        <v>Lotte South323555</v>
      </c>
      <c r="Y157" s="196" t="str">
        <f>IFERROR(VLOOKUP($F157,'[2]Chuyển đổi mã'!$A$1:$C$184,3,0),F157)</f>
        <v>Lotte South</v>
      </c>
      <c r="Z157" s="196" t="str">
        <f>VLOOKUP($G157,'[2]Thông tin NPP'!$B:$D,3,0)</f>
        <v>Lotte South</v>
      </c>
      <c r="AA157" s="196" t="str">
        <f t="shared" si="35"/>
        <v>Na 17g - M</v>
      </c>
      <c r="AB157" s="196" t="str">
        <f>IFERROR(VLOOKUP(DAY(B157),'[2]Chuyển đổi mã'!$F$1:$G$32,2,0),0)</f>
        <v>W1</v>
      </c>
      <c r="AC157" s="196" t="str">
        <f t="shared" si="36"/>
        <v>323555</v>
      </c>
      <c r="AD157" s="196" t="str">
        <f t="shared" si="37"/>
        <v>NPP</v>
      </c>
      <c r="AE157" s="196" t="str">
        <f t="shared" si="38"/>
        <v>NPP323555</v>
      </c>
      <c r="AF157" s="196">
        <f t="shared" si="39"/>
        <v>0</v>
      </c>
    </row>
    <row r="158" spans="1:32" ht="12.95" customHeight="1">
      <c r="A158" s="190">
        <v>62483</v>
      </c>
      <c r="B158" s="191">
        <v>43558</v>
      </c>
      <c r="C158" s="190" t="s">
        <v>457</v>
      </c>
      <c r="D158" s="190" t="s">
        <v>476</v>
      </c>
      <c r="E158" s="190" t="s">
        <v>346</v>
      </c>
      <c r="F158" s="190" t="s">
        <v>477</v>
      </c>
      <c r="G158" s="192" t="s">
        <v>478</v>
      </c>
      <c r="H158" s="192" t="s">
        <v>296</v>
      </c>
      <c r="I158" s="192" t="s">
        <v>349</v>
      </c>
      <c r="J158" s="192" t="s">
        <v>350</v>
      </c>
      <c r="K158" s="190" t="s">
        <v>351</v>
      </c>
      <c r="L158" s="190" t="s">
        <v>365</v>
      </c>
      <c r="M158" s="192" t="s">
        <v>366</v>
      </c>
      <c r="N158" s="193">
        <v>5</v>
      </c>
      <c r="O158" s="193">
        <v>300000</v>
      </c>
      <c r="P158" s="194">
        <v>1500000</v>
      </c>
      <c r="Q158" s="194">
        <v>150000</v>
      </c>
      <c r="R158" s="194">
        <v>1650000</v>
      </c>
      <c r="S158" s="192"/>
      <c r="T158" s="192" t="s">
        <v>310</v>
      </c>
      <c r="U158" s="190">
        <v>60251</v>
      </c>
      <c r="V158" s="190"/>
      <c r="W158" s="195" t="s">
        <v>356</v>
      </c>
      <c r="X158" s="196" t="str">
        <f>+IFERROR(VLOOKUP($F158,'[2]Chuyển đổi mã'!$A$1:$C$91,3,0),$F158)&amp;AC158</f>
        <v>Lotte South323709</v>
      </c>
      <c r="Y158" s="196" t="str">
        <f>IFERROR(VLOOKUP($F158,'[2]Chuyển đổi mã'!$A$1:$C$184,3,0),F158)</f>
        <v>Lotte South</v>
      </c>
      <c r="Z158" s="196" t="str">
        <f>VLOOKUP($G158,'[2]Thông tin NPP'!$B:$D,3,0)</f>
        <v>Lotte South</v>
      </c>
      <c r="AA158" s="196" t="str">
        <f t="shared" si="35"/>
        <v>Nextar Bro</v>
      </c>
      <c r="AB158" s="196" t="str">
        <f>IFERROR(VLOOKUP(DAY(B158),'[2]Chuyển đổi mã'!$F$1:$G$32,2,0),0)</f>
        <v>W1</v>
      </c>
      <c r="AC158" s="196" t="str">
        <f t="shared" si="36"/>
        <v>323709</v>
      </c>
      <c r="AD158" s="196" t="str">
        <f t="shared" si="37"/>
        <v>NPP</v>
      </c>
      <c r="AE158" s="196" t="str">
        <f t="shared" si="38"/>
        <v>NPP323709</v>
      </c>
      <c r="AF158" s="196">
        <f t="shared" si="39"/>
        <v>0</v>
      </c>
    </row>
    <row r="159" spans="1:32" ht="12.95" customHeight="1">
      <c r="A159" s="190">
        <v>62483</v>
      </c>
      <c r="B159" s="191">
        <v>43558</v>
      </c>
      <c r="C159" s="190" t="s">
        <v>457</v>
      </c>
      <c r="D159" s="190" t="s">
        <v>476</v>
      </c>
      <c r="E159" s="190" t="s">
        <v>346</v>
      </c>
      <c r="F159" s="190" t="s">
        <v>477</v>
      </c>
      <c r="G159" s="192" t="s">
        <v>478</v>
      </c>
      <c r="H159" s="192" t="s">
        <v>296</v>
      </c>
      <c r="I159" s="192" t="s">
        <v>349</v>
      </c>
      <c r="J159" s="192" t="s">
        <v>350</v>
      </c>
      <c r="K159" s="190" t="s">
        <v>351</v>
      </c>
      <c r="L159" s="190" t="s">
        <v>363</v>
      </c>
      <c r="M159" s="192" t="s">
        <v>364</v>
      </c>
      <c r="N159" s="193">
        <v>5</v>
      </c>
      <c r="O159" s="193">
        <v>320000</v>
      </c>
      <c r="P159" s="194">
        <v>1600000</v>
      </c>
      <c r="Q159" s="194">
        <v>160000</v>
      </c>
      <c r="R159" s="194">
        <v>1760000</v>
      </c>
      <c r="S159" s="192"/>
      <c r="T159" s="192" t="s">
        <v>310</v>
      </c>
      <c r="U159" s="190">
        <v>60251</v>
      </c>
      <c r="V159" s="190"/>
      <c r="W159" s="195" t="s">
        <v>356</v>
      </c>
      <c r="X159" s="196" t="str">
        <f>+IFERROR(VLOOKUP($F159,'[2]Chuyển đổi mã'!$A$1:$C$91,3,0),$F159)&amp;AC159</f>
        <v>Lotte South323708</v>
      </c>
      <c r="Y159" s="196" t="str">
        <f>IFERROR(VLOOKUP($F159,'[2]Chuyển đổi mã'!$A$1:$C$184,3,0),F159)</f>
        <v>Lotte South</v>
      </c>
      <c r="Z159" s="196" t="str">
        <f>VLOOKUP($G159,'[2]Thông tin NPP'!$B:$D,3,0)</f>
        <v>Lotte South</v>
      </c>
      <c r="AA159" s="196" t="str">
        <f t="shared" si="35"/>
        <v>Nextar Bro</v>
      </c>
      <c r="AB159" s="196" t="str">
        <f>IFERROR(VLOOKUP(DAY(B159),'[2]Chuyển đổi mã'!$F$1:$G$32,2,0),0)</f>
        <v>W1</v>
      </c>
      <c r="AC159" s="196" t="str">
        <f t="shared" si="36"/>
        <v>323708</v>
      </c>
      <c r="AD159" s="196" t="str">
        <f t="shared" si="37"/>
        <v>NPP</v>
      </c>
      <c r="AE159" s="196" t="str">
        <f t="shared" si="38"/>
        <v>NPP323708</v>
      </c>
      <c r="AF159" s="196">
        <f t="shared" si="39"/>
        <v>0</v>
      </c>
    </row>
    <row r="160" spans="1:32" ht="12.95" customHeight="1">
      <c r="A160" s="190">
        <v>62484</v>
      </c>
      <c r="B160" s="191">
        <v>43558</v>
      </c>
      <c r="C160" s="190" t="s">
        <v>457</v>
      </c>
      <c r="D160" s="190" t="s">
        <v>479</v>
      </c>
      <c r="E160" s="190" t="s">
        <v>346</v>
      </c>
      <c r="F160" s="190" t="s">
        <v>450</v>
      </c>
      <c r="G160" s="192" t="s">
        <v>451</v>
      </c>
      <c r="H160" s="192" t="s">
        <v>296</v>
      </c>
      <c r="I160" s="192" t="s">
        <v>349</v>
      </c>
      <c r="J160" s="192" t="s">
        <v>350</v>
      </c>
      <c r="K160" s="190" t="s">
        <v>351</v>
      </c>
      <c r="L160" s="190" t="s">
        <v>352</v>
      </c>
      <c r="M160" s="192" t="s">
        <v>353</v>
      </c>
      <c r="N160" s="193">
        <v>10</v>
      </c>
      <c r="O160" s="193">
        <v>155455</v>
      </c>
      <c r="P160" s="194">
        <v>1554550</v>
      </c>
      <c r="Q160" s="194">
        <v>155455</v>
      </c>
      <c r="R160" s="194">
        <v>1710005</v>
      </c>
      <c r="S160" s="192"/>
      <c r="T160" s="192" t="s">
        <v>310</v>
      </c>
      <c r="U160" s="190">
        <v>60250</v>
      </c>
      <c r="V160" s="190"/>
      <c r="W160" s="195" t="s">
        <v>356</v>
      </c>
      <c r="X160" s="196" t="str">
        <f>+IFERROR(VLOOKUP($F160,'[2]Chuyển đổi mã'!$A$1:$C$91,3,0),$F160)&amp;AC160</f>
        <v>Lotte South320463</v>
      </c>
      <c r="Y160" s="196" t="str">
        <f>IFERROR(VLOOKUP($F160,'[2]Chuyển đổi mã'!$A$1:$C$184,3,0),F160)</f>
        <v>Lotte South</v>
      </c>
      <c r="Z160" s="196" t="str">
        <f>VLOOKUP($G160,'[2]Thông tin NPP'!$B:$D,3,0)</f>
        <v>Lotte South</v>
      </c>
      <c r="AA160" s="196" t="str">
        <f t="shared" si="35"/>
        <v>Na 8,5g</v>
      </c>
      <c r="AB160" s="196" t="str">
        <f>IFERROR(VLOOKUP(DAY(B160),'[2]Chuyển đổi mã'!$F$1:$G$32,2,0),0)</f>
        <v>W1</v>
      </c>
      <c r="AC160" s="196" t="str">
        <f t="shared" si="36"/>
        <v>320463</v>
      </c>
      <c r="AD160" s="196" t="str">
        <f t="shared" si="37"/>
        <v>NPP</v>
      </c>
      <c r="AE160" s="196" t="str">
        <f t="shared" si="38"/>
        <v>NPP320463</v>
      </c>
      <c r="AF160" s="196">
        <f t="shared" si="39"/>
        <v>0</v>
      </c>
    </row>
    <row r="161" spans="1:32" ht="12.95" customHeight="1">
      <c r="A161" s="190">
        <v>62484</v>
      </c>
      <c r="B161" s="191">
        <v>43558</v>
      </c>
      <c r="C161" s="190" t="s">
        <v>457</v>
      </c>
      <c r="D161" s="190" t="s">
        <v>479</v>
      </c>
      <c r="E161" s="190" t="s">
        <v>346</v>
      </c>
      <c r="F161" s="190" t="s">
        <v>450</v>
      </c>
      <c r="G161" s="192" t="s">
        <v>451</v>
      </c>
      <c r="H161" s="192" t="s">
        <v>296</v>
      </c>
      <c r="I161" s="192" t="s">
        <v>349</v>
      </c>
      <c r="J161" s="192" t="s">
        <v>350</v>
      </c>
      <c r="K161" s="190" t="s">
        <v>351</v>
      </c>
      <c r="L161" s="190" t="s">
        <v>387</v>
      </c>
      <c r="M161" s="192" t="s">
        <v>388</v>
      </c>
      <c r="N161" s="193">
        <v>3</v>
      </c>
      <c r="O161" s="193">
        <v>340000</v>
      </c>
      <c r="P161" s="194">
        <v>1020000</v>
      </c>
      <c r="Q161" s="194">
        <v>102000</v>
      </c>
      <c r="R161" s="194">
        <v>1122000</v>
      </c>
      <c r="S161" s="192"/>
      <c r="T161" s="192" t="s">
        <v>310</v>
      </c>
      <c r="U161" s="190">
        <v>60250</v>
      </c>
      <c r="V161" s="190"/>
      <c r="W161" s="195" t="s">
        <v>356</v>
      </c>
      <c r="X161" s="196" t="str">
        <f>+IFERROR(VLOOKUP($F161,'[2]Chuyển đổi mã'!$A$1:$C$91,3,0),$F161)&amp;AC161</f>
        <v>Lotte South323620</v>
      </c>
      <c r="Y161" s="196" t="str">
        <f>IFERROR(VLOOKUP($F161,'[2]Chuyển đổi mã'!$A$1:$C$184,3,0),F161)</f>
        <v>Lotte South</v>
      </c>
      <c r="Z161" s="196" t="str">
        <f>VLOOKUP($G161,'[2]Thông tin NPP'!$B:$D,3,0)</f>
        <v>Lotte South</v>
      </c>
      <c r="AA161" s="196" t="str">
        <f t="shared" si="35"/>
        <v>Ahh 16g</v>
      </c>
      <c r="AB161" s="196" t="str">
        <f>IFERROR(VLOOKUP(DAY(B161),'[2]Chuyển đổi mã'!$F$1:$G$32,2,0),0)</f>
        <v>W1</v>
      </c>
      <c r="AC161" s="196" t="str">
        <f t="shared" si="36"/>
        <v>323620</v>
      </c>
      <c r="AD161" s="196" t="str">
        <f t="shared" si="37"/>
        <v>NPP</v>
      </c>
      <c r="AE161" s="196" t="str">
        <f t="shared" si="38"/>
        <v>NPP323620</v>
      </c>
      <c r="AF161" s="196">
        <f t="shared" si="39"/>
        <v>0</v>
      </c>
    </row>
    <row r="162" spans="1:32" ht="12.95" customHeight="1">
      <c r="A162" s="190">
        <v>62484</v>
      </c>
      <c r="B162" s="191">
        <v>43558</v>
      </c>
      <c r="C162" s="190" t="s">
        <v>457</v>
      </c>
      <c r="D162" s="190" t="s">
        <v>479</v>
      </c>
      <c r="E162" s="190" t="s">
        <v>346</v>
      </c>
      <c r="F162" s="190" t="s">
        <v>450</v>
      </c>
      <c r="G162" s="192" t="s">
        <v>451</v>
      </c>
      <c r="H162" s="192" t="s">
        <v>296</v>
      </c>
      <c r="I162" s="192" t="s">
        <v>349</v>
      </c>
      <c r="J162" s="192" t="s">
        <v>350</v>
      </c>
      <c r="K162" s="190" t="s">
        <v>351</v>
      </c>
      <c r="L162" s="190" t="s">
        <v>361</v>
      </c>
      <c r="M162" s="192" t="s">
        <v>362</v>
      </c>
      <c r="N162" s="193">
        <v>5</v>
      </c>
      <c r="O162" s="193">
        <v>300000</v>
      </c>
      <c r="P162" s="194">
        <v>1500000</v>
      </c>
      <c r="Q162" s="194">
        <v>150000</v>
      </c>
      <c r="R162" s="194">
        <v>1650000</v>
      </c>
      <c r="S162" s="192"/>
      <c r="T162" s="192" t="s">
        <v>310</v>
      </c>
      <c r="U162" s="190">
        <v>60250</v>
      </c>
      <c r="V162" s="190"/>
      <c r="W162" s="195" t="s">
        <v>356</v>
      </c>
      <c r="X162" s="196" t="str">
        <f>+IFERROR(VLOOKUP($F162,'[2]Chuyển đổi mã'!$A$1:$C$91,3,0),$F162)&amp;AC162</f>
        <v>Lotte South331017</v>
      </c>
      <c r="Y162" s="196" t="str">
        <f>IFERROR(VLOOKUP($F162,'[2]Chuyển đổi mã'!$A$1:$C$184,3,0),F162)</f>
        <v>Lotte South</v>
      </c>
      <c r="Z162" s="196" t="str">
        <f>VLOOKUP($G162,'[2]Thông tin NPP'!$B:$D,3,0)</f>
        <v>Lotte South</v>
      </c>
      <c r="AA162" s="196" t="str">
        <f t="shared" si="35"/>
        <v>Richoco Wf</v>
      </c>
      <c r="AB162" s="196" t="str">
        <f>IFERROR(VLOOKUP(DAY(B162),'[2]Chuyển đổi mã'!$F$1:$G$32,2,0),0)</f>
        <v>W1</v>
      </c>
      <c r="AC162" s="196" t="str">
        <f t="shared" si="36"/>
        <v>331017</v>
      </c>
      <c r="AD162" s="196" t="str">
        <f t="shared" si="37"/>
        <v>NPP</v>
      </c>
      <c r="AE162" s="196" t="str">
        <f t="shared" si="38"/>
        <v>NPP331017</v>
      </c>
      <c r="AF162" s="196">
        <f t="shared" si="39"/>
        <v>0</v>
      </c>
    </row>
    <row r="163" spans="1:32" ht="12.95" customHeight="1">
      <c r="A163" s="190">
        <v>62484</v>
      </c>
      <c r="B163" s="191">
        <v>43558</v>
      </c>
      <c r="C163" s="190" t="s">
        <v>457</v>
      </c>
      <c r="D163" s="190" t="s">
        <v>479</v>
      </c>
      <c r="E163" s="190" t="s">
        <v>346</v>
      </c>
      <c r="F163" s="190" t="s">
        <v>450</v>
      </c>
      <c r="G163" s="192" t="s">
        <v>451</v>
      </c>
      <c r="H163" s="192" t="s">
        <v>296</v>
      </c>
      <c r="I163" s="192" t="s">
        <v>349</v>
      </c>
      <c r="J163" s="192" t="s">
        <v>350</v>
      </c>
      <c r="K163" s="190" t="s">
        <v>351</v>
      </c>
      <c r="L163" s="190" t="s">
        <v>359</v>
      </c>
      <c r="M163" s="192" t="s">
        <v>360</v>
      </c>
      <c r="N163" s="193">
        <v>10</v>
      </c>
      <c r="O163" s="193">
        <v>300000</v>
      </c>
      <c r="P163" s="194">
        <v>3000000</v>
      </c>
      <c r="Q163" s="194">
        <v>300000</v>
      </c>
      <c r="R163" s="194">
        <v>3300000</v>
      </c>
      <c r="S163" s="192"/>
      <c r="T163" s="192" t="s">
        <v>310</v>
      </c>
      <c r="U163" s="190">
        <v>60250</v>
      </c>
      <c r="V163" s="190"/>
      <c r="W163" s="195" t="s">
        <v>356</v>
      </c>
      <c r="X163" s="196" t="str">
        <f>+IFERROR(VLOOKUP($F163,'[2]Chuyển đổi mã'!$A$1:$C$91,3,0),$F163)&amp;AC163</f>
        <v>Lotte South320445</v>
      </c>
      <c r="Y163" s="196" t="str">
        <f>IFERROR(VLOOKUP($F163,'[2]Chuyển đổi mã'!$A$1:$C$184,3,0),F163)</f>
        <v>Lotte South</v>
      </c>
      <c r="Z163" s="196" t="str">
        <f>VLOOKUP($G163,'[2]Thông tin NPP'!$B:$D,3,0)</f>
        <v>Lotte South</v>
      </c>
      <c r="AA163" s="196" t="str">
        <f t="shared" si="35"/>
        <v>Na 58g</v>
      </c>
      <c r="AB163" s="196" t="str">
        <f>IFERROR(VLOOKUP(DAY(B163),'[2]Chuyển đổi mã'!$F$1:$G$32,2,0),0)</f>
        <v>W1</v>
      </c>
      <c r="AC163" s="196" t="str">
        <f t="shared" si="36"/>
        <v>320445</v>
      </c>
      <c r="AD163" s="196" t="str">
        <f t="shared" si="37"/>
        <v>NPP</v>
      </c>
      <c r="AE163" s="196" t="str">
        <f t="shared" si="38"/>
        <v>NPP320445</v>
      </c>
      <c r="AF163" s="196">
        <f t="shared" si="39"/>
        <v>0</v>
      </c>
    </row>
    <row r="164" spans="1:32" ht="12.95" customHeight="1">
      <c r="A164" s="190">
        <v>62484</v>
      </c>
      <c r="B164" s="191">
        <v>43558</v>
      </c>
      <c r="C164" s="190" t="s">
        <v>457</v>
      </c>
      <c r="D164" s="190" t="s">
        <v>479</v>
      </c>
      <c r="E164" s="190" t="s">
        <v>346</v>
      </c>
      <c r="F164" s="190" t="s">
        <v>450</v>
      </c>
      <c r="G164" s="192" t="s">
        <v>451</v>
      </c>
      <c r="H164" s="192" t="s">
        <v>296</v>
      </c>
      <c r="I164" s="192" t="s">
        <v>349</v>
      </c>
      <c r="J164" s="192" t="s">
        <v>350</v>
      </c>
      <c r="K164" s="190" t="s">
        <v>351</v>
      </c>
      <c r="L164" s="190" t="s">
        <v>357</v>
      </c>
      <c r="M164" s="192" t="s">
        <v>358</v>
      </c>
      <c r="N164" s="193">
        <v>10</v>
      </c>
      <c r="O164" s="193">
        <v>213273</v>
      </c>
      <c r="P164" s="194">
        <v>2132730</v>
      </c>
      <c r="Q164" s="194">
        <v>213273</v>
      </c>
      <c r="R164" s="194">
        <v>2346003</v>
      </c>
      <c r="S164" s="192"/>
      <c r="T164" s="192" t="s">
        <v>310</v>
      </c>
      <c r="U164" s="190">
        <v>60250</v>
      </c>
      <c r="V164" s="190"/>
      <c r="W164" s="195" t="s">
        <v>356</v>
      </c>
      <c r="X164" s="196" t="str">
        <f>+IFERROR(VLOOKUP($F164,'[2]Chuyển đổi mã'!$A$1:$C$91,3,0),$F164)&amp;AC164</f>
        <v>Lotte South323555</v>
      </c>
      <c r="Y164" s="196" t="str">
        <f>IFERROR(VLOOKUP($F164,'[2]Chuyển đổi mã'!$A$1:$C$184,3,0),F164)</f>
        <v>Lotte South</v>
      </c>
      <c r="Z164" s="196" t="str">
        <f>VLOOKUP($G164,'[2]Thông tin NPP'!$B:$D,3,0)</f>
        <v>Lotte South</v>
      </c>
      <c r="AA164" s="196" t="str">
        <f t="shared" si="35"/>
        <v>Na 17g - M</v>
      </c>
      <c r="AB164" s="196" t="str">
        <f>IFERROR(VLOOKUP(DAY(B164),'[2]Chuyển đổi mã'!$F$1:$G$32,2,0),0)</f>
        <v>W1</v>
      </c>
      <c r="AC164" s="196" t="str">
        <f t="shared" si="36"/>
        <v>323555</v>
      </c>
      <c r="AD164" s="196" t="str">
        <f t="shared" si="37"/>
        <v>NPP</v>
      </c>
      <c r="AE164" s="196" t="str">
        <f t="shared" si="38"/>
        <v>NPP323555</v>
      </c>
      <c r="AF164" s="196">
        <f t="shared" si="39"/>
        <v>0</v>
      </c>
    </row>
    <row r="165" spans="1:32" ht="12.95" customHeight="1">
      <c r="A165" s="190">
        <v>62484</v>
      </c>
      <c r="B165" s="191">
        <v>43558</v>
      </c>
      <c r="C165" s="190" t="s">
        <v>457</v>
      </c>
      <c r="D165" s="190" t="s">
        <v>479</v>
      </c>
      <c r="E165" s="190" t="s">
        <v>346</v>
      </c>
      <c r="F165" s="190" t="s">
        <v>450</v>
      </c>
      <c r="G165" s="192" t="s">
        <v>451</v>
      </c>
      <c r="H165" s="192" t="s">
        <v>296</v>
      </c>
      <c r="I165" s="192" t="s">
        <v>349</v>
      </c>
      <c r="J165" s="192" t="s">
        <v>350</v>
      </c>
      <c r="K165" s="190" t="s">
        <v>351</v>
      </c>
      <c r="L165" s="190" t="s">
        <v>365</v>
      </c>
      <c r="M165" s="192" t="s">
        <v>366</v>
      </c>
      <c r="N165" s="193">
        <v>1</v>
      </c>
      <c r="O165" s="193">
        <v>300000</v>
      </c>
      <c r="P165" s="194">
        <v>300000</v>
      </c>
      <c r="Q165" s="194">
        <v>30000</v>
      </c>
      <c r="R165" s="194">
        <v>330000</v>
      </c>
      <c r="S165" s="192"/>
      <c r="T165" s="192" t="s">
        <v>310</v>
      </c>
      <c r="U165" s="190">
        <v>60250</v>
      </c>
      <c r="V165" s="190"/>
      <c r="W165" s="195" t="s">
        <v>356</v>
      </c>
      <c r="X165" s="196" t="str">
        <f>+IFERROR(VLOOKUP($F165,'[2]Chuyển đổi mã'!$A$1:$C$91,3,0),$F165)&amp;AC165</f>
        <v>Lotte South323709</v>
      </c>
      <c r="Y165" s="196" t="str">
        <f>IFERROR(VLOOKUP($F165,'[2]Chuyển đổi mã'!$A$1:$C$184,3,0),F165)</f>
        <v>Lotte South</v>
      </c>
      <c r="Z165" s="196" t="str">
        <f>VLOOKUP($G165,'[2]Thông tin NPP'!$B:$D,3,0)</f>
        <v>Lotte South</v>
      </c>
      <c r="AA165" s="196" t="str">
        <f t="shared" si="35"/>
        <v>Nextar Bro</v>
      </c>
      <c r="AB165" s="196" t="str">
        <f>IFERROR(VLOOKUP(DAY(B165),'[2]Chuyển đổi mã'!$F$1:$G$32,2,0),0)</f>
        <v>W1</v>
      </c>
      <c r="AC165" s="196" t="str">
        <f t="shared" si="36"/>
        <v>323709</v>
      </c>
      <c r="AD165" s="196" t="str">
        <f t="shared" si="37"/>
        <v>NPP</v>
      </c>
      <c r="AE165" s="196" t="str">
        <f t="shared" si="38"/>
        <v>NPP323709</v>
      </c>
      <c r="AF165" s="196">
        <f t="shared" si="39"/>
        <v>0</v>
      </c>
    </row>
    <row r="166" spans="1:32" ht="12.95" customHeight="1">
      <c r="A166" s="190">
        <v>62484</v>
      </c>
      <c r="B166" s="191">
        <v>43558</v>
      </c>
      <c r="C166" s="190" t="s">
        <v>457</v>
      </c>
      <c r="D166" s="190" t="s">
        <v>479</v>
      </c>
      <c r="E166" s="190" t="s">
        <v>346</v>
      </c>
      <c r="F166" s="190" t="s">
        <v>450</v>
      </c>
      <c r="G166" s="192" t="s">
        <v>451</v>
      </c>
      <c r="H166" s="192" t="s">
        <v>296</v>
      </c>
      <c r="I166" s="192" t="s">
        <v>349</v>
      </c>
      <c r="J166" s="192" t="s">
        <v>350</v>
      </c>
      <c r="K166" s="190" t="s">
        <v>351</v>
      </c>
      <c r="L166" s="190" t="s">
        <v>363</v>
      </c>
      <c r="M166" s="192" t="s">
        <v>364</v>
      </c>
      <c r="N166" s="193">
        <v>1</v>
      </c>
      <c r="O166" s="193">
        <v>320000</v>
      </c>
      <c r="P166" s="194">
        <v>320000</v>
      </c>
      <c r="Q166" s="194">
        <v>32000</v>
      </c>
      <c r="R166" s="194">
        <v>352000</v>
      </c>
      <c r="S166" s="192"/>
      <c r="T166" s="192" t="s">
        <v>310</v>
      </c>
      <c r="U166" s="190">
        <v>60250</v>
      </c>
      <c r="V166" s="190"/>
      <c r="W166" s="195" t="s">
        <v>356</v>
      </c>
      <c r="X166" s="196" t="str">
        <f>+IFERROR(VLOOKUP($F166,'[2]Chuyển đổi mã'!$A$1:$C$91,3,0),$F166)&amp;AC166</f>
        <v>Lotte South323708</v>
      </c>
      <c r="Y166" s="196" t="str">
        <f>IFERROR(VLOOKUP($F166,'[2]Chuyển đổi mã'!$A$1:$C$184,3,0),F166)</f>
        <v>Lotte South</v>
      </c>
      <c r="Z166" s="196" t="str">
        <f>VLOOKUP($G166,'[2]Thông tin NPP'!$B:$D,3,0)</f>
        <v>Lotte South</v>
      </c>
      <c r="AA166" s="196" t="str">
        <f t="shared" si="35"/>
        <v>Nextar Bro</v>
      </c>
      <c r="AB166" s="196" t="str">
        <f>IFERROR(VLOOKUP(DAY(B166),'[2]Chuyển đổi mã'!$F$1:$G$32,2,0),0)</f>
        <v>W1</v>
      </c>
      <c r="AC166" s="196" t="str">
        <f t="shared" si="36"/>
        <v>323708</v>
      </c>
      <c r="AD166" s="196" t="str">
        <f t="shared" si="37"/>
        <v>NPP</v>
      </c>
      <c r="AE166" s="196" t="str">
        <f t="shared" si="38"/>
        <v>NPP323708</v>
      </c>
      <c r="AF166" s="196">
        <f t="shared" si="39"/>
        <v>0</v>
      </c>
    </row>
    <row r="167" spans="1:32" ht="12.95" hidden="1" customHeight="1">
      <c r="A167" s="190">
        <v>62485</v>
      </c>
      <c r="B167" s="191">
        <v>43558</v>
      </c>
      <c r="C167" s="190" t="s">
        <v>457</v>
      </c>
      <c r="D167" s="190" t="s">
        <v>480</v>
      </c>
      <c r="E167" s="190" t="s">
        <v>346</v>
      </c>
      <c r="F167" s="190" t="s">
        <v>481</v>
      </c>
      <c r="G167" s="192" t="s">
        <v>482</v>
      </c>
      <c r="H167" s="192" t="s">
        <v>296</v>
      </c>
      <c r="I167" s="192" t="s">
        <v>443</v>
      </c>
      <c r="J167" s="192" t="s">
        <v>350</v>
      </c>
      <c r="K167" s="190" t="s">
        <v>351</v>
      </c>
      <c r="L167" s="190" t="s">
        <v>352</v>
      </c>
      <c r="M167" s="192" t="s">
        <v>353</v>
      </c>
      <c r="N167" s="193">
        <v>10</v>
      </c>
      <c r="O167" s="193">
        <v>155455</v>
      </c>
      <c r="P167" s="194">
        <v>1554550</v>
      </c>
      <c r="Q167" s="194">
        <v>155455</v>
      </c>
      <c r="R167" s="194">
        <v>1710005</v>
      </c>
      <c r="S167" s="192"/>
      <c r="T167" s="192" t="s">
        <v>310</v>
      </c>
      <c r="U167" s="190">
        <v>60249</v>
      </c>
      <c r="V167" s="190"/>
      <c r="W167" s="195" t="s">
        <v>356</v>
      </c>
      <c r="X167" s="196" t="str">
        <f>+IFERROR(VLOOKUP($F167,'[2]Chuyển đổi mã'!$A$1:$C$91,3,0),$F167)&amp;AC167</f>
        <v>Lotte Central320463</v>
      </c>
      <c r="Y167" s="196" t="str">
        <f>IFERROR(VLOOKUP($F167,'[2]Chuyển đổi mã'!$A$1:$C$184,3,0),F167)</f>
        <v>Lotte Central</v>
      </c>
      <c r="Z167" s="196" t="str">
        <f>VLOOKUP($G167,'[2]Thông tin NPP'!$B:$D,3,0)</f>
        <v>Lotte Central</v>
      </c>
      <c r="AA167" s="196" t="str">
        <f t="shared" si="35"/>
        <v>Na 8,5g</v>
      </c>
      <c r="AB167" s="196" t="str">
        <f>IFERROR(VLOOKUP(DAY(B167),'[2]Chuyển đổi mã'!$F$1:$G$32,2,0),0)</f>
        <v>W1</v>
      </c>
      <c r="AC167" s="196" t="str">
        <f t="shared" si="36"/>
        <v>320463</v>
      </c>
      <c r="AD167" s="196" t="str">
        <f t="shared" si="37"/>
        <v>NPP</v>
      </c>
      <c r="AE167" s="196" t="str">
        <f t="shared" si="38"/>
        <v>NPP320463</v>
      </c>
      <c r="AF167" s="196">
        <f t="shared" si="39"/>
        <v>0</v>
      </c>
    </row>
    <row r="168" spans="1:32" ht="12.95" hidden="1" customHeight="1">
      <c r="A168" s="190">
        <v>62485</v>
      </c>
      <c r="B168" s="191">
        <v>43558</v>
      </c>
      <c r="C168" s="190" t="s">
        <v>457</v>
      </c>
      <c r="D168" s="190" t="s">
        <v>480</v>
      </c>
      <c r="E168" s="190" t="s">
        <v>346</v>
      </c>
      <c r="F168" s="190" t="s">
        <v>481</v>
      </c>
      <c r="G168" s="192" t="s">
        <v>482</v>
      </c>
      <c r="H168" s="192" t="s">
        <v>296</v>
      </c>
      <c r="I168" s="192" t="s">
        <v>443</v>
      </c>
      <c r="J168" s="192" t="s">
        <v>350</v>
      </c>
      <c r="K168" s="190" t="s">
        <v>351</v>
      </c>
      <c r="L168" s="190" t="s">
        <v>381</v>
      </c>
      <c r="M168" s="192" t="s">
        <v>382</v>
      </c>
      <c r="N168" s="193">
        <v>2</v>
      </c>
      <c r="O168" s="193">
        <v>300000</v>
      </c>
      <c r="P168" s="194">
        <v>600000</v>
      </c>
      <c r="Q168" s="194">
        <v>60000</v>
      </c>
      <c r="R168" s="194">
        <v>660000</v>
      </c>
      <c r="S168" s="192"/>
      <c r="T168" s="192" t="s">
        <v>310</v>
      </c>
      <c r="U168" s="190">
        <v>60249</v>
      </c>
      <c r="V168" s="190"/>
      <c r="W168" s="195" t="s">
        <v>356</v>
      </c>
      <c r="X168" s="196" t="str">
        <f>+IFERROR(VLOOKUP($F168,'[2]Chuyển đổi mã'!$A$1:$C$91,3,0),$F168)&amp;AC168</f>
        <v>Lotte Central320429</v>
      </c>
      <c r="Y168" s="196" t="str">
        <f>IFERROR(VLOOKUP($F168,'[2]Chuyển đổi mã'!$A$1:$C$184,3,0),F168)</f>
        <v>Lotte Central</v>
      </c>
      <c r="Z168" s="196" t="str">
        <f>VLOOKUP($G168,'[2]Thông tin NPP'!$B:$D,3,0)</f>
        <v>Lotte Central</v>
      </c>
      <c r="AA168" s="196" t="str">
        <f t="shared" si="35"/>
        <v>Tin Can 35</v>
      </c>
      <c r="AB168" s="196" t="str">
        <f>IFERROR(VLOOKUP(DAY(B168),'[2]Chuyển đổi mã'!$F$1:$G$32,2,0),0)</f>
        <v>W1</v>
      </c>
      <c r="AC168" s="196" t="str">
        <f t="shared" si="36"/>
        <v>320429</v>
      </c>
      <c r="AD168" s="196" t="str">
        <f t="shared" si="37"/>
        <v>NPP</v>
      </c>
      <c r="AE168" s="196" t="str">
        <f t="shared" si="38"/>
        <v>NPP320429</v>
      </c>
      <c r="AF168" s="196">
        <f t="shared" si="39"/>
        <v>0</v>
      </c>
    </row>
    <row r="169" spans="1:32" ht="12.95" hidden="1" customHeight="1">
      <c r="A169" s="190">
        <v>62485</v>
      </c>
      <c r="B169" s="191">
        <v>43558</v>
      </c>
      <c r="C169" s="190" t="s">
        <v>457</v>
      </c>
      <c r="D169" s="190" t="s">
        <v>480</v>
      </c>
      <c r="E169" s="190" t="s">
        <v>346</v>
      </c>
      <c r="F169" s="190" t="s">
        <v>481</v>
      </c>
      <c r="G169" s="192" t="s">
        <v>482</v>
      </c>
      <c r="H169" s="192" t="s">
        <v>296</v>
      </c>
      <c r="I169" s="192" t="s">
        <v>443</v>
      </c>
      <c r="J169" s="192" t="s">
        <v>350</v>
      </c>
      <c r="K169" s="190" t="s">
        <v>351</v>
      </c>
      <c r="L169" s="190" t="s">
        <v>387</v>
      </c>
      <c r="M169" s="192" t="s">
        <v>388</v>
      </c>
      <c r="N169" s="193">
        <v>50</v>
      </c>
      <c r="O169" s="193">
        <v>340000</v>
      </c>
      <c r="P169" s="194">
        <v>17000000</v>
      </c>
      <c r="Q169" s="194">
        <v>1700000</v>
      </c>
      <c r="R169" s="194">
        <v>18700000</v>
      </c>
      <c r="S169" s="192"/>
      <c r="T169" s="192" t="s">
        <v>310</v>
      </c>
      <c r="U169" s="190">
        <v>60249</v>
      </c>
      <c r="V169" s="190"/>
      <c r="W169" s="195" t="s">
        <v>356</v>
      </c>
      <c r="X169" s="196" t="str">
        <f>+IFERROR(VLOOKUP($F169,'[2]Chuyển đổi mã'!$A$1:$C$91,3,0),$F169)&amp;AC169</f>
        <v>Lotte Central323620</v>
      </c>
      <c r="Y169" s="196" t="str">
        <f>IFERROR(VLOOKUP($F169,'[2]Chuyển đổi mã'!$A$1:$C$184,3,0),F169)</f>
        <v>Lotte Central</v>
      </c>
      <c r="Z169" s="196" t="str">
        <f>VLOOKUP($G169,'[2]Thông tin NPP'!$B:$D,3,0)</f>
        <v>Lotte Central</v>
      </c>
      <c r="AA169" s="196" t="str">
        <f t="shared" si="35"/>
        <v>Ahh 16g</v>
      </c>
      <c r="AB169" s="196" t="str">
        <f>IFERROR(VLOOKUP(DAY(B169),'[2]Chuyển đổi mã'!$F$1:$G$32,2,0),0)</f>
        <v>W1</v>
      </c>
      <c r="AC169" s="196" t="str">
        <f t="shared" si="36"/>
        <v>323620</v>
      </c>
      <c r="AD169" s="196" t="str">
        <f t="shared" si="37"/>
        <v>NPP</v>
      </c>
      <c r="AE169" s="196" t="str">
        <f t="shared" si="38"/>
        <v>NPP323620</v>
      </c>
      <c r="AF169" s="196">
        <f t="shared" si="39"/>
        <v>0</v>
      </c>
    </row>
    <row r="170" spans="1:32" ht="12.95" hidden="1" customHeight="1">
      <c r="A170" s="190">
        <v>62485</v>
      </c>
      <c r="B170" s="191">
        <v>43558</v>
      </c>
      <c r="C170" s="190" t="s">
        <v>457</v>
      </c>
      <c r="D170" s="190" t="s">
        <v>480</v>
      </c>
      <c r="E170" s="190" t="s">
        <v>346</v>
      </c>
      <c r="F170" s="190" t="s">
        <v>481</v>
      </c>
      <c r="G170" s="192" t="s">
        <v>482</v>
      </c>
      <c r="H170" s="192" t="s">
        <v>296</v>
      </c>
      <c r="I170" s="192" t="s">
        <v>443</v>
      </c>
      <c r="J170" s="192" t="s">
        <v>350</v>
      </c>
      <c r="K170" s="190" t="s">
        <v>351</v>
      </c>
      <c r="L170" s="190" t="s">
        <v>378</v>
      </c>
      <c r="M170" s="192" t="s">
        <v>379</v>
      </c>
      <c r="N170" s="193">
        <v>5</v>
      </c>
      <c r="O170" s="193">
        <v>213273</v>
      </c>
      <c r="P170" s="194">
        <v>1066365</v>
      </c>
      <c r="Q170" s="194">
        <v>106636.5</v>
      </c>
      <c r="R170" s="194">
        <v>1173001.5</v>
      </c>
      <c r="S170" s="192"/>
      <c r="T170" s="192" t="s">
        <v>310</v>
      </c>
      <c r="U170" s="190">
        <v>60249</v>
      </c>
      <c r="V170" s="190"/>
      <c r="W170" s="195" t="s">
        <v>356</v>
      </c>
      <c r="X170" s="196" t="str">
        <f>+IFERROR(VLOOKUP($F170,'[2]Chuyển đổi mã'!$A$1:$C$91,3,0),$F170)&amp;AC170</f>
        <v>Lotte Central321238</v>
      </c>
      <c r="Y170" s="196" t="str">
        <f>IFERROR(VLOOKUP($F170,'[2]Chuyển đổi mã'!$A$1:$C$184,3,0),F170)</f>
        <v>Lotte Central</v>
      </c>
      <c r="Z170" s="196" t="str">
        <f>VLOOKUP($G170,'[2]Thông tin NPP'!$B:$D,3,0)</f>
        <v>Lotte Central</v>
      </c>
      <c r="AA170" s="196" t="str">
        <f t="shared" si="35"/>
        <v>Richoco Wf</v>
      </c>
      <c r="AB170" s="196" t="str">
        <f>IFERROR(VLOOKUP(DAY(B170),'[2]Chuyển đổi mã'!$F$1:$G$32,2,0),0)</f>
        <v>W1</v>
      </c>
      <c r="AC170" s="196" t="str">
        <f t="shared" si="36"/>
        <v>321238</v>
      </c>
      <c r="AD170" s="196" t="str">
        <f t="shared" si="37"/>
        <v>NPP</v>
      </c>
      <c r="AE170" s="196" t="str">
        <f t="shared" si="38"/>
        <v>NPP321238</v>
      </c>
      <c r="AF170" s="196">
        <f t="shared" si="39"/>
        <v>0</v>
      </c>
    </row>
    <row r="171" spans="1:32" ht="12.95" hidden="1" customHeight="1">
      <c r="A171" s="190">
        <v>62485</v>
      </c>
      <c r="B171" s="191">
        <v>43558</v>
      </c>
      <c r="C171" s="190" t="s">
        <v>457</v>
      </c>
      <c r="D171" s="190" t="s">
        <v>480</v>
      </c>
      <c r="E171" s="190" t="s">
        <v>346</v>
      </c>
      <c r="F171" s="190" t="s">
        <v>481</v>
      </c>
      <c r="G171" s="192" t="s">
        <v>482</v>
      </c>
      <c r="H171" s="192" t="s">
        <v>296</v>
      </c>
      <c r="I171" s="192" t="s">
        <v>443</v>
      </c>
      <c r="J171" s="192" t="s">
        <v>350</v>
      </c>
      <c r="K171" s="190" t="s">
        <v>351</v>
      </c>
      <c r="L171" s="190" t="s">
        <v>361</v>
      </c>
      <c r="M171" s="192" t="s">
        <v>362</v>
      </c>
      <c r="N171" s="193">
        <v>2</v>
      </c>
      <c r="O171" s="193">
        <v>300000</v>
      </c>
      <c r="P171" s="194">
        <v>600000</v>
      </c>
      <c r="Q171" s="194">
        <v>60000</v>
      </c>
      <c r="R171" s="194">
        <v>660000</v>
      </c>
      <c r="S171" s="192"/>
      <c r="T171" s="192" t="s">
        <v>310</v>
      </c>
      <c r="U171" s="190">
        <v>60249</v>
      </c>
      <c r="V171" s="190"/>
      <c r="W171" s="195" t="s">
        <v>356</v>
      </c>
      <c r="X171" s="196" t="str">
        <f>+IFERROR(VLOOKUP($F171,'[2]Chuyển đổi mã'!$A$1:$C$91,3,0),$F171)&amp;AC171</f>
        <v>Lotte Central331017</v>
      </c>
      <c r="Y171" s="196" t="str">
        <f>IFERROR(VLOOKUP($F171,'[2]Chuyển đổi mã'!$A$1:$C$184,3,0),F171)</f>
        <v>Lotte Central</v>
      </c>
      <c r="Z171" s="196" t="str">
        <f>VLOOKUP($G171,'[2]Thông tin NPP'!$B:$D,3,0)</f>
        <v>Lotte Central</v>
      </c>
      <c r="AA171" s="196" t="str">
        <f t="shared" ref="AA171:AA222" si="40">LEFT($M171,10)</f>
        <v>Richoco Wf</v>
      </c>
      <c r="AB171" s="196" t="str">
        <f>IFERROR(VLOOKUP(DAY(B171),'[2]Chuyển đổi mã'!$F$1:$G$32,2,0),0)</f>
        <v>W1</v>
      </c>
      <c r="AC171" s="196" t="str">
        <f t="shared" ref="AC171:AC222" si="41">LEFT(L171,6)</f>
        <v>331017</v>
      </c>
      <c r="AD171" s="196" t="str">
        <f t="shared" ref="AD171:AD222" si="42">LEFT(F171,3)</f>
        <v>NPP</v>
      </c>
      <c r="AE171" s="196" t="str">
        <f t="shared" ref="AE171:AE222" si="43">AD171&amp;AC171</f>
        <v>NPP331017</v>
      </c>
      <c r="AF171" s="196">
        <f t="shared" ref="AF171:AF222" si="44">IF(RIGHT(L171,1)="P","P",0)</f>
        <v>0</v>
      </c>
    </row>
    <row r="172" spans="1:32" ht="12.95" hidden="1" customHeight="1">
      <c r="A172" s="190">
        <v>62485</v>
      </c>
      <c r="B172" s="191">
        <v>43558</v>
      </c>
      <c r="C172" s="190" t="s">
        <v>457</v>
      </c>
      <c r="D172" s="190" t="s">
        <v>480</v>
      </c>
      <c r="E172" s="190" t="s">
        <v>346</v>
      </c>
      <c r="F172" s="190" t="s">
        <v>481</v>
      </c>
      <c r="G172" s="192" t="s">
        <v>482</v>
      </c>
      <c r="H172" s="192" t="s">
        <v>296</v>
      </c>
      <c r="I172" s="192" t="s">
        <v>443</v>
      </c>
      <c r="J172" s="192" t="s">
        <v>350</v>
      </c>
      <c r="K172" s="190" t="s">
        <v>351</v>
      </c>
      <c r="L172" s="190" t="s">
        <v>359</v>
      </c>
      <c r="M172" s="192" t="s">
        <v>360</v>
      </c>
      <c r="N172" s="193">
        <v>4</v>
      </c>
      <c r="O172" s="193">
        <v>300000</v>
      </c>
      <c r="P172" s="194">
        <v>1200000</v>
      </c>
      <c r="Q172" s="194">
        <v>120000</v>
      </c>
      <c r="R172" s="194">
        <v>1320000</v>
      </c>
      <c r="S172" s="192"/>
      <c r="T172" s="192" t="s">
        <v>310</v>
      </c>
      <c r="U172" s="190">
        <v>60249</v>
      </c>
      <c r="V172" s="190"/>
      <c r="W172" s="195" t="s">
        <v>356</v>
      </c>
      <c r="X172" s="196" t="str">
        <f>+IFERROR(VLOOKUP($F172,'[2]Chuyển đổi mã'!$A$1:$C$91,3,0),$F172)&amp;AC172</f>
        <v>Lotte Central320445</v>
      </c>
      <c r="Y172" s="196" t="str">
        <f>IFERROR(VLOOKUP($F172,'[2]Chuyển đổi mã'!$A$1:$C$184,3,0),F172)</f>
        <v>Lotte Central</v>
      </c>
      <c r="Z172" s="196" t="str">
        <f>VLOOKUP($G172,'[2]Thông tin NPP'!$B:$D,3,0)</f>
        <v>Lotte Central</v>
      </c>
      <c r="AA172" s="196" t="str">
        <f t="shared" si="40"/>
        <v>Na 58g</v>
      </c>
      <c r="AB172" s="196" t="str">
        <f>IFERROR(VLOOKUP(DAY(B172),'[2]Chuyển đổi mã'!$F$1:$G$32,2,0),0)</f>
        <v>W1</v>
      </c>
      <c r="AC172" s="196" t="str">
        <f t="shared" si="41"/>
        <v>320445</v>
      </c>
      <c r="AD172" s="196" t="str">
        <f t="shared" si="42"/>
        <v>NPP</v>
      </c>
      <c r="AE172" s="196" t="str">
        <f t="shared" si="43"/>
        <v>NPP320445</v>
      </c>
      <c r="AF172" s="196">
        <f t="shared" si="44"/>
        <v>0</v>
      </c>
    </row>
    <row r="173" spans="1:32" ht="12.95" hidden="1" customHeight="1">
      <c r="A173" s="190">
        <v>62485</v>
      </c>
      <c r="B173" s="191">
        <v>43558</v>
      </c>
      <c r="C173" s="190" t="s">
        <v>457</v>
      </c>
      <c r="D173" s="190" t="s">
        <v>480</v>
      </c>
      <c r="E173" s="190" t="s">
        <v>346</v>
      </c>
      <c r="F173" s="190" t="s">
        <v>481</v>
      </c>
      <c r="G173" s="192" t="s">
        <v>482</v>
      </c>
      <c r="H173" s="192" t="s">
        <v>296</v>
      </c>
      <c r="I173" s="192" t="s">
        <v>443</v>
      </c>
      <c r="J173" s="192" t="s">
        <v>350</v>
      </c>
      <c r="K173" s="190" t="s">
        <v>351</v>
      </c>
      <c r="L173" s="190" t="s">
        <v>357</v>
      </c>
      <c r="M173" s="192" t="s">
        <v>358</v>
      </c>
      <c r="N173" s="193">
        <v>10</v>
      </c>
      <c r="O173" s="193">
        <v>213273</v>
      </c>
      <c r="P173" s="194">
        <v>2132730</v>
      </c>
      <c r="Q173" s="194">
        <v>213273</v>
      </c>
      <c r="R173" s="194">
        <v>2346003</v>
      </c>
      <c r="S173" s="192"/>
      <c r="T173" s="192" t="s">
        <v>310</v>
      </c>
      <c r="U173" s="190">
        <v>60249</v>
      </c>
      <c r="V173" s="190"/>
      <c r="W173" s="195" t="s">
        <v>356</v>
      </c>
      <c r="X173" s="196" t="str">
        <f>+IFERROR(VLOOKUP($F173,'[2]Chuyển đổi mã'!$A$1:$C$91,3,0),$F173)&amp;AC173</f>
        <v>Lotte Central323555</v>
      </c>
      <c r="Y173" s="196" t="str">
        <f>IFERROR(VLOOKUP($F173,'[2]Chuyển đổi mã'!$A$1:$C$184,3,0),F173)</f>
        <v>Lotte Central</v>
      </c>
      <c r="Z173" s="196" t="str">
        <f>VLOOKUP($G173,'[2]Thông tin NPP'!$B:$D,3,0)</f>
        <v>Lotte Central</v>
      </c>
      <c r="AA173" s="196" t="str">
        <f t="shared" si="40"/>
        <v>Na 17g - M</v>
      </c>
      <c r="AB173" s="196" t="str">
        <f>IFERROR(VLOOKUP(DAY(B173),'[2]Chuyển đổi mã'!$F$1:$G$32,2,0),0)</f>
        <v>W1</v>
      </c>
      <c r="AC173" s="196" t="str">
        <f t="shared" si="41"/>
        <v>323555</v>
      </c>
      <c r="AD173" s="196" t="str">
        <f t="shared" si="42"/>
        <v>NPP</v>
      </c>
      <c r="AE173" s="196" t="str">
        <f t="shared" si="43"/>
        <v>NPP323555</v>
      </c>
      <c r="AF173" s="196">
        <f t="shared" si="44"/>
        <v>0</v>
      </c>
    </row>
    <row r="174" spans="1:32" ht="12.95" hidden="1" customHeight="1">
      <c r="A174" s="190">
        <v>62485</v>
      </c>
      <c r="B174" s="191">
        <v>43558</v>
      </c>
      <c r="C174" s="190" t="s">
        <v>457</v>
      </c>
      <c r="D174" s="190" t="s">
        <v>480</v>
      </c>
      <c r="E174" s="190" t="s">
        <v>346</v>
      </c>
      <c r="F174" s="190" t="s">
        <v>481</v>
      </c>
      <c r="G174" s="192" t="s">
        <v>482</v>
      </c>
      <c r="H174" s="192" t="s">
        <v>296</v>
      </c>
      <c r="I174" s="192" t="s">
        <v>443</v>
      </c>
      <c r="J174" s="192" t="s">
        <v>350</v>
      </c>
      <c r="K174" s="190" t="s">
        <v>351</v>
      </c>
      <c r="L174" s="190" t="s">
        <v>365</v>
      </c>
      <c r="M174" s="192" t="s">
        <v>366</v>
      </c>
      <c r="N174" s="193">
        <v>5</v>
      </c>
      <c r="O174" s="193">
        <v>300000</v>
      </c>
      <c r="P174" s="194">
        <v>1500000</v>
      </c>
      <c r="Q174" s="194">
        <v>150000</v>
      </c>
      <c r="R174" s="194">
        <v>1650000</v>
      </c>
      <c r="S174" s="192"/>
      <c r="T174" s="192" t="s">
        <v>310</v>
      </c>
      <c r="U174" s="190">
        <v>60249</v>
      </c>
      <c r="V174" s="190"/>
      <c r="W174" s="195" t="s">
        <v>356</v>
      </c>
      <c r="X174" s="196" t="str">
        <f>+IFERROR(VLOOKUP($F174,'[2]Chuyển đổi mã'!$A$1:$C$91,3,0),$F174)&amp;AC174</f>
        <v>Lotte Central323709</v>
      </c>
      <c r="Y174" s="196" t="str">
        <f>IFERROR(VLOOKUP($F174,'[2]Chuyển đổi mã'!$A$1:$C$184,3,0),F174)</f>
        <v>Lotte Central</v>
      </c>
      <c r="Z174" s="196" t="str">
        <f>VLOOKUP($G174,'[2]Thông tin NPP'!$B:$D,3,0)</f>
        <v>Lotte Central</v>
      </c>
      <c r="AA174" s="196" t="str">
        <f t="shared" si="40"/>
        <v>Nextar Bro</v>
      </c>
      <c r="AB174" s="196" t="str">
        <f>IFERROR(VLOOKUP(DAY(B174),'[2]Chuyển đổi mã'!$F$1:$G$32,2,0),0)</f>
        <v>W1</v>
      </c>
      <c r="AC174" s="196" t="str">
        <f t="shared" si="41"/>
        <v>323709</v>
      </c>
      <c r="AD174" s="196" t="str">
        <f t="shared" si="42"/>
        <v>NPP</v>
      </c>
      <c r="AE174" s="196" t="str">
        <f t="shared" si="43"/>
        <v>NPP323709</v>
      </c>
      <c r="AF174" s="196">
        <f t="shared" si="44"/>
        <v>0</v>
      </c>
    </row>
    <row r="175" spans="1:32" ht="12.95" hidden="1" customHeight="1">
      <c r="A175" s="190">
        <v>62485</v>
      </c>
      <c r="B175" s="191">
        <v>43558</v>
      </c>
      <c r="C175" s="190" t="s">
        <v>457</v>
      </c>
      <c r="D175" s="190" t="s">
        <v>480</v>
      </c>
      <c r="E175" s="190" t="s">
        <v>346</v>
      </c>
      <c r="F175" s="190" t="s">
        <v>481</v>
      </c>
      <c r="G175" s="192" t="s">
        <v>482</v>
      </c>
      <c r="H175" s="192" t="s">
        <v>296</v>
      </c>
      <c r="I175" s="192" t="s">
        <v>443</v>
      </c>
      <c r="J175" s="192" t="s">
        <v>350</v>
      </c>
      <c r="K175" s="190" t="s">
        <v>351</v>
      </c>
      <c r="L175" s="190" t="s">
        <v>363</v>
      </c>
      <c r="M175" s="192" t="s">
        <v>364</v>
      </c>
      <c r="N175" s="193">
        <v>5</v>
      </c>
      <c r="O175" s="193">
        <v>320000</v>
      </c>
      <c r="P175" s="194">
        <v>1600000</v>
      </c>
      <c r="Q175" s="194">
        <v>160000</v>
      </c>
      <c r="R175" s="194">
        <v>1760000</v>
      </c>
      <c r="S175" s="192"/>
      <c r="T175" s="192" t="s">
        <v>310</v>
      </c>
      <c r="U175" s="190">
        <v>60249</v>
      </c>
      <c r="V175" s="190"/>
      <c r="W175" s="195" t="s">
        <v>356</v>
      </c>
      <c r="X175" s="196" t="str">
        <f>+IFERROR(VLOOKUP($F175,'[2]Chuyển đổi mã'!$A$1:$C$91,3,0),$F175)&amp;AC175</f>
        <v>Lotte Central323708</v>
      </c>
      <c r="Y175" s="196" t="str">
        <f>IFERROR(VLOOKUP($F175,'[2]Chuyển đổi mã'!$A$1:$C$184,3,0),F175)</f>
        <v>Lotte Central</v>
      </c>
      <c r="Z175" s="196" t="str">
        <f>VLOOKUP($G175,'[2]Thông tin NPP'!$B:$D,3,0)</f>
        <v>Lotte Central</v>
      </c>
      <c r="AA175" s="196" t="str">
        <f t="shared" si="40"/>
        <v>Nextar Bro</v>
      </c>
      <c r="AB175" s="196" t="str">
        <f>IFERROR(VLOOKUP(DAY(B175),'[2]Chuyển đổi mã'!$F$1:$G$32,2,0),0)</f>
        <v>W1</v>
      </c>
      <c r="AC175" s="196" t="str">
        <f t="shared" si="41"/>
        <v>323708</v>
      </c>
      <c r="AD175" s="196" t="str">
        <f t="shared" si="42"/>
        <v>NPP</v>
      </c>
      <c r="AE175" s="196" t="str">
        <f t="shared" si="43"/>
        <v>NPP323708</v>
      </c>
      <c r="AF175" s="196">
        <f t="shared" si="44"/>
        <v>0</v>
      </c>
    </row>
    <row r="176" spans="1:32" ht="12.95" customHeight="1">
      <c r="A176" s="190">
        <v>62486</v>
      </c>
      <c r="B176" s="191">
        <v>43558</v>
      </c>
      <c r="C176" s="190" t="s">
        <v>457</v>
      </c>
      <c r="D176" s="190" t="s">
        <v>483</v>
      </c>
      <c r="E176" s="190" t="s">
        <v>346</v>
      </c>
      <c r="F176" s="190" t="s">
        <v>484</v>
      </c>
      <c r="G176" s="192" t="s">
        <v>485</v>
      </c>
      <c r="H176" s="192" t="s">
        <v>296</v>
      </c>
      <c r="I176" s="192" t="s">
        <v>349</v>
      </c>
      <c r="J176" s="192" t="s">
        <v>350</v>
      </c>
      <c r="K176" s="190" t="s">
        <v>351</v>
      </c>
      <c r="L176" s="190" t="s">
        <v>352</v>
      </c>
      <c r="M176" s="192" t="s">
        <v>353</v>
      </c>
      <c r="N176" s="193">
        <v>15</v>
      </c>
      <c r="O176" s="193">
        <v>155455</v>
      </c>
      <c r="P176" s="194">
        <v>2331825</v>
      </c>
      <c r="Q176" s="194">
        <v>233182.5</v>
      </c>
      <c r="R176" s="194">
        <v>2565007.5</v>
      </c>
      <c r="S176" s="192"/>
      <c r="T176" s="192" t="s">
        <v>310</v>
      </c>
      <c r="U176" s="190">
        <v>60252</v>
      </c>
      <c r="V176" s="190"/>
      <c r="W176" s="195" t="s">
        <v>356</v>
      </c>
      <c r="X176" s="196" t="str">
        <f>+IFERROR(VLOOKUP($F176,'[2]Chuyển đổi mã'!$A$1:$C$91,3,0),$F176)&amp;AC176</f>
        <v>Lotte South320463</v>
      </c>
      <c r="Y176" s="196" t="str">
        <f>IFERROR(VLOOKUP($F176,'[2]Chuyển đổi mã'!$A$1:$C$184,3,0),F176)</f>
        <v>Lotte South</v>
      </c>
      <c r="Z176" s="196" t="str">
        <f>VLOOKUP($G176,'[2]Thông tin NPP'!$B:$D,3,0)</f>
        <v>Lotte South</v>
      </c>
      <c r="AA176" s="196" t="str">
        <f t="shared" si="40"/>
        <v>Na 8,5g</v>
      </c>
      <c r="AB176" s="196" t="str">
        <f>IFERROR(VLOOKUP(DAY(B176),'[2]Chuyển đổi mã'!$F$1:$G$32,2,0),0)</f>
        <v>W1</v>
      </c>
      <c r="AC176" s="196" t="str">
        <f t="shared" si="41"/>
        <v>320463</v>
      </c>
      <c r="AD176" s="196" t="str">
        <f t="shared" si="42"/>
        <v>NPP</v>
      </c>
      <c r="AE176" s="196" t="str">
        <f t="shared" si="43"/>
        <v>NPP320463</v>
      </c>
      <c r="AF176" s="196">
        <f t="shared" si="44"/>
        <v>0</v>
      </c>
    </row>
    <row r="177" spans="1:32" ht="12.95" customHeight="1">
      <c r="A177" s="190">
        <v>62486</v>
      </c>
      <c r="B177" s="191">
        <v>43558</v>
      </c>
      <c r="C177" s="190" t="s">
        <v>457</v>
      </c>
      <c r="D177" s="190" t="s">
        <v>483</v>
      </c>
      <c r="E177" s="190" t="s">
        <v>346</v>
      </c>
      <c r="F177" s="190" t="s">
        <v>484</v>
      </c>
      <c r="G177" s="192" t="s">
        <v>485</v>
      </c>
      <c r="H177" s="192" t="s">
        <v>296</v>
      </c>
      <c r="I177" s="192" t="s">
        <v>349</v>
      </c>
      <c r="J177" s="192" t="s">
        <v>350</v>
      </c>
      <c r="K177" s="190" t="s">
        <v>351</v>
      </c>
      <c r="L177" s="190" t="s">
        <v>381</v>
      </c>
      <c r="M177" s="192" t="s">
        <v>382</v>
      </c>
      <c r="N177" s="193">
        <v>2</v>
      </c>
      <c r="O177" s="193">
        <v>300000</v>
      </c>
      <c r="P177" s="194">
        <v>600000</v>
      </c>
      <c r="Q177" s="194">
        <v>60000</v>
      </c>
      <c r="R177" s="194">
        <v>660000</v>
      </c>
      <c r="S177" s="192"/>
      <c r="T177" s="192" t="s">
        <v>310</v>
      </c>
      <c r="U177" s="190">
        <v>60252</v>
      </c>
      <c r="V177" s="190"/>
      <c r="W177" s="195" t="s">
        <v>356</v>
      </c>
      <c r="X177" s="196" t="str">
        <f>+IFERROR(VLOOKUP($F177,'[2]Chuyển đổi mã'!$A$1:$C$91,3,0),$F177)&amp;AC177</f>
        <v>Lotte South320429</v>
      </c>
      <c r="Y177" s="196" t="str">
        <f>IFERROR(VLOOKUP($F177,'[2]Chuyển đổi mã'!$A$1:$C$184,3,0),F177)</f>
        <v>Lotte South</v>
      </c>
      <c r="Z177" s="196" t="str">
        <f>VLOOKUP($G177,'[2]Thông tin NPP'!$B:$D,3,0)</f>
        <v>Lotte South</v>
      </c>
      <c r="AA177" s="196" t="str">
        <f t="shared" si="40"/>
        <v>Tin Can 35</v>
      </c>
      <c r="AB177" s="196" t="str">
        <f>IFERROR(VLOOKUP(DAY(B177),'[2]Chuyển đổi mã'!$F$1:$G$32,2,0),0)</f>
        <v>W1</v>
      </c>
      <c r="AC177" s="196" t="str">
        <f t="shared" si="41"/>
        <v>320429</v>
      </c>
      <c r="AD177" s="196" t="str">
        <f t="shared" si="42"/>
        <v>NPP</v>
      </c>
      <c r="AE177" s="196" t="str">
        <f t="shared" si="43"/>
        <v>NPP320429</v>
      </c>
      <c r="AF177" s="196">
        <f t="shared" si="44"/>
        <v>0</v>
      </c>
    </row>
    <row r="178" spans="1:32" ht="12.95" customHeight="1">
      <c r="A178" s="190">
        <v>62486</v>
      </c>
      <c r="B178" s="191">
        <v>43558</v>
      </c>
      <c r="C178" s="190" t="s">
        <v>457</v>
      </c>
      <c r="D178" s="190" t="s">
        <v>483</v>
      </c>
      <c r="E178" s="190" t="s">
        <v>346</v>
      </c>
      <c r="F178" s="190" t="s">
        <v>484</v>
      </c>
      <c r="G178" s="192" t="s">
        <v>485</v>
      </c>
      <c r="H178" s="192" t="s">
        <v>296</v>
      </c>
      <c r="I178" s="192" t="s">
        <v>349</v>
      </c>
      <c r="J178" s="192" t="s">
        <v>350</v>
      </c>
      <c r="K178" s="190" t="s">
        <v>351</v>
      </c>
      <c r="L178" s="190" t="s">
        <v>387</v>
      </c>
      <c r="M178" s="192" t="s">
        <v>388</v>
      </c>
      <c r="N178" s="193">
        <v>3</v>
      </c>
      <c r="O178" s="193">
        <v>340000</v>
      </c>
      <c r="P178" s="194">
        <v>1020000</v>
      </c>
      <c r="Q178" s="194">
        <v>102000</v>
      </c>
      <c r="R178" s="194">
        <v>1122000</v>
      </c>
      <c r="S178" s="192"/>
      <c r="T178" s="192" t="s">
        <v>310</v>
      </c>
      <c r="U178" s="190">
        <v>60252</v>
      </c>
      <c r="V178" s="190"/>
      <c r="W178" s="195" t="s">
        <v>356</v>
      </c>
      <c r="X178" s="196" t="str">
        <f>+IFERROR(VLOOKUP($F178,'[2]Chuyển đổi mã'!$A$1:$C$91,3,0),$F178)&amp;AC178</f>
        <v>Lotte South323620</v>
      </c>
      <c r="Y178" s="196" t="str">
        <f>IFERROR(VLOOKUP($F178,'[2]Chuyển đổi mã'!$A$1:$C$184,3,0),F178)</f>
        <v>Lotte South</v>
      </c>
      <c r="Z178" s="196" t="str">
        <f>VLOOKUP($G178,'[2]Thông tin NPP'!$B:$D,3,0)</f>
        <v>Lotte South</v>
      </c>
      <c r="AA178" s="196" t="str">
        <f t="shared" si="40"/>
        <v>Ahh 16g</v>
      </c>
      <c r="AB178" s="196" t="str">
        <f>IFERROR(VLOOKUP(DAY(B178),'[2]Chuyển đổi mã'!$F$1:$G$32,2,0),0)</f>
        <v>W1</v>
      </c>
      <c r="AC178" s="196" t="str">
        <f t="shared" si="41"/>
        <v>323620</v>
      </c>
      <c r="AD178" s="196" t="str">
        <f t="shared" si="42"/>
        <v>NPP</v>
      </c>
      <c r="AE178" s="196" t="str">
        <f t="shared" si="43"/>
        <v>NPP323620</v>
      </c>
      <c r="AF178" s="196">
        <f t="shared" si="44"/>
        <v>0</v>
      </c>
    </row>
    <row r="179" spans="1:32" ht="12.95" customHeight="1">
      <c r="A179" s="190">
        <v>62486</v>
      </c>
      <c r="B179" s="191">
        <v>43558</v>
      </c>
      <c r="C179" s="190" t="s">
        <v>457</v>
      </c>
      <c r="D179" s="190" t="s">
        <v>483</v>
      </c>
      <c r="E179" s="190" t="s">
        <v>346</v>
      </c>
      <c r="F179" s="190" t="s">
        <v>484</v>
      </c>
      <c r="G179" s="192" t="s">
        <v>485</v>
      </c>
      <c r="H179" s="192" t="s">
        <v>296</v>
      </c>
      <c r="I179" s="192" t="s">
        <v>349</v>
      </c>
      <c r="J179" s="192" t="s">
        <v>350</v>
      </c>
      <c r="K179" s="190" t="s">
        <v>351</v>
      </c>
      <c r="L179" s="190" t="s">
        <v>378</v>
      </c>
      <c r="M179" s="192" t="s">
        <v>379</v>
      </c>
      <c r="N179" s="193">
        <v>5</v>
      </c>
      <c r="O179" s="193">
        <v>213273</v>
      </c>
      <c r="P179" s="194">
        <v>1066365</v>
      </c>
      <c r="Q179" s="194">
        <v>106636.5</v>
      </c>
      <c r="R179" s="194">
        <v>1173001.5</v>
      </c>
      <c r="S179" s="192"/>
      <c r="T179" s="192" t="s">
        <v>310</v>
      </c>
      <c r="U179" s="190">
        <v>60252</v>
      </c>
      <c r="V179" s="190"/>
      <c r="W179" s="195" t="s">
        <v>356</v>
      </c>
      <c r="X179" s="196" t="str">
        <f>+IFERROR(VLOOKUP($F179,'[2]Chuyển đổi mã'!$A$1:$C$91,3,0),$F179)&amp;AC179</f>
        <v>Lotte South321238</v>
      </c>
      <c r="Y179" s="196" t="str">
        <f>IFERROR(VLOOKUP($F179,'[2]Chuyển đổi mã'!$A$1:$C$184,3,0),F179)</f>
        <v>Lotte South</v>
      </c>
      <c r="Z179" s="196" t="str">
        <f>VLOOKUP($G179,'[2]Thông tin NPP'!$B:$D,3,0)</f>
        <v>Lotte South</v>
      </c>
      <c r="AA179" s="196" t="str">
        <f t="shared" si="40"/>
        <v>Richoco Wf</v>
      </c>
      <c r="AB179" s="196" t="str">
        <f>IFERROR(VLOOKUP(DAY(B179),'[2]Chuyển đổi mã'!$F$1:$G$32,2,0),0)</f>
        <v>W1</v>
      </c>
      <c r="AC179" s="196" t="str">
        <f t="shared" si="41"/>
        <v>321238</v>
      </c>
      <c r="AD179" s="196" t="str">
        <f t="shared" si="42"/>
        <v>NPP</v>
      </c>
      <c r="AE179" s="196" t="str">
        <f t="shared" si="43"/>
        <v>NPP321238</v>
      </c>
      <c r="AF179" s="196">
        <f t="shared" si="44"/>
        <v>0</v>
      </c>
    </row>
    <row r="180" spans="1:32" ht="12.95" customHeight="1">
      <c r="A180" s="190">
        <v>62486</v>
      </c>
      <c r="B180" s="191">
        <v>43558</v>
      </c>
      <c r="C180" s="190" t="s">
        <v>457</v>
      </c>
      <c r="D180" s="190" t="s">
        <v>483</v>
      </c>
      <c r="E180" s="190" t="s">
        <v>346</v>
      </c>
      <c r="F180" s="190" t="s">
        <v>484</v>
      </c>
      <c r="G180" s="192" t="s">
        <v>485</v>
      </c>
      <c r="H180" s="192" t="s">
        <v>296</v>
      </c>
      <c r="I180" s="192" t="s">
        <v>349</v>
      </c>
      <c r="J180" s="192" t="s">
        <v>350</v>
      </c>
      <c r="K180" s="190" t="s">
        <v>351</v>
      </c>
      <c r="L180" s="190" t="s">
        <v>361</v>
      </c>
      <c r="M180" s="192" t="s">
        <v>362</v>
      </c>
      <c r="N180" s="193">
        <v>3</v>
      </c>
      <c r="O180" s="193">
        <v>300000</v>
      </c>
      <c r="P180" s="194">
        <v>900000</v>
      </c>
      <c r="Q180" s="194">
        <v>90000</v>
      </c>
      <c r="R180" s="194">
        <v>990000</v>
      </c>
      <c r="S180" s="192"/>
      <c r="T180" s="192" t="s">
        <v>310</v>
      </c>
      <c r="U180" s="190">
        <v>60252</v>
      </c>
      <c r="V180" s="190"/>
      <c r="W180" s="195" t="s">
        <v>356</v>
      </c>
      <c r="X180" s="196" t="str">
        <f>+IFERROR(VLOOKUP($F180,'[2]Chuyển đổi mã'!$A$1:$C$91,3,0),$F180)&amp;AC180</f>
        <v>Lotte South331017</v>
      </c>
      <c r="Y180" s="196" t="str">
        <f>IFERROR(VLOOKUP($F180,'[2]Chuyển đổi mã'!$A$1:$C$184,3,0),F180)</f>
        <v>Lotte South</v>
      </c>
      <c r="Z180" s="196" t="str">
        <f>VLOOKUP($G180,'[2]Thông tin NPP'!$B:$D,3,0)</f>
        <v>Lotte South</v>
      </c>
      <c r="AA180" s="196" t="str">
        <f t="shared" si="40"/>
        <v>Richoco Wf</v>
      </c>
      <c r="AB180" s="196" t="str">
        <f>IFERROR(VLOOKUP(DAY(B180),'[2]Chuyển đổi mã'!$F$1:$G$32,2,0),0)</f>
        <v>W1</v>
      </c>
      <c r="AC180" s="196" t="str">
        <f t="shared" si="41"/>
        <v>331017</v>
      </c>
      <c r="AD180" s="196" t="str">
        <f t="shared" si="42"/>
        <v>NPP</v>
      </c>
      <c r="AE180" s="196" t="str">
        <f t="shared" si="43"/>
        <v>NPP331017</v>
      </c>
      <c r="AF180" s="196">
        <f t="shared" si="44"/>
        <v>0</v>
      </c>
    </row>
    <row r="181" spans="1:32" ht="12.95" customHeight="1">
      <c r="A181" s="190">
        <v>62486</v>
      </c>
      <c r="B181" s="191">
        <v>43558</v>
      </c>
      <c r="C181" s="190" t="s">
        <v>457</v>
      </c>
      <c r="D181" s="190" t="s">
        <v>483</v>
      </c>
      <c r="E181" s="190" t="s">
        <v>346</v>
      </c>
      <c r="F181" s="190" t="s">
        <v>484</v>
      </c>
      <c r="G181" s="192" t="s">
        <v>485</v>
      </c>
      <c r="H181" s="192" t="s">
        <v>296</v>
      </c>
      <c r="I181" s="192" t="s">
        <v>349</v>
      </c>
      <c r="J181" s="192" t="s">
        <v>350</v>
      </c>
      <c r="K181" s="190" t="s">
        <v>351</v>
      </c>
      <c r="L181" s="190" t="s">
        <v>359</v>
      </c>
      <c r="M181" s="192" t="s">
        <v>360</v>
      </c>
      <c r="N181" s="193">
        <v>4</v>
      </c>
      <c r="O181" s="193">
        <v>300000</v>
      </c>
      <c r="P181" s="194">
        <v>1200000</v>
      </c>
      <c r="Q181" s="194">
        <v>120000</v>
      </c>
      <c r="R181" s="194">
        <v>1320000</v>
      </c>
      <c r="S181" s="192"/>
      <c r="T181" s="192" t="s">
        <v>310</v>
      </c>
      <c r="U181" s="190">
        <v>60252</v>
      </c>
      <c r="V181" s="190"/>
      <c r="W181" s="195" t="s">
        <v>356</v>
      </c>
      <c r="X181" s="196" t="str">
        <f>+IFERROR(VLOOKUP($F181,'[2]Chuyển đổi mã'!$A$1:$C$91,3,0),$F181)&amp;AC181</f>
        <v>Lotte South320445</v>
      </c>
      <c r="Y181" s="196" t="str">
        <f>IFERROR(VLOOKUP($F181,'[2]Chuyển đổi mã'!$A$1:$C$184,3,0),F181)</f>
        <v>Lotte South</v>
      </c>
      <c r="Z181" s="196" t="str">
        <f>VLOOKUP($G181,'[2]Thông tin NPP'!$B:$D,3,0)</f>
        <v>Lotte South</v>
      </c>
      <c r="AA181" s="196" t="str">
        <f t="shared" si="40"/>
        <v>Na 58g</v>
      </c>
      <c r="AB181" s="196" t="str">
        <f>IFERROR(VLOOKUP(DAY(B181),'[2]Chuyển đổi mã'!$F$1:$G$32,2,0),0)</f>
        <v>W1</v>
      </c>
      <c r="AC181" s="196" t="str">
        <f t="shared" si="41"/>
        <v>320445</v>
      </c>
      <c r="AD181" s="196" t="str">
        <f t="shared" si="42"/>
        <v>NPP</v>
      </c>
      <c r="AE181" s="196" t="str">
        <f t="shared" si="43"/>
        <v>NPP320445</v>
      </c>
      <c r="AF181" s="196">
        <f t="shared" si="44"/>
        <v>0</v>
      </c>
    </row>
    <row r="182" spans="1:32" ht="12.95" customHeight="1">
      <c r="A182" s="190">
        <v>62486</v>
      </c>
      <c r="B182" s="191">
        <v>43558</v>
      </c>
      <c r="C182" s="190" t="s">
        <v>457</v>
      </c>
      <c r="D182" s="190" t="s">
        <v>483</v>
      </c>
      <c r="E182" s="190" t="s">
        <v>346</v>
      </c>
      <c r="F182" s="190" t="s">
        <v>484</v>
      </c>
      <c r="G182" s="192" t="s">
        <v>485</v>
      </c>
      <c r="H182" s="192" t="s">
        <v>296</v>
      </c>
      <c r="I182" s="192" t="s">
        <v>349</v>
      </c>
      <c r="J182" s="192" t="s">
        <v>350</v>
      </c>
      <c r="K182" s="190" t="s">
        <v>351</v>
      </c>
      <c r="L182" s="190" t="s">
        <v>357</v>
      </c>
      <c r="M182" s="192" t="s">
        <v>358</v>
      </c>
      <c r="N182" s="193">
        <v>20</v>
      </c>
      <c r="O182" s="193">
        <v>213273</v>
      </c>
      <c r="P182" s="194">
        <v>4265460</v>
      </c>
      <c r="Q182" s="194">
        <v>426546</v>
      </c>
      <c r="R182" s="194">
        <v>4692006</v>
      </c>
      <c r="S182" s="192"/>
      <c r="T182" s="192" t="s">
        <v>310</v>
      </c>
      <c r="U182" s="190">
        <v>60252</v>
      </c>
      <c r="V182" s="190"/>
      <c r="W182" s="195" t="s">
        <v>356</v>
      </c>
      <c r="X182" s="196" t="str">
        <f>+IFERROR(VLOOKUP($F182,'[2]Chuyển đổi mã'!$A$1:$C$91,3,0),$F182)&amp;AC182</f>
        <v>Lotte South323555</v>
      </c>
      <c r="Y182" s="196" t="str">
        <f>IFERROR(VLOOKUP($F182,'[2]Chuyển đổi mã'!$A$1:$C$184,3,0),F182)</f>
        <v>Lotte South</v>
      </c>
      <c r="Z182" s="196" t="str">
        <f>VLOOKUP($G182,'[2]Thông tin NPP'!$B:$D,3,0)</f>
        <v>Lotte South</v>
      </c>
      <c r="AA182" s="196" t="str">
        <f t="shared" si="40"/>
        <v>Na 17g - M</v>
      </c>
      <c r="AB182" s="196" t="str">
        <f>IFERROR(VLOOKUP(DAY(B182),'[2]Chuyển đổi mã'!$F$1:$G$32,2,0),0)</f>
        <v>W1</v>
      </c>
      <c r="AC182" s="196" t="str">
        <f t="shared" si="41"/>
        <v>323555</v>
      </c>
      <c r="AD182" s="196" t="str">
        <f t="shared" si="42"/>
        <v>NPP</v>
      </c>
      <c r="AE182" s="196" t="str">
        <f t="shared" si="43"/>
        <v>NPP323555</v>
      </c>
      <c r="AF182" s="196">
        <f t="shared" si="44"/>
        <v>0</v>
      </c>
    </row>
    <row r="183" spans="1:32" ht="12.95" customHeight="1">
      <c r="A183" s="190">
        <v>62486</v>
      </c>
      <c r="B183" s="191">
        <v>43558</v>
      </c>
      <c r="C183" s="190" t="s">
        <v>457</v>
      </c>
      <c r="D183" s="190" t="s">
        <v>483</v>
      </c>
      <c r="E183" s="190" t="s">
        <v>346</v>
      </c>
      <c r="F183" s="190" t="s">
        <v>484</v>
      </c>
      <c r="G183" s="192" t="s">
        <v>485</v>
      </c>
      <c r="H183" s="192" t="s">
        <v>296</v>
      </c>
      <c r="I183" s="192" t="s">
        <v>349</v>
      </c>
      <c r="J183" s="192" t="s">
        <v>350</v>
      </c>
      <c r="K183" s="190" t="s">
        <v>351</v>
      </c>
      <c r="L183" s="190" t="s">
        <v>365</v>
      </c>
      <c r="M183" s="192" t="s">
        <v>366</v>
      </c>
      <c r="N183" s="193">
        <v>1</v>
      </c>
      <c r="O183" s="193">
        <v>300000</v>
      </c>
      <c r="P183" s="194">
        <v>300000</v>
      </c>
      <c r="Q183" s="194">
        <v>30000</v>
      </c>
      <c r="R183" s="194">
        <v>330000</v>
      </c>
      <c r="S183" s="192"/>
      <c r="T183" s="192" t="s">
        <v>310</v>
      </c>
      <c r="U183" s="190">
        <v>60252</v>
      </c>
      <c r="V183" s="190"/>
      <c r="W183" s="195" t="s">
        <v>356</v>
      </c>
      <c r="X183" s="196" t="str">
        <f>+IFERROR(VLOOKUP($F183,'[2]Chuyển đổi mã'!$A$1:$C$91,3,0),$F183)&amp;AC183</f>
        <v>Lotte South323709</v>
      </c>
      <c r="Y183" s="196" t="str">
        <f>IFERROR(VLOOKUP($F183,'[2]Chuyển đổi mã'!$A$1:$C$184,3,0),F183)</f>
        <v>Lotte South</v>
      </c>
      <c r="Z183" s="196" t="str">
        <f>VLOOKUP($G183,'[2]Thông tin NPP'!$B:$D,3,0)</f>
        <v>Lotte South</v>
      </c>
      <c r="AA183" s="196" t="str">
        <f t="shared" si="40"/>
        <v>Nextar Bro</v>
      </c>
      <c r="AB183" s="196" t="str">
        <f>IFERROR(VLOOKUP(DAY(B183),'[2]Chuyển đổi mã'!$F$1:$G$32,2,0),0)</f>
        <v>W1</v>
      </c>
      <c r="AC183" s="196" t="str">
        <f t="shared" si="41"/>
        <v>323709</v>
      </c>
      <c r="AD183" s="196" t="str">
        <f t="shared" si="42"/>
        <v>NPP</v>
      </c>
      <c r="AE183" s="196" t="str">
        <f t="shared" si="43"/>
        <v>NPP323709</v>
      </c>
      <c r="AF183" s="196">
        <f t="shared" si="44"/>
        <v>0</v>
      </c>
    </row>
    <row r="184" spans="1:32" ht="12.95" customHeight="1">
      <c r="A184" s="190">
        <v>62486</v>
      </c>
      <c r="B184" s="191">
        <v>43558</v>
      </c>
      <c r="C184" s="190" t="s">
        <v>457</v>
      </c>
      <c r="D184" s="190" t="s">
        <v>483</v>
      </c>
      <c r="E184" s="190" t="s">
        <v>346</v>
      </c>
      <c r="F184" s="190" t="s">
        <v>484</v>
      </c>
      <c r="G184" s="192" t="s">
        <v>485</v>
      </c>
      <c r="H184" s="192" t="s">
        <v>296</v>
      </c>
      <c r="I184" s="192" t="s">
        <v>349</v>
      </c>
      <c r="J184" s="192" t="s">
        <v>350</v>
      </c>
      <c r="K184" s="190" t="s">
        <v>351</v>
      </c>
      <c r="L184" s="190" t="s">
        <v>363</v>
      </c>
      <c r="M184" s="192" t="s">
        <v>364</v>
      </c>
      <c r="N184" s="193">
        <v>2</v>
      </c>
      <c r="O184" s="193">
        <v>320000</v>
      </c>
      <c r="P184" s="194">
        <v>640000</v>
      </c>
      <c r="Q184" s="194">
        <v>64000</v>
      </c>
      <c r="R184" s="194">
        <v>704000</v>
      </c>
      <c r="S184" s="192"/>
      <c r="T184" s="192" t="s">
        <v>310</v>
      </c>
      <c r="U184" s="190">
        <v>60252</v>
      </c>
      <c r="V184" s="190"/>
      <c r="W184" s="195" t="s">
        <v>356</v>
      </c>
      <c r="X184" s="196" t="str">
        <f>+IFERROR(VLOOKUP($F184,'[2]Chuyển đổi mã'!$A$1:$C$91,3,0),$F184)&amp;AC184</f>
        <v>Lotte South323708</v>
      </c>
      <c r="Y184" s="196" t="str">
        <f>IFERROR(VLOOKUP($F184,'[2]Chuyển đổi mã'!$A$1:$C$184,3,0),F184)</f>
        <v>Lotte South</v>
      </c>
      <c r="Z184" s="196" t="str">
        <f>VLOOKUP($G184,'[2]Thông tin NPP'!$B:$D,3,0)</f>
        <v>Lotte South</v>
      </c>
      <c r="AA184" s="196" t="str">
        <f t="shared" si="40"/>
        <v>Nextar Bro</v>
      </c>
      <c r="AB184" s="196" t="str">
        <f>IFERROR(VLOOKUP(DAY(B184),'[2]Chuyển đổi mã'!$F$1:$G$32,2,0),0)</f>
        <v>W1</v>
      </c>
      <c r="AC184" s="196" t="str">
        <f t="shared" si="41"/>
        <v>323708</v>
      </c>
      <c r="AD184" s="196" t="str">
        <f t="shared" si="42"/>
        <v>NPP</v>
      </c>
      <c r="AE184" s="196" t="str">
        <f t="shared" si="43"/>
        <v>NPP323708</v>
      </c>
      <c r="AF184" s="196">
        <f t="shared" si="44"/>
        <v>0</v>
      </c>
    </row>
    <row r="185" spans="1:32" ht="12.95" customHeight="1">
      <c r="A185" s="190">
        <v>62487</v>
      </c>
      <c r="B185" s="191">
        <v>43558</v>
      </c>
      <c r="C185" s="190" t="s">
        <v>457</v>
      </c>
      <c r="D185" s="190" t="s">
        <v>486</v>
      </c>
      <c r="E185" s="190" t="s">
        <v>346</v>
      </c>
      <c r="F185" s="190" t="s">
        <v>487</v>
      </c>
      <c r="G185" s="192" t="s">
        <v>488</v>
      </c>
      <c r="H185" s="192" t="s">
        <v>296</v>
      </c>
      <c r="I185" s="192" t="s">
        <v>349</v>
      </c>
      <c r="J185" s="192" t="s">
        <v>350</v>
      </c>
      <c r="K185" s="190" t="s">
        <v>351</v>
      </c>
      <c r="L185" s="190" t="s">
        <v>387</v>
      </c>
      <c r="M185" s="192" t="s">
        <v>388</v>
      </c>
      <c r="N185" s="193">
        <v>60</v>
      </c>
      <c r="O185" s="193">
        <v>340000</v>
      </c>
      <c r="P185" s="194">
        <v>20400000</v>
      </c>
      <c r="Q185" s="194">
        <v>2040000</v>
      </c>
      <c r="R185" s="194">
        <v>22440000</v>
      </c>
      <c r="S185" s="192"/>
      <c r="T185" s="192" t="s">
        <v>310</v>
      </c>
      <c r="U185" s="190">
        <v>60254</v>
      </c>
      <c r="V185" s="190"/>
      <c r="W185" s="195" t="s">
        <v>356</v>
      </c>
      <c r="X185" s="196" t="str">
        <f>+IFERROR(VLOOKUP($F185,'[2]Chuyển đổi mã'!$A$1:$C$91,3,0),$F185)&amp;AC185</f>
        <v>SG Coop323620</v>
      </c>
      <c r="Y185" s="196" t="str">
        <f>IFERROR(VLOOKUP($F185,'[2]Chuyển đổi mã'!$A$1:$C$184,3,0),F185)</f>
        <v>SG Coop</v>
      </c>
      <c r="Z185" s="196" t="str">
        <f>VLOOKUP($G185,'[2]Thông tin NPP'!$B:$D,3,0)</f>
        <v>SÀI GÒN CO.OP</v>
      </c>
      <c r="AA185" s="196" t="str">
        <f t="shared" si="40"/>
        <v>Ahh 16g</v>
      </c>
      <c r="AB185" s="196" t="str">
        <f>IFERROR(VLOOKUP(DAY(B185),'[2]Chuyển đổi mã'!$F$1:$G$32,2,0),0)</f>
        <v>W1</v>
      </c>
      <c r="AC185" s="196" t="str">
        <f t="shared" si="41"/>
        <v>323620</v>
      </c>
      <c r="AD185" s="196" t="str">
        <f t="shared" si="42"/>
        <v>NPP</v>
      </c>
      <c r="AE185" s="196" t="str">
        <f t="shared" si="43"/>
        <v>NPP323620</v>
      </c>
      <c r="AF185" s="196">
        <f t="shared" si="44"/>
        <v>0</v>
      </c>
    </row>
    <row r="186" spans="1:32" ht="12.95" customHeight="1">
      <c r="A186" s="190">
        <v>62487</v>
      </c>
      <c r="B186" s="191">
        <v>43558</v>
      </c>
      <c r="C186" s="190" t="s">
        <v>457</v>
      </c>
      <c r="D186" s="190" t="s">
        <v>486</v>
      </c>
      <c r="E186" s="190" t="s">
        <v>346</v>
      </c>
      <c r="F186" s="190" t="s">
        <v>487</v>
      </c>
      <c r="G186" s="192" t="s">
        <v>488</v>
      </c>
      <c r="H186" s="192" t="s">
        <v>296</v>
      </c>
      <c r="I186" s="192" t="s">
        <v>349</v>
      </c>
      <c r="J186" s="192" t="s">
        <v>350</v>
      </c>
      <c r="K186" s="190" t="s">
        <v>351</v>
      </c>
      <c r="L186" s="190" t="s">
        <v>378</v>
      </c>
      <c r="M186" s="192" t="s">
        <v>379</v>
      </c>
      <c r="N186" s="193">
        <v>100</v>
      </c>
      <c r="O186" s="193">
        <v>204000</v>
      </c>
      <c r="P186" s="194">
        <v>20400000</v>
      </c>
      <c r="Q186" s="194">
        <v>2040000</v>
      </c>
      <c r="R186" s="194">
        <v>22440000</v>
      </c>
      <c r="S186" s="192"/>
      <c r="T186" s="192" t="s">
        <v>310</v>
      </c>
      <c r="U186" s="190">
        <v>60254</v>
      </c>
      <c r="V186" s="190"/>
      <c r="W186" s="195" t="s">
        <v>356</v>
      </c>
      <c r="X186" s="196" t="str">
        <f>+IFERROR(VLOOKUP($F186,'[2]Chuyển đổi mã'!$A$1:$C$91,3,0),$F186)&amp;AC186</f>
        <v>SG Coop321238</v>
      </c>
      <c r="Y186" s="196" t="str">
        <f>IFERROR(VLOOKUP($F186,'[2]Chuyển đổi mã'!$A$1:$C$184,3,0),F186)</f>
        <v>SG Coop</v>
      </c>
      <c r="Z186" s="196" t="str">
        <f>VLOOKUP($G186,'[2]Thông tin NPP'!$B:$D,3,0)</f>
        <v>SÀI GÒN CO.OP</v>
      </c>
      <c r="AA186" s="196" t="str">
        <f t="shared" si="40"/>
        <v>Richoco Wf</v>
      </c>
      <c r="AB186" s="196" t="str">
        <f>IFERROR(VLOOKUP(DAY(B186),'[2]Chuyển đổi mã'!$F$1:$G$32,2,0),0)</f>
        <v>W1</v>
      </c>
      <c r="AC186" s="196" t="str">
        <f t="shared" si="41"/>
        <v>321238</v>
      </c>
      <c r="AD186" s="196" t="str">
        <f t="shared" si="42"/>
        <v>NPP</v>
      </c>
      <c r="AE186" s="196" t="str">
        <f t="shared" si="43"/>
        <v>NPP321238</v>
      </c>
      <c r="AF186" s="196">
        <f t="shared" si="44"/>
        <v>0</v>
      </c>
    </row>
    <row r="187" spans="1:32" ht="12.95" customHeight="1">
      <c r="A187" s="190">
        <v>62487</v>
      </c>
      <c r="B187" s="191">
        <v>43558</v>
      </c>
      <c r="C187" s="190" t="s">
        <v>457</v>
      </c>
      <c r="D187" s="190" t="s">
        <v>486</v>
      </c>
      <c r="E187" s="190" t="s">
        <v>346</v>
      </c>
      <c r="F187" s="190" t="s">
        <v>487</v>
      </c>
      <c r="G187" s="192" t="s">
        <v>488</v>
      </c>
      <c r="H187" s="192" t="s">
        <v>296</v>
      </c>
      <c r="I187" s="192" t="s">
        <v>349</v>
      </c>
      <c r="J187" s="192" t="s">
        <v>350</v>
      </c>
      <c r="K187" s="190" t="s">
        <v>351</v>
      </c>
      <c r="L187" s="190" t="s">
        <v>359</v>
      </c>
      <c r="M187" s="192" t="s">
        <v>360</v>
      </c>
      <c r="N187" s="193">
        <v>300</v>
      </c>
      <c r="O187" s="193">
        <v>300000</v>
      </c>
      <c r="P187" s="194">
        <v>90000000</v>
      </c>
      <c r="Q187" s="194">
        <v>9000000</v>
      </c>
      <c r="R187" s="194">
        <v>99000000</v>
      </c>
      <c r="S187" s="192"/>
      <c r="T187" s="192" t="s">
        <v>310</v>
      </c>
      <c r="U187" s="190">
        <v>60254</v>
      </c>
      <c r="V187" s="190"/>
      <c r="W187" s="195" t="s">
        <v>356</v>
      </c>
      <c r="X187" s="196" t="str">
        <f>+IFERROR(VLOOKUP($F187,'[2]Chuyển đổi mã'!$A$1:$C$91,3,0),$F187)&amp;AC187</f>
        <v>SG Coop320445</v>
      </c>
      <c r="Y187" s="196" t="str">
        <f>IFERROR(VLOOKUP($F187,'[2]Chuyển đổi mã'!$A$1:$C$184,3,0),F187)</f>
        <v>SG Coop</v>
      </c>
      <c r="Z187" s="196" t="str">
        <f>VLOOKUP($G187,'[2]Thông tin NPP'!$B:$D,3,0)</f>
        <v>SÀI GÒN CO.OP</v>
      </c>
      <c r="AA187" s="196" t="str">
        <f t="shared" si="40"/>
        <v>Na 58g</v>
      </c>
      <c r="AB187" s="196" t="str">
        <f>IFERROR(VLOOKUP(DAY(B187),'[2]Chuyển đổi mã'!$F$1:$G$32,2,0),0)</f>
        <v>W1</v>
      </c>
      <c r="AC187" s="196" t="str">
        <f t="shared" si="41"/>
        <v>320445</v>
      </c>
      <c r="AD187" s="196" t="str">
        <f t="shared" si="42"/>
        <v>NPP</v>
      </c>
      <c r="AE187" s="196" t="str">
        <f t="shared" si="43"/>
        <v>NPP320445</v>
      </c>
      <c r="AF187" s="196">
        <f t="shared" si="44"/>
        <v>0</v>
      </c>
    </row>
    <row r="188" spans="1:32" ht="12.95" customHeight="1">
      <c r="A188" s="190">
        <v>62487</v>
      </c>
      <c r="B188" s="191">
        <v>43558</v>
      </c>
      <c r="C188" s="190" t="s">
        <v>457</v>
      </c>
      <c r="D188" s="190" t="s">
        <v>486</v>
      </c>
      <c r="E188" s="190" t="s">
        <v>346</v>
      </c>
      <c r="F188" s="190" t="s">
        <v>487</v>
      </c>
      <c r="G188" s="192" t="s">
        <v>488</v>
      </c>
      <c r="H188" s="192" t="s">
        <v>296</v>
      </c>
      <c r="I188" s="192" t="s">
        <v>349</v>
      </c>
      <c r="J188" s="192" t="s">
        <v>350</v>
      </c>
      <c r="K188" s="190" t="s">
        <v>351</v>
      </c>
      <c r="L188" s="190" t="s">
        <v>361</v>
      </c>
      <c r="M188" s="192" t="s">
        <v>362</v>
      </c>
      <c r="N188" s="193">
        <v>80</v>
      </c>
      <c r="O188" s="193">
        <v>300000</v>
      </c>
      <c r="P188" s="194">
        <v>24000000</v>
      </c>
      <c r="Q188" s="194">
        <v>2400000</v>
      </c>
      <c r="R188" s="194">
        <v>26400000</v>
      </c>
      <c r="S188" s="192"/>
      <c r="T188" s="192" t="s">
        <v>310</v>
      </c>
      <c r="U188" s="190">
        <v>60254</v>
      </c>
      <c r="V188" s="190"/>
      <c r="W188" s="195" t="s">
        <v>356</v>
      </c>
      <c r="X188" s="196" t="str">
        <f>+IFERROR(VLOOKUP($F188,'[2]Chuyển đổi mã'!$A$1:$C$91,3,0),$F188)&amp;AC188</f>
        <v>SG Coop331017</v>
      </c>
      <c r="Y188" s="196" t="str">
        <f>IFERROR(VLOOKUP($F188,'[2]Chuyển đổi mã'!$A$1:$C$184,3,0),F188)</f>
        <v>SG Coop</v>
      </c>
      <c r="Z188" s="196" t="str">
        <f>VLOOKUP($G188,'[2]Thông tin NPP'!$B:$D,3,0)</f>
        <v>SÀI GÒN CO.OP</v>
      </c>
      <c r="AA188" s="196" t="str">
        <f t="shared" si="40"/>
        <v>Richoco Wf</v>
      </c>
      <c r="AB188" s="196" t="str">
        <f>IFERROR(VLOOKUP(DAY(B188),'[2]Chuyển đổi mã'!$F$1:$G$32,2,0),0)</f>
        <v>W1</v>
      </c>
      <c r="AC188" s="196" t="str">
        <f t="shared" si="41"/>
        <v>331017</v>
      </c>
      <c r="AD188" s="196" t="str">
        <f t="shared" si="42"/>
        <v>NPP</v>
      </c>
      <c r="AE188" s="196" t="str">
        <f t="shared" si="43"/>
        <v>NPP331017</v>
      </c>
      <c r="AF188" s="196">
        <f t="shared" si="44"/>
        <v>0</v>
      </c>
    </row>
    <row r="189" spans="1:32" ht="12.95" customHeight="1">
      <c r="A189" s="190">
        <v>62487</v>
      </c>
      <c r="B189" s="191">
        <v>43558</v>
      </c>
      <c r="C189" s="190" t="s">
        <v>457</v>
      </c>
      <c r="D189" s="190" t="s">
        <v>486</v>
      </c>
      <c r="E189" s="190" t="s">
        <v>346</v>
      </c>
      <c r="F189" s="190" t="s">
        <v>487</v>
      </c>
      <c r="G189" s="192" t="s">
        <v>488</v>
      </c>
      <c r="H189" s="192" t="s">
        <v>296</v>
      </c>
      <c r="I189" s="192" t="s">
        <v>349</v>
      </c>
      <c r="J189" s="192" t="s">
        <v>350</v>
      </c>
      <c r="K189" s="190" t="s">
        <v>351</v>
      </c>
      <c r="L189" s="190" t="s">
        <v>365</v>
      </c>
      <c r="M189" s="192" t="s">
        <v>366</v>
      </c>
      <c r="N189" s="193">
        <v>40</v>
      </c>
      <c r="O189" s="193">
        <v>300000</v>
      </c>
      <c r="P189" s="194">
        <v>12000000</v>
      </c>
      <c r="Q189" s="194">
        <v>1200000</v>
      </c>
      <c r="R189" s="194">
        <v>13200000</v>
      </c>
      <c r="S189" s="192"/>
      <c r="T189" s="192" t="s">
        <v>310</v>
      </c>
      <c r="U189" s="190">
        <v>60254</v>
      </c>
      <c r="V189" s="190"/>
      <c r="W189" s="195" t="s">
        <v>356</v>
      </c>
      <c r="X189" s="196" t="str">
        <f>+IFERROR(VLOOKUP($F189,'[2]Chuyển đổi mã'!$A$1:$C$91,3,0),$F189)&amp;AC189</f>
        <v>SG Coop323709</v>
      </c>
      <c r="Y189" s="196" t="str">
        <f>IFERROR(VLOOKUP($F189,'[2]Chuyển đổi mã'!$A$1:$C$184,3,0),F189)</f>
        <v>SG Coop</v>
      </c>
      <c r="Z189" s="196" t="str">
        <f>VLOOKUP($G189,'[2]Thông tin NPP'!$B:$D,3,0)</f>
        <v>SÀI GÒN CO.OP</v>
      </c>
      <c r="AA189" s="196" t="str">
        <f t="shared" si="40"/>
        <v>Nextar Bro</v>
      </c>
      <c r="AB189" s="196" t="str">
        <f>IFERROR(VLOOKUP(DAY(B189),'[2]Chuyển đổi mã'!$F$1:$G$32,2,0),0)</f>
        <v>W1</v>
      </c>
      <c r="AC189" s="196" t="str">
        <f t="shared" si="41"/>
        <v>323709</v>
      </c>
      <c r="AD189" s="196" t="str">
        <f t="shared" si="42"/>
        <v>NPP</v>
      </c>
      <c r="AE189" s="196" t="str">
        <f t="shared" si="43"/>
        <v>NPP323709</v>
      </c>
      <c r="AF189" s="196">
        <f t="shared" si="44"/>
        <v>0</v>
      </c>
    </row>
    <row r="190" spans="1:32" ht="12.95" customHeight="1">
      <c r="A190" s="190">
        <v>62488</v>
      </c>
      <c r="B190" s="191">
        <v>43558</v>
      </c>
      <c r="C190" s="190" t="s">
        <v>457</v>
      </c>
      <c r="D190" s="190" t="s">
        <v>489</v>
      </c>
      <c r="E190" s="190" t="s">
        <v>346</v>
      </c>
      <c r="F190" s="190" t="s">
        <v>487</v>
      </c>
      <c r="G190" s="192" t="s">
        <v>488</v>
      </c>
      <c r="H190" s="192" t="s">
        <v>296</v>
      </c>
      <c r="I190" s="192" t="s">
        <v>349</v>
      </c>
      <c r="J190" s="192" t="s">
        <v>350</v>
      </c>
      <c r="K190" s="190" t="s">
        <v>351</v>
      </c>
      <c r="L190" s="190" t="s">
        <v>357</v>
      </c>
      <c r="M190" s="192" t="s">
        <v>358</v>
      </c>
      <c r="N190" s="193">
        <v>800</v>
      </c>
      <c r="O190" s="193">
        <v>173400</v>
      </c>
      <c r="P190" s="194">
        <v>138720000</v>
      </c>
      <c r="Q190" s="194">
        <v>13872000</v>
      </c>
      <c r="R190" s="194">
        <v>152592000</v>
      </c>
      <c r="S190" s="192" t="s">
        <v>490</v>
      </c>
      <c r="T190" s="192" t="s">
        <v>491</v>
      </c>
      <c r="U190" s="190">
        <v>60255</v>
      </c>
      <c r="V190" s="190"/>
      <c r="W190" s="195" t="s">
        <v>356</v>
      </c>
      <c r="X190" s="196" t="str">
        <f>+IFERROR(VLOOKUP($F190,'[2]Chuyển đổi mã'!$A$1:$C$91,3,0),$F190)&amp;AC190</f>
        <v>SG Coop323555</v>
      </c>
      <c r="Y190" s="196" t="str">
        <f>IFERROR(VLOOKUP($F190,'[2]Chuyển đổi mã'!$A$1:$C$184,3,0),F190)</f>
        <v>SG Coop</v>
      </c>
      <c r="Z190" s="196" t="str">
        <f>VLOOKUP($G190,'[2]Thông tin NPP'!$B:$D,3,0)</f>
        <v>SÀI GÒN CO.OP</v>
      </c>
      <c r="AA190" s="196" t="str">
        <f t="shared" si="40"/>
        <v>Na 17g - M</v>
      </c>
      <c r="AB190" s="196" t="str">
        <f>IFERROR(VLOOKUP(DAY(B190),'[2]Chuyển đổi mã'!$F$1:$G$32,2,0),0)</f>
        <v>W1</v>
      </c>
      <c r="AC190" s="196" t="str">
        <f t="shared" si="41"/>
        <v>323555</v>
      </c>
      <c r="AD190" s="196" t="str">
        <f t="shared" si="42"/>
        <v>NPP</v>
      </c>
      <c r="AE190" s="196" t="str">
        <f t="shared" si="43"/>
        <v>NPP323555</v>
      </c>
      <c r="AF190" s="196">
        <f t="shared" si="44"/>
        <v>0</v>
      </c>
    </row>
    <row r="191" spans="1:32" ht="12.95" customHeight="1">
      <c r="A191" s="190">
        <v>62489</v>
      </c>
      <c r="B191" s="191">
        <v>43558</v>
      </c>
      <c r="C191" s="190" t="s">
        <v>457</v>
      </c>
      <c r="D191" s="190" t="s">
        <v>492</v>
      </c>
      <c r="E191" s="190" t="s">
        <v>346</v>
      </c>
      <c r="F191" s="190" t="s">
        <v>493</v>
      </c>
      <c r="G191" s="192" t="s">
        <v>494</v>
      </c>
      <c r="H191" s="192" t="s">
        <v>296</v>
      </c>
      <c r="I191" s="192" t="s">
        <v>349</v>
      </c>
      <c r="J191" s="192" t="s">
        <v>350</v>
      </c>
      <c r="K191" s="190" t="s">
        <v>351</v>
      </c>
      <c r="L191" s="190" t="s">
        <v>357</v>
      </c>
      <c r="M191" s="192" t="s">
        <v>358</v>
      </c>
      <c r="N191" s="193">
        <v>100</v>
      </c>
      <c r="O191" s="193">
        <v>173400</v>
      </c>
      <c r="P191" s="194">
        <v>17340000</v>
      </c>
      <c r="Q191" s="194">
        <v>1734000</v>
      </c>
      <c r="R191" s="194">
        <v>19074000</v>
      </c>
      <c r="S191" s="192" t="s">
        <v>490</v>
      </c>
      <c r="T191" s="192" t="s">
        <v>491</v>
      </c>
      <c r="U191" s="190">
        <v>60256</v>
      </c>
      <c r="V191" s="190"/>
      <c r="W191" s="195" t="s">
        <v>356</v>
      </c>
      <c r="X191" s="196" t="str">
        <f>+IFERROR(VLOOKUP($F191,'[2]Chuyển đổi mã'!$A$1:$C$91,3,0),$F191)&amp;AC191</f>
        <v>SG Coop Miền Tây323555</v>
      </c>
      <c r="Y191" s="196" t="str">
        <f>IFERROR(VLOOKUP($F191,'[2]Chuyển đổi mã'!$A$1:$C$184,3,0),F191)</f>
        <v>SG Coop Miền Tây</v>
      </c>
      <c r="Z191" s="196" t="str">
        <f>VLOOKUP($G191,'[2]Thông tin NPP'!$B:$D,3,0)</f>
        <v>SÀI GÒN CO.OP</v>
      </c>
      <c r="AA191" s="196" t="str">
        <f t="shared" si="40"/>
        <v>Na 17g - M</v>
      </c>
      <c r="AB191" s="196" t="str">
        <f>IFERROR(VLOOKUP(DAY(B191),'[2]Chuyển đổi mã'!$F$1:$G$32,2,0),0)</f>
        <v>W1</v>
      </c>
      <c r="AC191" s="196" t="str">
        <f t="shared" si="41"/>
        <v>323555</v>
      </c>
      <c r="AD191" s="196" t="str">
        <f t="shared" si="42"/>
        <v>NPP</v>
      </c>
      <c r="AE191" s="196" t="str">
        <f t="shared" si="43"/>
        <v>NPP323555</v>
      </c>
      <c r="AF191" s="196">
        <f t="shared" si="44"/>
        <v>0</v>
      </c>
    </row>
    <row r="192" spans="1:32" ht="12.95" customHeight="1">
      <c r="A192" s="190">
        <v>62489</v>
      </c>
      <c r="B192" s="191">
        <v>43558</v>
      </c>
      <c r="C192" s="190" t="s">
        <v>457</v>
      </c>
      <c r="D192" s="190" t="s">
        <v>492</v>
      </c>
      <c r="E192" s="190" t="s">
        <v>346</v>
      </c>
      <c r="F192" s="190" t="s">
        <v>493</v>
      </c>
      <c r="G192" s="192" t="s">
        <v>494</v>
      </c>
      <c r="H192" s="192" t="s">
        <v>296</v>
      </c>
      <c r="I192" s="192" t="s">
        <v>349</v>
      </c>
      <c r="J192" s="192" t="s">
        <v>350</v>
      </c>
      <c r="K192" s="190" t="s">
        <v>351</v>
      </c>
      <c r="L192" s="190" t="s">
        <v>359</v>
      </c>
      <c r="M192" s="192" t="s">
        <v>360</v>
      </c>
      <c r="N192" s="193">
        <v>30</v>
      </c>
      <c r="O192" s="193">
        <v>300000</v>
      </c>
      <c r="P192" s="194">
        <v>9000000</v>
      </c>
      <c r="Q192" s="194">
        <v>900000</v>
      </c>
      <c r="R192" s="194">
        <v>9900000</v>
      </c>
      <c r="S192" s="192"/>
      <c r="T192" s="192" t="s">
        <v>310</v>
      </c>
      <c r="U192" s="190">
        <v>60256</v>
      </c>
      <c r="V192" s="190"/>
      <c r="W192" s="195" t="s">
        <v>356</v>
      </c>
      <c r="X192" s="196" t="str">
        <f>+IFERROR(VLOOKUP($F192,'[2]Chuyển đổi mã'!$A$1:$C$91,3,0),$F192)&amp;AC192</f>
        <v>SG Coop Miền Tây320445</v>
      </c>
      <c r="Y192" s="196" t="str">
        <f>IFERROR(VLOOKUP($F192,'[2]Chuyển đổi mã'!$A$1:$C$184,3,0),F192)</f>
        <v>SG Coop Miền Tây</v>
      </c>
      <c r="Z192" s="196" t="str">
        <f>VLOOKUP($G192,'[2]Thông tin NPP'!$B:$D,3,0)</f>
        <v>SÀI GÒN CO.OP</v>
      </c>
      <c r="AA192" s="196" t="str">
        <f t="shared" si="40"/>
        <v>Na 58g</v>
      </c>
      <c r="AB192" s="196" t="str">
        <f>IFERROR(VLOOKUP(DAY(B192),'[2]Chuyển đổi mã'!$F$1:$G$32,2,0),0)</f>
        <v>W1</v>
      </c>
      <c r="AC192" s="196" t="str">
        <f t="shared" si="41"/>
        <v>320445</v>
      </c>
      <c r="AD192" s="196" t="str">
        <f t="shared" si="42"/>
        <v>NPP</v>
      </c>
      <c r="AE192" s="196" t="str">
        <f t="shared" si="43"/>
        <v>NPP320445</v>
      </c>
      <c r="AF192" s="196">
        <f t="shared" si="44"/>
        <v>0</v>
      </c>
    </row>
    <row r="193" spans="1:32" ht="12.95" customHeight="1">
      <c r="A193" s="190">
        <v>62489</v>
      </c>
      <c r="B193" s="191">
        <v>43558</v>
      </c>
      <c r="C193" s="190" t="s">
        <v>457</v>
      </c>
      <c r="D193" s="190" t="s">
        <v>492</v>
      </c>
      <c r="E193" s="190" t="s">
        <v>346</v>
      </c>
      <c r="F193" s="190" t="s">
        <v>493</v>
      </c>
      <c r="G193" s="192" t="s">
        <v>494</v>
      </c>
      <c r="H193" s="192" t="s">
        <v>296</v>
      </c>
      <c r="I193" s="192" t="s">
        <v>349</v>
      </c>
      <c r="J193" s="192" t="s">
        <v>350</v>
      </c>
      <c r="K193" s="190" t="s">
        <v>351</v>
      </c>
      <c r="L193" s="190" t="s">
        <v>361</v>
      </c>
      <c r="M193" s="192" t="s">
        <v>362</v>
      </c>
      <c r="N193" s="193">
        <v>15</v>
      </c>
      <c r="O193" s="193">
        <v>300000</v>
      </c>
      <c r="P193" s="194">
        <v>4500000</v>
      </c>
      <c r="Q193" s="194">
        <v>450000</v>
      </c>
      <c r="R193" s="194">
        <v>4950000</v>
      </c>
      <c r="S193" s="192"/>
      <c r="T193" s="192" t="s">
        <v>310</v>
      </c>
      <c r="U193" s="190">
        <v>60256</v>
      </c>
      <c r="V193" s="190"/>
      <c r="W193" s="195" t="s">
        <v>356</v>
      </c>
      <c r="X193" s="196" t="str">
        <f>+IFERROR(VLOOKUP($F193,'[2]Chuyển đổi mã'!$A$1:$C$91,3,0),$F193)&amp;AC193</f>
        <v>SG Coop Miền Tây331017</v>
      </c>
      <c r="Y193" s="196" t="str">
        <f>IFERROR(VLOOKUP($F193,'[2]Chuyển đổi mã'!$A$1:$C$184,3,0),F193)</f>
        <v>SG Coop Miền Tây</v>
      </c>
      <c r="Z193" s="196" t="str">
        <f>VLOOKUP($G193,'[2]Thông tin NPP'!$B:$D,3,0)</f>
        <v>SÀI GÒN CO.OP</v>
      </c>
      <c r="AA193" s="196" t="str">
        <f t="shared" si="40"/>
        <v>Richoco Wf</v>
      </c>
      <c r="AB193" s="196" t="str">
        <f>IFERROR(VLOOKUP(DAY(B193),'[2]Chuyển đổi mã'!$F$1:$G$32,2,0),0)</f>
        <v>W1</v>
      </c>
      <c r="AC193" s="196" t="str">
        <f t="shared" si="41"/>
        <v>331017</v>
      </c>
      <c r="AD193" s="196" t="str">
        <f t="shared" si="42"/>
        <v>NPP</v>
      </c>
      <c r="AE193" s="196" t="str">
        <f t="shared" si="43"/>
        <v>NPP331017</v>
      </c>
      <c r="AF193" s="196">
        <f t="shared" si="44"/>
        <v>0</v>
      </c>
    </row>
    <row r="194" spans="1:32" ht="12.95" customHeight="1">
      <c r="A194" s="190">
        <v>62489</v>
      </c>
      <c r="B194" s="191">
        <v>43558</v>
      </c>
      <c r="C194" s="190" t="s">
        <v>457</v>
      </c>
      <c r="D194" s="190" t="s">
        <v>492</v>
      </c>
      <c r="E194" s="190" t="s">
        <v>346</v>
      </c>
      <c r="F194" s="190" t="s">
        <v>493</v>
      </c>
      <c r="G194" s="192" t="s">
        <v>494</v>
      </c>
      <c r="H194" s="192" t="s">
        <v>296</v>
      </c>
      <c r="I194" s="192" t="s">
        <v>349</v>
      </c>
      <c r="J194" s="192" t="s">
        <v>350</v>
      </c>
      <c r="K194" s="190" t="s">
        <v>351</v>
      </c>
      <c r="L194" s="190" t="s">
        <v>365</v>
      </c>
      <c r="M194" s="192" t="s">
        <v>366</v>
      </c>
      <c r="N194" s="193">
        <v>10</v>
      </c>
      <c r="O194" s="193">
        <v>300000</v>
      </c>
      <c r="P194" s="194">
        <v>3000000</v>
      </c>
      <c r="Q194" s="194">
        <v>300000</v>
      </c>
      <c r="R194" s="194">
        <v>3300000</v>
      </c>
      <c r="S194" s="192"/>
      <c r="T194" s="192" t="s">
        <v>310</v>
      </c>
      <c r="U194" s="190">
        <v>60256</v>
      </c>
      <c r="V194" s="190"/>
      <c r="W194" s="195" t="s">
        <v>356</v>
      </c>
      <c r="X194" s="196" t="str">
        <f>+IFERROR(VLOOKUP($F194,'[2]Chuyển đổi mã'!$A$1:$C$91,3,0),$F194)&amp;AC194</f>
        <v>SG Coop Miền Tây323709</v>
      </c>
      <c r="Y194" s="196" t="str">
        <f>IFERROR(VLOOKUP($F194,'[2]Chuyển đổi mã'!$A$1:$C$184,3,0),F194)</f>
        <v>SG Coop Miền Tây</v>
      </c>
      <c r="Z194" s="196" t="str">
        <f>VLOOKUP($G194,'[2]Thông tin NPP'!$B:$D,3,0)</f>
        <v>SÀI GÒN CO.OP</v>
      </c>
      <c r="AA194" s="196" t="str">
        <f t="shared" si="40"/>
        <v>Nextar Bro</v>
      </c>
      <c r="AB194" s="196" t="str">
        <f>IFERROR(VLOOKUP(DAY(B194),'[2]Chuyển đổi mã'!$F$1:$G$32,2,0),0)</f>
        <v>W1</v>
      </c>
      <c r="AC194" s="196" t="str">
        <f t="shared" si="41"/>
        <v>323709</v>
      </c>
      <c r="AD194" s="196" t="str">
        <f t="shared" si="42"/>
        <v>NPP</v>
      </c>
      <c r="AE194" s="196" t="str">
        <f t="shared" si="43"/>
        <v>NPP323709</v>
      </c>
      <c r="AF194" s="196">
        <f t="shared" si="44"/>
        <v>0</v>
      </c>
    </row>
    <row r="195" spans="1:32" ht="12.95" hidden="1" customHeight="1">
      <c r="A195" s="190">
        <v>62490</v>
      </c>
      <c r="B195" s="191">
        <v>43558</v>
      </c>
      <c r="C195" s="190" t="s">
        <v>457</v>
      </c>
      <c r="D195" s="190" t="s">
        <v>495</v>
      </c>
      <c r="E195" s="190" t="s">
        <v>346</v>
      </c>
      <c r="F195" s="190" t="s">
        <v>496</v>
      </c>
      <c r="G195" s="192" t="s">
        <v>497</v>
      </c>
      <c r="H195" s="192" t="s">
        <v>296</v>
      </c>
      <c r="I195" s="192" t="s">
        <v>395</v>
      </c>
      <c r="J195" s="192" t="s">
        <v>350</v>
      </c>
      <c r="K195" s="190" t="s">
        <v>351</v>
      </c>
      <c r="L195" s="190" t="s">
        <v>352</v>
      </c>
      <c r="M195" s="192" t="s">
        <v>353</v>
      </c>
      <c r="N195" s="193">
        <v>1</v>
      </c>
      <c r="O195" s="193">
        <v>119700.35</v>
      </c>
      <c r="P195" s="194">
        <v>119700.35</v>
      </c>
      <c r="Q195" s="194">
        <v>11970.035</v>
      </c>
      <c r="R195" s="194">
        <v>131670.38500000001</v>
      </c>
      <c r="S195" s="192" t="s">
        <v>354</v>
      </c>
      <c r="T195" s="192" t="s">
        <v>355</v>
      </c>
      <c r="U195" s="190">
        <v>60274</v>
      </c>
      <c r="V195" s="190"/>
      <c r="W195" s="195" t="s">
        <v>356</v>
      </c>
      <c r="X195" s="196" t="str">
        <f>+IFERROR(VLOOKUP($F195,'[2]Chuyển đổi mã'!$A$1:$C$91,3,0),$F195)&amp;AC195</f>
        <v>Big C North320463</v>
      </c>
      <c r="Y195" s="196" t="str">
        <f>IFERROR(VLOOKUP($F195,'[2]Chuyển đổi mã'!$A$1:$C$184,3,0),F195)</f>
        <v>Big C North</v>
      </c>
      <c r="Z195" s="196" t="str">
        <f>VLOOKUP($G195,'[2]Thông tin NPP'!$B:$D,3,0)</f>
        <v>BIG C North</v>
      </c>
      <c r="AA195" s="196" t="str">
        <f t="shared" si="40"/>
        <v>Na 8,5g</v>
      </c>
      <c r="AB195" s="196" t="str">
        <f>IFERROR(VLOOKUP(DAY(B195),'[2]Chuyển đổi mã'!$F$1:$G$32,2,0),0)</f>
        <v>W1</v>
      </c>
      <c r="AC195" s="196" t="str">
        <f t="shared" si="41"/>
        <v>320463</v>
      </c>
      <c r="AD195" s="196" t="str">
        <f t="shared" si="42"/>
        <v>NPP</v>
      </c>
      <c r="AE195" s="196" t="str">
        <f t="shared" si="43"/>
        <v>NPP320463</v>
      </c>
      <c r="AF195" s="196">
        <f t="shared" si="44"/>
        <v>0</v>
      </c>
    </row>
    <row r="196" spans="1:32" ht="12.95" hidden="1" customHeight="1">
      <c r="A196" s="190">
        <v>62490</v>
      </c>
      <c r="B196" s="191">
        <v>43558</v>
      </c>
      <c r="C196" s="190" t="s">
        <v>457</v>
      </c>
      <c r="D196" s="190" t="s">
        <v>495</v>
      </c>
      <c r="E196" s="190" t="s">
        <v>346</v>
      </c>
      <c r="F196" s="190" t="s">
        <v>496</v>
      </c>
      <c r="G196" s="192" t="s">
        <v>497</v>
      </c>
      <c r="H196" s="192" t="s">
        <v>296</v>
      </c>
      <c r="I196" s="192" t="s">
        <v>395</v>
      </c>
      <c r="J196" s="192" t="s">
        <v>350</v>
      </c>
      <c r="K196" s="190" t="s">
        <v>351</v>
      </c>
      <c r="L196" s="190" t="s">
        <v>357</v>
      </c>
      <c r="M196" s="192" t="s">
        <v>358</v>
      </c>
      <c r="N196" s="193">
        <v>1</v>
      </c>
      <c r="O196" s="193">
        <v>213273</v>
      </c>
      <c r="P196" s="194">
        <v>213273</v>
      </c>
      <c r="Q196" s="194">
        <v>21327.3</v>
      </c>
      <c r="R196" s="194">
        <v>234600.3</v>
      </c>
      <c r="S196" s="192"/>
      <c r="T196" s="192" t="s">
        <v>310</v>
      </c>
      <c r="U196" s="190">
        <v>60274</v>
      </c>
      <c r="V196" s="190"/>
      <c r="W196" s="195" t="s">
        <v>356</v>
      </c>
      <c r="X196" s="196" t="str">
        <f>+IFERROR(VLOOKUP($F196,'[2]Chuyển đổi mã'!$A$1:$C$91,3,0),$F196)&amp;AC196</f>
        <v>Big C North323555</v>
      </c>
      <c r="Y196" s="196" t="str">
        <f>IFERROR(VLOOKUP($F196,'[2]Chuyển đổi mã'!$A$1:$C$184,3,0),F196)</f>
        <v>Big C North</v>
      </c>
      <c r="Z196" s="196" t="str">
        <f>VLOOKUP($G196,'[2]Thông tin NPP'!$B:$D,3,0)</f>
        <v>BIG C North</v>
      </c>
      <c r="AA196" s="196" t="str">
        <f t="shared" si="40"/>
        <v>Na 17g - M</v>
      </c>
      <c r="AB196" s="196" t="str">
        <f>IFERROR(VLOOKUP(DAY(B196),'[2]Chuyển đổi mã'!$F$1:$G$32,2,0),0)</f>
        <v>W1</v>
      </c>
      <c r="AC196" s="196" t="str">
        <f t="shared" si="41"/>
        <v>323555</v>
      </c>
      <c r="AD196" s="196" t="str">
        <f t="shared" si="42"/>
        <v>NPP</v>
      </c>
      <c r="AE196" s="196" t="str">
        <f t="shared" si="43"/>
        <v>NPP323555</v>
      </c>
      <c r="AF196" s="196">
        <f t="shared" si="44"/>
        <v>0</v>
      </c>
    </row>
    <row r="197" spans="1:32" ht="12.95" hidden="1" customHeight="1">
      <c r="A197" s="190">
        <v>62490</v>
      </c>
      <c r="B197" s="191">
        <v>43558</v>
      </c>
      <c r="C197" s="190" t="s">
        <v>457</v>
      </c>
      <c r="D197" s="190" t="s">
        <v>495</v>
      </c>
      <c r="E197" s="190" t="s">
        <v>346</v>
      </c>
      <c r="F197" s="190" t="s">
        <v>496</v>
      </c>
      <c r="G197" s="192" t="s">
        <v>497</v>
      </c>
      <c r="H197" s="192" t="s">
        <v>296</v>
      </c>
      <c r="I197" s="192" t="s">
        <v>395</v>
      </c>
      <c r="J197" s="192" t="s">
        <v>350</v>
      </c>
      <c r="K197" s="190" t="s">
        <v>351</v>
      </c>
      <c r="L197" s="190" t="s">
        <v>359</v>
      </c>
      <c r="M197" s="192" t="s">
        <v>360</v>
      </c>
      <c r="N197" s="193">
        <v>4</v>
      </c>
      <c r="O197" s="193">
        <v>313636</v>
      </c>
      <c r="P197" s="194">
        <v>1254544</v>
      </c>
      <c r="Q197" s="194">
        <v>125454.39999999999</v>
      </c>
      <c r="R197" s="194">
        <v>1379998.4</v>
      </c>
      <c r="S197" s="192"/>
      <c r="T197" s="192" t="s">
        <v>310</v>
      </c>
      <c r="U197" s="190">
        <v>60274</v>
      </c>
      <c r="V197" s="190"/>
      <c r="W197" s="195" t="s">
        <v>356</v>
      </c>
      <c r="X197" s="196" t="str">
        <f>+IFERROR(VLOOKUP($F197,'[2]Chuyển đổi mã'!$A$1:$C$91,3,0),$F197)&amp;AC197</f>
        <v>Big C North320445</v>
      </c>
      <c r="Y197" s="196" t="str">
        <f>IFERROR(VLOOKUP($F197,'[2]Chuyển đổi mã'!$A$1:$C$184,3,0),F197)</f>
        <v>Big C North</v>
      </c>
      <c r="Z197" s="196" t="str">
        <f>VLOOKUP($G197,'[2]Thông tin NPP'!$B:$D,3,0)</f>
        <v>BIG C North</v>
      </c>
      <c r="AA197" s="196" t="str">
        <f t="shared" si="40"/>
        <v>Na 58g</v>
      </c>
      <c r="AB197" s="196" t="str">
        <f>IFERROR(VLOOKUP(DAY(B197),'[2]Chuyển đổi mã'!$F$1:$G$32,2,0),0)</f>
        <v>W1</v>
      </c>
      <c r="AC197" s="196" t="str">
        <f t="shared" si="41"/>
        <v>320445</v>
      </c>
      <c r="AD197" s="196" t="str">
        <f t="shared" si="42"/>
        <v>NPP</v>
      </c>
      <c r="AE197" s="196" t="str">
        <f t="shared" si="43"/>
        <v>NPP320445</v>
      </c>
      <c r="AF197" s="196">
        <f t="shared" si="44"/>
        <v>0</v>
      </c>
    </row>
    <row r="198" spans="1:32" ht="12.95" hidden="1" customHeight="1">
      <c r="A198" s="190">
        <v>62490</v>
      </c>
      <c r="B198" s="191">
        <v>43558</v>
      </c>
      <c r="C198" s="190" t="s">
        <v>457</v>
      </c>
      <c r="D198" s="190" t="s">
        <v>495</v>
      </c>
      <c r="E198" s="190" t="s">
        <v>346</v>
      </c>
      <c r="F198" s="190" t="s">
        <v>496</v>
      </c>
      <c r="G198" s="192" t="s">
        <v>497</v>
      </c>
      <c r="H198" s="192" t="s">
        <v>296</v>
      </c>
      <c r="I198" s="192" t="s">
        <v>395</v>
      </c>
      <c r="J198" s="192" t="s">
        <v>350</v>
      </c>
      <c r="K198" s="190" t="s">
        <v>351</v>
      </c>
      <c r="L198" s="190" t="s">
        <v>361</v>
      </c>
      <c r="M198" s="192" t="s">
        <v>362</v>
      </c>
      <c r="N198" s="193">
        <v>4</v>
      </c>
      <c r="O198" s="193">
        <v>313636</v>
      </c>
      <c r="P198" s="194">
        <v>1254544</v>
      </c>
      <c r="Q198" s="194">
        <v>125454.39999999999</v>
      </c>
      <c r="R198" s="194">
        <v>1379998.4</v>
      </c>
      <c r="S198" s="192"/>
      <c r="T198" s="192" t="s">
        <v>310</v>
      </c>
      <c r="U198" s="190">
        <v>60274</v>
      </c>
      <c r="V198" s="190"/>
      <c r="W198" s="195" t="s">
        <v>356</v>
      </c>
      <c r="X198" s="196" t="str">
        <f>+IFERROR(VLOOKUP($F198,'[2]Chuyển đổi mã'!$A$1:$C$91,3,0),$F198)&amp;AC198</f>
        <v>Big C North331017</v>
      </c>
      <c r="Y198" s="196" t="str">
        <f>IFERROR(VLOOKUP($F198,'[2]Chuyển đổi mã'!$A$1:$C$184,3,0),F198)</f>
        <v>Big C North</v>
      </c>
      <c r="Z198" s="196" t="str">
        <f>VLOOKUP($G198,'[2]Thông tin NPP'!$B:$D,3,0)</f>
        <v>BIG C North</v>
      </c>
      <c r="AA198" s="196" t="str">
        <f t="shared" si="40"/>
        <v>Richoco Wf</v>
      </c>
      <c r="AB198" s="196" t="str">
        <f>IFERROR(VLOOKUP(DAY(B198),'[2]Chuyển đổi mã'!$F$1:$G$32,2,0),0)</f>
        <v>W1</v>
      </c>
      <c r="AC198" s="196" t="str">
        <f t="shared" si="41"/>
        <v>331017</v>
      </c>
      <c r="AD198" s="196" t="str">
        <f t="shared" si="42"/>
        <v>NPP</v>
      </c>
      <c r="AE198" s="196" t="str">
        <f t="shared" si="43"/>
        <v>NPP331017</v>
      </c>
      <c r="AF198" s="196">
        <f t="shared" si="44"/>
        <v>0</v>
      </c>
    </row>
    <row r="199" spans="1:32" ht="12.95" hidden="1" customHeight="1">
      <c r="A199" s="190">
        <v>62490</v>
      </c>
      <c r="B199" s="191">
        <v>43558</v>
      </c>
      <c r="C199" s="190" t="s">
        <v>457</v>
      </c>
      <c r="D199" s="190" t="s">
        <v>495</v>
      </c>
      <c r="E199" s="190" t="s">
        <v>346</v>
      </c>
      <c r="F199" s="190" t="s">
        <v>496</v>
      </c>
      <c r="G199" s="192" t="s">
        <v>497</v>
      </c>
      <c r="H199" s="192" t="s">
        <v>296</v>
      </c>
      <c r="I199" s="192" t="s">
        <v>395</v>
      </c>
      <c r="J199" s="192" t="s">
        <v>350</v>
      </c>
      <c r="K199" s="190" t="s">
        <v>351</v>
      </c>
      <c r="L199" s="190" t="s">
        <v>363</v>
      </c>
      <c r="M199" s="192" t="s">
        <v>364</v>
      </c>
      <c r="N199" s="193">
        <v>3</v>
      </c>
      <c r="O199" s="193">
        <v>334545</v>
      </c>
      <c r="P199" s="194">
        <v>1003635</v>
      </c>
      <c r="Q199" s="194">
        <v>100363.5</v>
      </c>
      <c r="R199" s="194">
        <v>1103998.5</v>
      </c>
      <c r="S199" s="192"/>
      <c r="T199" s="192" t="s">
        <v>310</v>
      </c>
      <c r="U199" s="190">
        <v>60274</v>
      </c>
      <c r="V199" s="190"/>
      <c r="W199" s="195" t="s">
        <v>356</v>
      </c>
      <c r="X199" s="196" t="str">
        <f>+IFERROR(VLOOKUP($F199,'[2]Chuyển đổi mã'!$A$1:$C$91,3,0),$F199)&amp;AC199</f>
        <v>Big C North323708</v>
      </c>
      <c r="Y199" s="196" t="str">
        <f>IFERROR(VLOOKUP($F199,'[2]Chuyển đổi mã'!$A$1:$C$184,3,0),F199)</f>
        <v>Big C North</v>
      </c>
      <c r="Z199" s="196" t="str">
        <f>VLOOKUP($G199,'[2]Thông tin NPP'!$B:$D,3,0)</f>
        <v>BIG C North</v>
      </c>
      <c r="AA199" s="196" t="str">
        <f t="shared" si="40"/>
        <v>Nextar Bro</v>
      </c>
      <c r="AB199" s="196" t="str">
        <f>IFERROR(VLOOKUP(DAY(B199),'[2]Chuyển đổi mã'!$F$1:$G$32,2,0),0)</f>
        <v>W1</v>
      </c>
      <c r="AC199" s="196" t="str">
        <f t="shared" si="41"/>
        <v>323708</v>
      </c>
      <c r="AD199" s="196" t="str">
        <f t="shared" si="42"/>
        <v>NPP</v>
      </c>
      <c r="AE199" s="196" t="str">
        <f t="shared" si="43"/>
        <v>NPP323708</v>
      </c>
      <c r="AF199" s="196">
        <f t="shared" si="44"/>
        <v>0</v>
      </c>
    </row>
    <row r="200" spans="1:32" ht="12.95" hidden="1" customHeight="1">
      <c r="A200" s="190">
        <v>62490</v>
      </c>
      <c r="B200" s="191">
        <v>43558</v>
      </c>
      <c r="C200" s="190" t="s">
        <v>457</v>
      </c>
      <c r="D200" s="190" t="s">
        <v>495</v>
      </c>
      <c r="E200" s="190" t="s">
        <v>346</v>
      </c>
      <c r="F200" s="190" t="s">
        <v>496</v>
      </c>
      <c r="G200" s="192" t="s">
        <v>497</v>
      </c>
      <c r="H200" s="192" t="s">
        <v>296</v>
      </c>
      <c r="I200" s="192" t="s">
        <v>395</v>
      </c>
      <c r="J200" s="192" t="s">
        <v>350</v>
      </c>
      <c r="K200" s="190" t="s">
        <v>351</v>
      </c>
      <c r="L200" s="190" t="s">
        <v>365</v>
      </c>
      <c r="M200" s="192" t="s">
        <v>366</v>
      </c>
      <c r="N200" s="193">
        <v>4</v>
      </c>
      <c r="O200" s="193">
        <v>313636</v>
      </c>
      <c r="P200" s="194">
        <v>1254544</v>
      </c>
      <c r="Q200" s="194">
        <v>125454.39999999999</v>
      </c>
      <c r="R200" s="194">
        <v>1379998.4</v>
      </c>
      <c r="S200" s="192"/>
      <c r="T200" s="192" t="s">
        <v>310</v>
      </c>
      <c r="U200" s="190">
        <v>60274</v>
      </c>
      <c r="V200" s="190"/>
      <c r="W200" s="195" t="s">
        <v>356</v>
      </c>
      <c r="X200" s="196" t="str">
        <f>+IFERROR(VLOOKUP($F200,'[2]Chuyển đổi mã'!$A$1:$C$91,3,0),$F200)&amp;AC200</f>
        <v>Big C North323709</v>
      </c>
      <c r="Y200" s="196" t="str">
        <f>IFERROR(VLOOKUP($F200,'[2]Chuyển đổi mã'!$A$1:$C$184,3,0),F200)</f>
        <v>Big C North</v>
      </c>
      <c r="Z200" s="196" t="str">
        <f>VLOOKUP($G200,'[2]Thông tin NPP'!$B:$D,3,0)</f>
        <v>BIG C North</v>
      </c>
      <c r="AA200" s="196" t="str">
        <f t="shared" si="40"/>
        <v>Nextar Bro</v>
      </c>
      <c r="AB200" s="196" t="str">
        <f>IFERROR(VLOOKUP(DAY(B200),'[2]Chuyển đổi mã'!$F$1:$G$32,2,0),0)</f>
        <v>W1</v>
      </c>
      <c r="AC200" s="196" t="str">
        <f t="shared" si="41"/>
        <v>323709</v>
      </c>
      <c r="AD200" s="196" t="str">
        <f t="shared" si="42"/>
        <v>NPP</v>
      </c>
      <c r="AE200" s="196" t="str">
        <f t="shared" si="43"/>
        <v>NPP323709</v>
      </c>
      <c r="AF200" s="196">
        <f t="shared" si="44"/>
        <v>0</v>
      </c>
    </row>
    <row r="201" spans="1:32" ht="12.95" hidden="1" customHeight="1">
      <c r="A201" s="190">
        <v>62491</v>
      </c>
      <c r="B201" s="191">
        <v>43558</v>
      </c>
      <c r="C201" s="190" t="s">
        <v>457</v>
      </c>
      <c r="D201" s="190" t="s">
        <v>440</v>
      </c>
      <c r="E201" s="190" t="s">
        <v>346</v>
      </c>
      <c r="F201" s="190" t="s">
        <v>441</v>
      </c>
      <c r="G201" s="192" t="s">
        <v>442</v>
      </c>
      <c r="H201" s="192" t="s">
        <v>296</v>
      </c>
      <c r="I201" s="192" t="s">
        <v>443</v>
      </c>
      <c r="J201" s="192" t="s">
        <v>350</v>
      </c>
      <c r="K201" s="190" t="s">
        <v>351</v>
      </c>
      <c r="L201" s="190" t="s">
        <v>352</v>
      </c>
      <c r="M201" s="192" t="s">
        <v>353</v>
      </c>
      <c r="N201" s="193">
        <v>10</v>
      </c>
      <c r="O201" s="193">
        <v>119700.35</v>
      </c>
      <c r="P201" s="194">
        <v>1197003.5</v>
      </c>
      <c r="Q201" s="194">
        <v>119700.35</v>
      </c>
      <c r="R201" s="194">
        <v>1316703.8500000001</v>
      </c>
      <c r="S201" s="192" t="s">
        <v>354</v>
      </c>
      <c r="T201" s="192" t="s">
        <v>355</v>
      </c>
      <c r="U201" s="190">
        <v>60275</v>
      </c>
      <c r="V201" s="190"/>
      <c r="W201" s="195" t="s">
        <v>356</v>
      </c>
      <c r="X201" s="196" t="str">
        <f>+IFERROR(VLOOKUP($F201,'[2]Chuyển đổi mã'!$A$1:$C$91,3,0),$F201)&amp;AC201</f>
        <v>Big C Central320463</v>
      </c>
      <c r="Y201" s="196" t="str">
        <f>IFERROR(VLOOKUP($F201,'[2]Chuyển đổi mã'!$A$1:$C$184,3,0),F201)</f>
        <v>Big C Central</v>
      </c>
      <c r="Z201" s="196" t="str">
        <f>VLOOKUP($G201,'[2]Thông tin NPP'!$B:$D,3,0)</f>
        <v>BIG C Central</v>
      </c>
      <c r="AA201" s="196" t="str">
        <f t="shared" si="40"/>
        <v>Na 8,5g</v>
      </c>
      <c r="AB201" s="196" t="str">
        <f>IFERROR(VLOOKUP(DAY(B201),'[2]Chuyển đổi mã'!$F$1:$G$32,2,0),0)</f>
        <v>W1</v>
      </c>
      <c r="AC201" s="196" t="str">
        <f t="shared" si="41"/>
        <v>320463</v>
      </c>
      <c r="AD201" s="196" t="str">
        <f t="shared" si="42"/>
        <v>NPP</v>
      </c>
      <c r="AE201" s="196" t="str">
        <f t="shared" si="43"/>
        <v>NPP320463</v>
      </c>
      <c r="AF201" s="196">
        <f t="shared" si="44"/>
        <v>0</v>
      </c>
    </row>
    <row r="202" spans="1:32" ht="12.95" hidden="1" customHeight="1">
      <c r="A202" s="190">
        <v>62491</v>
      </c>
      <c r="B202" s="191">
        <v>43558</v>
      </c>
      <c r="C202" s="190" t="s">
        <v>457</v>
      </c>
      <c r="D202" s="190" t="s">
        <v>440</v>
      </c>
      <c r="E202" s="190" t="s">
        <v>346</v>
      </c>
      <c r="F202" s="190" t="s">
        <v>441</v>
      </c>
      <c r="G202" s="192" t="s">
        <v>442</v>
      </c>
      <c r="H202" s="192" t="s">
        <v>296</v>
      </c>
      <c r="I202" s="192" t="s">
        <v>443</v>
      </c>
      <c r="J202" s="192" t="s">
        <v>350</v>
      </c>
      <c r="K202" s="190" t="s">
        <v>351</v>
      </c>
      <c r="L202" s="190" t="s">
        <v>359</v>
      </c>
      <c r="M202" s="192" t="s">
        <v>360</v>
      </c>
      <c r="N202" s="193">
        <v>1</v>
      </c>
      <c r="O202" s="193">
        <v>313636</v>
      </c>
      <c r="P202" s="194">
        <v>313636</v>
      </c>
      <c r="Q202" s="194">
        <v>31363.599999999999</v>
      </c>
      <c r="R202" s="194">
        <v>344999.6</v>
      </c>
      <c r="S202" s="192"/>
      <c r="T202" s="192" t="s">
        <v>310</v>
      </c>
      <c r="U202" s="190">
        <v>60275</v>
      </c>
      <c r="V202" s="190"/>
      <c r="W202" s="195" t="s">
        <v>356</v>
      </c>
      <c r="X202" s="196" t="str">
        <f>+IFERROR(VLOOKUP($F202,'[2]Chuyển đổi mã'!$A$1:$C$91,3,0),$F202)&amp;AC202</f>
        <v>Big C Central320445</v>
      </c>
      <c r="Y202" s="196" t="str">
        <f>IFERROR(VLOOKUP($F202,'[2]Chuyển đổi mã'!$A$1:$C$184,3,0),F202)</f>
        <v>Big C Central</v>
      </c>
      <c r="Z202" s="196" t="str">
        <f>VLOOKUP($G202,'[2]Thông tin NPP'!$B:$D,3,0)</f>
        <v>BIG C Central</v>
      </c>
      <c r="AA202" s="196" t="str">
        <f t="shared" si="40"/>
        <v>Na 58g</v>
      </c>
      <c r="AB202" s="196" t="str">
        <f>IFERROR(VLOOKUP(DAY(B202),'[2]Chuyển đổi mã'!$F$1:$G$32,2,0),0)</f>
        <v>W1</v>
      </c>
      <c r="AC202" s="196" t="str">
        <f t="shared" si="41"/>
        <v>320445</v>
      </c>
      <c r="AD202" s="196" t="str">
        <f t="shared" si="42"/>
        <v>NPP</v>
      </c>
      <c r="AE202" s="196" t="str">
        <f t="shared" si="43"/>
        <v>NPP320445</v>
      </c>
      <c r="AF202" s="196">
        <f t="shared" si="44"/>
        <v>0</v>
      </c>
    </row>
    <row r="203" spans="1:32" ht="12.95" hidden="1" customHeight="1">
      <c r="A203" s="190">
        <v>62491</v>
      </c>
      <c r="B203" s="191">
        <v>43558</v>
      </c>
      <c r="C203" s="190" t="s">
        <v>457</v>
      </c>
      <c r="D203" s="190" t="s">
        <v>440</v>
      </c>
      <c r="E203" s="190" t="s">
        <v>346</v>
      </c>
      <c r="F203" s="190" t="s">
        <v>441</v>
      </c>
      <c r="G203" s="192" t="s">
        <v>442</v>
      </c>
      <c r="H203" s="192" t="s">
        <v>296</v>
      </c>
      <c r="I203" s="192" t="s">
        <v>443</v>
      </c>
      <c r="J203" s="192" t="s">
        <v>350</v>
      </c>
      <c r="K203" s="190" t="s">
        <v>351</v>
      </c>
      <c r="L203" s="190" t="s">
        <v>363</v>
      </c>
      <c r="M203" s="192" t="s">
        <v>364</v>
      </c>
      <c r="N203" s="193">
        <v>5</v>
      </c>
      <c r="O203" s="193">
        <v>334545</v>
      </c>
      <c r="P203" s="194">
        <v>1672725</v>
      </c>
      <c r="Q203" s="194">
        <v>167272.5</v>
      </c>
      <c r="R203" s="194">
        <v>1839997.5</v>
      </c>
      <c r="S203" s="192"/>
      <c r="T203" s="192" t="s">
        <v>310</v>
      </c>
      <c r="U203" s="190">
        <v>60275</v>
      </c>
      <c r="V203" s="190"/>
      <c r="W203" s="195" t="s">
        <v>356</v>
      </c>
      <c r="X203" s="196" t="str">
        <f>+IFERROR(VLOOKUP($F203,'[2]Chuyển đổi mã'!$A$1:$C$91,3,0),$F203)&amp;AC203</f>
        <v>Big C Central323708</v>
      </c>
      <c r="Y203" s="196" t="str">
        <f>IFERROR(VLOOKUP($F203,'[2]Chuyển đổi mã'!$A$1:$C$184,3,0),F203)</f>
        <v>Big C Central</v>
      </c>
      <c r="Z203" s="196" t="str">
        <f>VLOOKUP($G203,'[2]Thông tin NPP'!$B:$D,3,0)</f>
        <v>BIG C Central</v>
      </c>
      <c r="AA203" s="196" t="str">
        <f t="shared" si="40"/>
        <v>Nextar Bro</v>
      </c>
      <c r="AB203" s="196" t="str">
        <f>IFERROR(VLOOKUP(DAY(B203),'[2]Chuyển đổi mã'!$F$1:$G$32,2,0),0)</f>
        <v>W1</v>
      </c>
      <c r="AC203" s="196" t="str">
        <f t="shared" si="41"/>
        <v>323708</v>
      </c>
      <c r="AD203" s="196" t="str">
        <f t="shared" si="42"/>
        <v>NPP</v>
      </c>
      <c r="AE203" s="196" t="str">
        <f t="shared" si="43"/>
        <v>NPP323708</v>
      </c>
      <c r="AF203" s="196">
        <f t="shared" si="44"/>
        <v>0</v>
      </c>
    </row>
    <row r="204" spans="1:32" ht="12.95" hidden="1" customHeight="1">
      <c r="A204" s="190">
        <v>62491</v>
      </c>
      <c r="B204" s="191">
        <v>43558</v>
      </c>
      <c r="C204" s="190" t="s">
        <v>457</v>
      </c>
      <c r="D204" s="190" t="s">
        <v>440</v>
      </c>
      <c r="E204" s="190" t="s">
        <v>346</v>
      </c>
      <c r="F204" s="190" t="s">
        <v>441</v>
      </c>
      <c r="G204" s="192" t="s">
        <v>442</v>
      </c>
      <c r="H204" s="192" t="s">
        <v>296</v>
      </c>
      <c r="I204" s="192" t="s">
        <v>443</v>
      </c>
      <c r="J204" s="192" t="s">
        <v>350</v>
      </c>
      <c r="K204" s="190" t="s">
        <v>351</v>
      </c>
      <c r="L204" s="190" t="s">
        <v>365</v>
      </c>
      <c r="M204" s="192" t="s">
        <v>366</v>
      </c>
      <c r="N204" s="193">
        <v>5</v>
      </c>
      <c r="O204" s="193">
        <v>313636</v>
      </c>
      <c r="P204" s="194">
        <v>1568180</v>
      </c>
      <c r="Q204" s="194">
        <v>156818</v>
      </c>
      <c r="R204" s="194">
        <v>1724998</v>
      </c>
      <c r="S204" s="192"/>
      <c r="T204" s="192" t="s">
        <v>310</v>
      </c>
      <c r="U204" s="190">
        <v>60275</v>
      </c>
      <c r="V204" s="190"/>
      <c r="W204" s="195" t="s">
        <v>356</v>
      </c>
      <c r="X204" s="196" t="str">
        <f>+IFERROR(VLOOKUP($F204,'[2]Chuyển đổi mã'!$A$1:$C$91,3,0),$F204)&amp;AC204</f>
        <v>Big C Central323709</v>
      </c>
      <c r="Y204" s="196" t="str">
        <f>IFERROR(VLOOKUP($F204,'[2]Chuyển đổi mã'!$A$1:$C$184,3,0),F204)</f>
        <v>Big C Central</v>
      </c>
      <c r="Z204" s="196" t="str">
        <f>VLOOKUP($G204,'[2]Thông tin NPP'!$B:$D,3,0)</f>
        <v>BIG C Central</v>
      </c>
      <c r="AA204" s="196" t="str">
        <f t="shared" si="40"/>
        <v>Nextar Bro</v>
      </c>
      <c r="AB204" s="196" t="str">
        <f>IFERROR(VLOOKUP(DAY(B204),'[2]Chuyển đổi mã'!$F$1:$G$32,2,0),0)</f>
        <v>W1</v>
      </c>
      <c r="AC204" s="196" t="str">
        <f t="shared" si="41"/>
        <v>323709</v>
      </c>
      <c r="AD204" s="196" t="str">
        <f t="shared" si="42"/>
        <v>NPP</v>
      </c>
      <c r="AE204" s="196" t="str">
        <f t="shared" si="43"/>
        <v>NPP323709</v>
      </c>
      <c r="AF204" s="196">
        <f t="shared" si="44"/>
        <v>0</v>
      </c>
    </row>
    <row r="205" spans="1:32" ht="12.95" customHeight="1">
      <c r="A205" s="190">
        <v>62492</v>
      </c>
      <c r="B205" s="191">
        <v>43558</v>
      </c>
      <c r="C205" s="190" t="s">
        <v>457</v>
      </c>
      <c r="D205" s="190" t="s">
        <v>498</v>
      </c>
      <c r="E205" s="190" t="s">
        <v>346</v>
      </c>
      <c r="F205" s="190" t="s">
        <v>499</v>
      </c>
      <c r="G205" s="192" t="s">
        <v>500</v>
      </c>
      <c r="H205" s="192" t="s">
        <v>296</v>
      </c>
      <c r="I205" s="192" t="s">
        <v>349</v>
      </c>
      <c r="J205" s="192" t="s">
        <v>350</v>
      </c>
      <c r="K205" s="190" t="s">
        <v>351</v>
      </c>
      <c r="L205" s="190" t="s">
        <v>352</v>
      </c>
      <c r="M205" s="192" t="s">
        <v>353</v>
      </c>
      <c r="N205" s="193">
        <v>10</v>
      </c>
      <c r="O205" s="193">
        <v>119700.35</v>
      </c>
      <c r="P205" s="194">
        <v>1197003.5</v>
      </c>
      <c r="Q205" s="194">
        <v>119700.35</v>
      </c>
      <c r="R205" s="194">
        <v>1316703.8500000001</v>
      </c>
      <c r="S205" s="192" t="s">
        <v>354</v>
      </c>
      <c r="T205" s="192" t="s">
        <v>355</v>
      </c>
      <c r="U205" s="190">
        <v>60273</v>
      </c>
      <c r="V205" s="190"/>
      <c r="W205" s="195" t="s">
        <v>356</v>
      </c>
      <c r="X205" s="196" t="str">
        <f>+IFERROR(VLOOKUP($F205,'[2]Chuyển đổi mã'!$A$1:$C$91,3,0),$F205)&amp;AC205</f>
        <v>Big C South320463</v>
      </c>
      <c r="Y205" s="196" t="str">
        <f>IFERROR(VLOOKUP($F205,'[2]Chuyển đổi mã'!$A$1:$C$184,3,0),F205)</f>
        <v>Big C South</v>
      </c>
      <c r="Z205" s="196" t="str">
        <f>VLOOKUP($G205,'[2]Thông tin NPP'!$B:$D,3,0)</f>
        <v>Big C South</v>
      </c>
      <c r="AA205" s="196" t="str">
        <f t="shared" si="40"/>
        <v>Na 8,5g</v>
      </c>
      <c r="AB205" s="196" t="str">
        <f>IFERROR(VLOOKUP(DAY(B205),'[2]Chuyển đổi mã'!$F$1:$G$32,2,0),0)</f>
        <v>W1</v>
      </c>
      <c r="AC205" s="196" t="str">
        <f t="shared" si="41"/>
        <v>320463</v>
      </c>
      <c r="AD205" s="196" t="str">
        <f t="shared" si="42"/>
        <v>NPP</v>
      </c>
      <c r="AE205" s="196" t="str">
        <f t="shared" si="43"/>
        <v>NPP320463</v>
      </c>
      <c r="AF205" s="196">
        <f t="shared" si="44"/>
        <v>0</v>
      </c>
    </row>
    <row r="206" spans="1:32" ht="12.95" customHeight="1">
      <c r="A206" s="190">
        <v>62492</v>
      </c>
      <c r="B206" s="191">
        <v>43558</v>
      </c>
      <c r="C206" s="190" t="s">
        <v>457</v>
      </c>
      <c r="D206" s="190" t="s">
        <v>498</v>
      </c>
      <c r="E206" s="190" t="s">
        <v>346</v>
      </c>
      <c r="F206" s="190" t="s">
        <v>499</v>
      </c>
      <c r="G206" s="192" t="s">
        <v>500</v>
      </c>
      <c r="H206" s="192" t="s">
        <v>296</v>
      </c>
      <c r="I206" s="192" t="s">
        <v>349</v>
      </c>
      <c r="J206" s="192" t="s">
        <v>350</v>
      </c>
      <c r="K206" s="190" t="s">
        <v>351</v>
      </c>
      <c r="L206" s="190" t="s">
        <v>357</v>
      </c>
      <c r="M206" s="192" t="s">
        <v>358</v>
      </c>
      <c r="N206" s="193">
        <v>5</v>
      </c>
      <c r="O206" s="193">
        <v>213273</v>
      </c>
      <c r="P206" s="194">
        <v>1066365</v>
      </c>
      <c r="Q206" s="194">
        <v>106636.5</v>
      </c>
      <c r="R206" s="194">
        <v>1173001.5</v>
      </c>
      <c r="S206" s="192"/>
      <c r="T206" s="192" t="s">
        <v>310</v>
      </c>
      <c r="U206" s="190">
        <v>60273</v>
      </c>
      <c r="V206" s="190"/>
      <c r="W206" s="195" t="s">
        <v>356</v>
      </c>
      <c r="X206" s="196" t="str">
        <f>+IFERROR(VLOOKUP($F206,'[2]Chuyển đổi mã'!$A$1:$C$91,3,0),$F206)&amp;AC206</f>
        <v>Big C South323555</v>
      </c>
      <c r="Y206" s="196" t="str">
        <f>IFERROR(VLOOKUP($F206,'[2]Chuyển đổi mã'!$A$1:$C$184,3,0),F206)</f>
        <v>Big C South</v>
      </c>
      <c r="Z206" s="196" t="str">
        <f>VLOOKUP($G206,'[2]Thông tin NPP'!$B:$D,3,0)</f>
        <v>Big C South</v>
      </c>
      <c r="AA206" s="196" t="str">
        <f t="shared" si="40"/>
        <v>Na 17g - M</v>
      </c>
      <c r="AB206" s="196" t="str">
        <f>IFERROR(VLOOKUP(DAY(B206),'[2]Chuyển đổi mã'!$F$1:$G$32,2,0),0)</f>
        <v>W1</v>
      </c>
      <c r="AC206" s="196" t="str">
        <f t="shared" si="41"/>
        <v>323555</v>
      </c>
      <c r="AD206" s="196" t="str">
        <f t="shared" si="42"/>
        <v>NPP</v>
      </c>
      <c r="AE206" s="196" t="str">
        <f t="shared" si="43"/>
        <v>NPP323555</v>
      </c>
      <c r="AF206" s="196">
        <f t="shared" si="44"/>
        <v>0</v>
      </c>
    </row>
    <row r="207" spans="1:32" ht="12.95" customHeight="1">
      <c r="A207" s="190">
        <v>62492</v>
      </c>
      <c r="B207" s="191">
        <v>43558</v>
      </c>
      <c r="C207" s="190" t="s">
        <v>457</v>
      </c>
      <c r="D207" s="190" t="s">
        <v>498</v>
      </c>
      <c r="E207" s="190" t="s">
        <v>346</v>
      </c>
      <c r="F207" s="190" t="s">
        <v>499</v>
      </c>
      <c r="G207" s="192" t="s">
        <v>500</v>
      </c>
      <c r="H207" s="192" t="s">
        <v>296</v>
      </c>
      <c r="I207" s="192" t="s">
        <v>349</v>
      </c>
      <c r="J207" s="192" t="s">
        <v>350</v>
      </c>
      <c r="K207" s="190" t="s">
        <v>351</v>
      </c>
      <c r="L207" s="190" t="s">
        <v>363</v>
      </c>
      <c r="M207" s="192" t="s">
        <v>364</v>
      </c>
      <c r="N207" s="193">
        <v>3</v>
      </c>
      <c r="O207" s="193">
        <v>334545</v>
      </c>
      <c r="P207" s="194">
        <v>1003635</v>
      </c>
      <c r="Q207" s="194">
        <v>100363.5</v>
      </c>
      <c r="R207" s="194">
        <v>1103998.5</v>
      </c>
      <c r="S207" s="192"/>
      <c r="T207" s="192" t="s">
        <v>310</v>
      </c>
      <c r="U207" s="190">
        <v>60273</v>
      </c>
      <c r="V207" s="190"/>
      <c r="W207" s="195" t="s">
        <v>356</v>
      </c>
      <c r="X207" s="196" t="str">
        <f>+IFERROR(VLOOKUP($F207,'[2]Chuyển đổi mã'!$A$1:$C$91,3,0),$F207)&amp;AC207</f>
        <v>Big C South323708</v>
      </c>
      <c r="Y207" s="196" t="str">
        <f>IFERROR(VLOOKUP($F207,'[2]Chuyển đổi mã'!$A$1:$C$184,3,0),F207)</f>
        <v>Big C South</v>
      </c>
      <c r="Z207" s="196" t="str">
        <f>VLOOKUP($G207,'[2]Thông tin NPP'!$B:$D,3,0)</f>
        <v>Big C South</v>
      </c>
      <c r="AA207" s="196" t="str">
        <f t="shared" si="40"/>
        <v>Nextar Bro</v>
      </c>
      <c r="AB207" s="196" t="str">
        <f>IFERROR(VLOOKUP(DAY(B207),'[2]Chuyển đổi mã'!$F$1:$G$32,2,0),0)</f>
        <v>W1</v>
      </c>
      <c r="AC207" s="196" t="str">
        <f t="shared" si="41"/>
        <v>323708</v>
      </c>
      <c r="AD207" s="196" t="str">
        <f t="shared" si="42"/>
        <v>NPP</v>
      </c>
      <c r="AE207" s="196" t="str">
        <f t="shared" si="43"/>
        <v>NPP323708</v>
      </c>
      <c r="AF207" s="196">
        <f t="shared" si="44"/>
        <v>0</v>
      </c>
    </row>
    <row r="208" spans="1:32" ht="12.95" customHeight="1">
      <c r="A208" s="190">
        <v>62492</v>
      </c>
      <c r="B208" s="191">
        <v>43558</v>
      </c>
      <c r="C208" s="190" t="s">
        <v>457</v>
      </c>
      <c r="D208" s="190" t="s">
        <v>498</v>
      </c>
      <c r="E208" s="190" t="s">
        <v>346</v>
      </c>
      <c r="F208" s="190" t="s">
        <v>499</v>
      </c>
      <c r="G208" s="192" t="s">
        <v>500</v>
      </c>
      <c r="H208" s="192" t="s">
        <v>296</v>
      </c>
      <c r="I208" s="192" t="s">
        <v>349</v>
      </c>
      <c r="J208" s="192" t="s">
        <v>350</v>
      </c>
      <c r="K208" s="190" t="s">
        <v>351</v>
      </c>
      <c r="L208" s="190" t="s">
        <v>365</v>
      </c>
      <c r="M208" s="192" t="s">
        <v>366</v>
      </c>
      <c r="N208" s="193">
        <v>2</v>
      </c>
      <c r="O208" s="193">
        <v>313636</v>
      </c>
      <c r="P208" s="194">
        <v>627272</v>
      </c>
      <c r="Q208" s="194">
        <v>62727.199999999997</v>
      </c>
      <c r="R208" s="194">
        <v>689999.2</v>
      </c>
      <c r="S208" s="192"/>
      <c r="T208" s="192" t="s">
        <v>310</v>
      </c>
      <c r="U208" s="190">
        <v>60273</v>
      </c>
      <c r="V208" s="190"/>
      <c r="W208" s="195" t="s">
        <v>356</v>
      </c>
      <c r="X208" s="196" t="str">
        <f>+IFERROR(VLOOKUP($F208,'[2]Chuyển đổi mã'!$A$1:$C$91,3,0),$F208)&amp;AC208</f>
        <v>Big C South323709</v>
      </c>
      <c r="Y208" s="196" t="str">
        <f>IFERROR(VLOOKUP($F208,'[2]Chuyển đổi mã'!$A$1:$C$184,3,0),F208)</f>
        <v>Big C South</v>
      </c>
      <c r="Z208" s="196" t="str">
        <f>VLOOKUP($G208,'[2]Thông tin NPP'!$B:$D,3,0)</f>
        <v>Big C South</v>
      </c>
      <c r="AA208" s="196" t="str">
        <f t="shared" si="40"/>
        <v>Nextar Bro</v>
      </c>
      <c r="AB208" s="196" t="str">
        <f>IFERROR(VLOOKUP(DAY(B208),'[2]Chuyển đổi mã'!$F$1:$G$32,2,0),0)</f>
        <v>W1</v>
      </c>
      <c r="AC208" s="196" t="str">
        <f t="shared" si="41"/>
        <v>323709</v>
      </c>
      <c r="AD208" s="196" t="str">
        <f t="shared" si="42"/>
        <v>NPP</v>
      </c>
      <c r="AE208" s="196" t="str">
        <f t="shared" si="43"/>
        <v>NPP323709</v>
      </c>
      <c r="AF208" s="196">
        <f t="shared" si="44"/>
        <v>0</v>
      </c>
    </row>
    <row r="209" spans="1:32" ht="12.95" customHeight="1">
      <c r="A209" s="190">
        <v>62493</v>
      </c>
      <c r="B209" s="191">
        <v>43558</v>
      </c>
      <c r="C209" s="190" t="s">
        <v>457</v>
      </c>
      <c r="D209" s="190" t="s">
        <v>501</v>
      </c>
      <c r="E209" s="190" t="s">
        <v>346</v>
      </c>
      <c r="F209" s="190" t="s">
        <v>499</v>
      </c>
      <c r="G209" s="192" t="s">
        <v>500</v>
      </c>
      <c r="H209" s="192" t="s">
        <v>296</v>
      </c>
      <c r="I209" s="192" t="s">
        <v>349</v>
      </c>
      <c r="J209" s="192" t="s">
        <v>350</v>
      </c>
      <c r="K209" s="190" t="s">
        <v>351</v>
      </c>
      <c r="L209" s="190" t="s">
        <v>352</v>
      </c>
      <c r="M209" s="192" t="s">
        <v>353</v>
      </c>
      <c r="N209" s="193">
        <v>20</v>
      </c>
      <c r="O209" s="193">
        <v>119700.35</v>
      </c>
      <c r="P209" s="194">
        <v>2394007</v>
      </c>
      <c r="Q209" s="194">
        <v>239400.7</v>
      </c>
      <c r="R209" s="194">
        <v>2633407.7000000002</v>
      </c>
      <c r="S209" s="192" t="s">
        <v>354</v>
      </c>
      <c r="T209" s="192" t="s">
        <v>355</v>
      </c>
      <c r="U209" s="190">
        <v>60265</v>
      </c>
      <c r="V209" s="190"/>
      <c r="W209" s="195" t="s">
        <v>356</v>
      </c>
      <c r="X209" s="196" t="str">
        <f>+IFERROR(VLOOKUP($F209,'[2]Chuyển đổi mã'!$A$1:$C$91,3,0),$F209)&amp;AC209</f>
        <v>Big C South320463</v>
      </c>
      <c r="Y209" s="196" t="str">
        <f>IFERROR(VLOOKUP($F209,'[2]Chuyển đổi mã'!$A$1:$C$184,3,0),F209)</f>
        <v>Big C South</v>
      </c>
      <c r="Z209" s="196" t="str">
        <f>VLOOKUP($G209,'[2]Thông tin NPP'!$B:$D,3,0)</f>
        <v>Big C South</v>
      </c>
      <c r="AA209" s="196" t="str">
        <f t="shared" si="40"/>
        <v>Na 8,5g</v>
      </c>
      <c r="AB209" s="196" t="str">
        <f>IFERROR(VLOOKUP(DAY(B209),'[2]Chuyển đổi mã'!$F$1:$G$32,2,0),0)</f>
        <v>W1</v>
      </c>
      <c r="AC209" s="196" t="str">
        <f t="shared" si="41"/>
        <v>320463</v>
      </c>
      <c r="AD209" s="196" t="str">
        <f t="shared" si="42"/>
        <v>NPP</v>
      </c>
      <c r="AE209" s="196" t="str">
        <f t="shared" si="43"/>
        <v>NPP320463</v>
      </c>
      <c r="AF209" s="196">
        <f t="shared" si="44"/>
        <v>0</v>
      </c>
    </row>
    <row r="210" spans="1:32" ht="12.95" customHeight="1">
      <c r="A210" s="190">
        <v>62493</v>
      </c>
      <c r="B210" s="191">
        <v>43558</v>
      </c>
      <c r="C210" s="190" t="s">
        <v>457</v>
      </c>
      <c r="D210" s="190" t="s">
        <v>501</v>
      </c>
      <c r="E210" s="190" t="s">
        <v>346</v>
      </c>
      <c r="F210" s="190" t="s">
        <v>499</v>
      </c>
      <c r="G210" s="192" t="s">
        <v>500</v>
      </c>
      <c r="H210" s="192" t="s">
        <v>296</v>
      </c>
      <c r="I210" s="192" t="s">
        <v>349</v>
      </c>
      <c r="J210" s="192" t="s">
        <v>350</v>
      </c>
      <c r="K210" s="190" t="s">
        <v>351</v>
      </c>
      <c r="L210" s="190" t="s">
        <v>387</v>
      </c>
      <c r="M210" s="192" t="s">
        <v>388</v>
      </c>
      <c r="N210" s="193">
        <v>2</v>
      </c>
      <c r="O210" s="193">
        <v>355455</v>
      </c>
      <c r="P210" s="194">
        <v>710910</v>
      </c>
      <c r="Q210" s="194">
        <v>71091</v>
      </c>
      <c r="R210" s="194">
        <v>782001</v>
      </c>
      <c r="S210" s="192"/>
      <c r="T210" s="192" t="s">
        <v>310</v>
      </c>
      <c r="U210" s="190">
        <v>60265</v>
      </c>
      <c r="V210" s="190"/>
      <c r="W210" s="195" t="s">
        <v>356</v>
      </c>
      <c r="X210" s="196" t="str">
        <f>+IFERROR(VLOOKUP($F210,'[2]Chuyển đổi mã'!$A$1:$C$91,3,0),$F210)&amp;AC210</f>
        <v>Big C South323620</v>
      </c>
      <c r="Y210" s="196" t="str">
        <f>IFERROR(VLOOKUP($F210,'[2]Chuyển đổi mã'!$A$1:$C$184,3,0),F210)</f>
        <v>Big C South</v>
      </c>
      <c r="Z210" s="196" t="str">
        <f>VLOOKUP($G210,'[2]Thông tin NPP'!$B:$D,3,0)</f>
        <v>Big C South</v>
      </c>
      <c r="AA210" s="196" t="str">
        <f t="shared" si="40"/>
        <v>Ahh 16g</v>
      </c>
      <c r="AB210" s="196" t="str">
        <f>IFERROR(VLOOKUP(DAY(B210),'[2]Chuyển đổi mã'!$F$1:$G$32,2,0),0)</f>
        <v>W1</v>
      </c>
      <c r="AC210" s="196" t="str">
        <f t="shared" si="41"/>
        <v>323620</v>
      </c>
      <c r="AD210" s="196" t="str">
        <f t="shared" si="42"/>
        <v>NPP</v>
      </c>
      <c r="AE210" s="196" t="str">
        <f t="shared" si="43"/>
        <v>NPP323620</v>
      </c>
      <c r="AF210" s="196">
        <f t="shared" si="44"/>
        <v>0</v>
      </c>
    </row>
    <row r="211" spans="1:32" ht="12.95" customHeight="1">
      <c r="A211" s="190">
        <v>62493</v>
      </c>
      <c r="B211" s="191">
        <v>43558</v>
      </c>
      <c r="C211" s="190" t="s">
        <v>457</v>
      </c>
      <c r="D211" s="190" t="s">
        <v>501</v>
      </c>
      <c r="E211" s="190" t="s">
        <v>346</v>
      </c>
      <c r="F211" s="190" t="s">
        <v>499</v>
      </c>
      <c r="G211" s="192" t="s">
        <v>500</v>
      </c>
      <c r="H211" s="192" t="s">
        <v>296</v>
      </c>
      <c r="I211" s="192" t="s">
        <v>349</v>
      </c>
      <c r="J211" s="192" t="s">
        <v>350</v>
      </c>
      <c r="K211" s="190" t="s">
        <v>351</v>
      </c>
      <c r="L211" s="190" t="s">
        <v>357</v>
      </c>
      <c r="M211" s="192" t="s">
        <v>358</v>
      </c>
      <c r="N211" s="193">
        <v>5</v>
      </c>
      <c r="O211" s="193">
        <v>213273</v>
      </c>
      <c r="P211" s="194">
        <v>1066365</v>
      </c>
      <c r="Q211" s="194">
        <v>106636.5</v>
      </c>
      <c r="R211" s="194">
        <v>1173001.5</v>
      </c>
      <c r="S211" s="192"/>
      <c r="T211" s="192" t="s">
        <v>310</v>
      </c>
      <c r="U211" s="190">
        <v>60265</v>
      </c>
      <c r="V211" s="190"/>
      <c r="W211" s="195" t="s">
        <v>356</v>
      </c>
      <c r="X211" s="196" t="str">
        <f>+IFERROR(VLOOKUP($F211,'[2]Chuyển đổi mã'!$A$1:$C$91,3,0),$F211)&amp;AC211</f>
        <v>Big C South323555</v>
      </c>
      <c r="Y211" s="196" t="str">
        <f>IFERROR(VLOOKUP($F211,'[2]Chuyển đổi mã'!$A$1:$C$184,3,0),F211)</f>
        <v>Big C South</v>
      </c>
      <c r="Z211" s="196" t="str">
        <f>VLOOKUP($G211,'[2]Thông tin NPP'!$B:$D,3,0)</f>
        <v>Big C South</v>
      </c>
      <c r="AA211" s="196" t="str">
        <f t="shared" si="40"/>
        <v>Na 17g - M</v>
      </c>
      <c r="AB211" s="196" t="str">
        <f>IFERROR(VLOOKUP(DAY(B211),'[2]Chuyển đổi mã'!$F$1:$G$32,2,0),0)</f>
        <v>W1</v>
      </c>
      <c r="AC211" s="196" t="str">
        <f t="shared" si="41"/>
        <v>323555</v>
      </c>
      <c r="AD211" s="196" t="str">
        <f t="shared" si="42"/>
        <v>NPP</v>
      </c>
      <c r="AE211" s="196" t="str">
        <f t="shared" si="43"/>
        <v>NPP323555</v>
      </c>
      <c r="AF211" s="196">
        <f t="shared" si="44"/>
        <v>0</v>
      </c>
    </row>
    <row r="212" spans="1:32" ht="12.95" customHeight="1">
      <c r="A212" s="190">
        <v>62493</v>
      </c>
      <c r="B212" s="191">
        <v>43558</v>
      </c>
      <c r="C212" s="190" t="s">
        <v>457</v>
      </c>
      <c r="D212" s="190" t="s">
        <v>501</v>
      </c>
      <c r="E212" s="190" t="s">
        <v>346</v>
      </c>
      <c r="F212" s="190" t="s">
        <v>499</v>
      </c>
      <c r="G212" s="192" t="s">
        <v>500</v>
      </c>
      <c r="H212" s="192" t="s">
        <v>296</v>
      </c>
      <c r="I212" s="192" t="s">
        <v>349</v>
      </c>
      <c r="J212" s="192" t="s">
        <v>350</v>
      </c>
      <c r="K212" s="190" t="s">
        <v>351</v>
      </c>
      <c r="L212" s="190" t="s">
        <v>359</v>
      </c>
      <c r="M212" s="192" t="s">
        <v>360</v>
      </c>
      <c r="N212" s="193">
        <v>3</v>
      </c>
      <c r="O212" s="193">
        <v>313636</v>
      </c>
      <c r="P212" s="194">
        <v>940908</v>
      </c>
      <c r="Q212" s="194">
        <v>94090.8</v>
      </c>
      <c r="R212" s="194">
        <v>1034998.8</v>
      </c>
      <c r="S212" s="192"/>
      <c r="T212" s="192" t="s">
        <v>310</v>
      </c>
      <c r="U212" s="190">
        <v>60265</v>
      </c>
      <c r="V212" s="190"/>
      <c r="W212" s="195" t="s">
        <v>356</v>
      </c>
      <c r="X212" s="196" t="str">
        <f>+IFERROR(VLOOKUP($F212,'[2]Chuyển đổi mã'!$A$1:$C$91,3,0),$F212)&amp;AC212</f>
        <v>Big C South320445</v>
      </c>
      <c r="Y212" s="196" t="str">
        <f>IFERROR(VLOOKUP($F212,'[2]Chuyển đổi mã'!$A$1:$C$184,3,0),F212)</f>
        <v>Big C South</v>
      </c>
      <c r="Z212" s="196" t="str">
        <f>VLOOKUP($G212,'[2]Thông tin NPP'!$B:$D,3,0)</f>
        <v>Big C South</v>
      </c>
      <c r="AA212" s="196" t="str">
        <f t="shared" si="40"/>
        <v>Na 58g</v>
      </c>
      <c r="AB212" s="196" t="str">
        <f>IFERROR(VLOOKUP(DAY(B212),'[2]Chuyển đổi mã'!$F$1:$G$32,2,0),0)</f>
        <v>W1</v>
      </c>
      <c r="AC212" s="196" t="str">
        <f t="shared" si="41"/>
        <v>320445</v>
      </c>
      <c r="AD212" s="196" t="str">
        <f t="shared" si="42"/>
        <v>NPP</v>
      </c>
      <c r="AE212" s="196" t="str">
        <f t="shared" si="43"/>
        <v>NPP320445</v>
      </c>
      <c r="AF212" s="196">
        <f t="shared" si="44"/>
        <v>0</v>
      </c>
    </row>
    <row r="213" spans="1:32" ht="12.95" customHeight="1">
      <c r="A213" s="190">
        <v>62493</v>
      </c>
      <c r="B213" s="191">
        <v>43558</v>
      </c>
      <c r="C213" s="190" t="s">
        <v>457</v>
      </c>
      <c r="D213" s="190" t="s">
        <v>501</v>
      </c>
      <c r="E213" s="190" t="s">
        <v>346</v>
      </c>
      <c r="F213" s="190" t="s">
        <v>499</v>
      </c>
      <c r="G213" s="192" t="s">
        <v>500</v>
      </c>
      <c r="H213" s="192" t="s">
        <v>296</v>
      </c>
      <c r="I213" s="192" t="s">
        <v>349</v>
      </c>
      <c r="J213" s="192" t="s">
        <v>350</v>
      </c>
      <c r="K213" s="190" t="s">
        <v>351</v>
      </c>
      <c r="L213" s="190" t="s">
        <v>361</v>
      </c>
      <c r="M213" s="192" t="s">
        <v>362</v>
      </c>
      <c r="N213" s="193">
        <v>3</v>
      </c>
      <c r="O213" s="193">
        <v>313636</v>
      </c>
      <c r="P213" s="194">
        <v>940908</v>
      </c>
      <c r="Q213" s="194">
        <v>94090.8</v>
      </c>
      <c r="R213" s="194">
        <v>1034998.8</v>
      </c>
      <c r="S213" s="192"/>
      <c r="T213" s="192" t="s">
        <v>310</v>
      </c>
      <c r="U213" s="190">
        <v>60265</v>
      </c>
      <c r="V213" s="190"/>
      <c r="W213" s="195" t="s">
        <v>356</v>
      </c>
      <c r="X213" s="196" t="str">
        <f>+IFERROR(VLOOKUP($F213,'[2]Chuyển đổi mã'!$A$1:$C$91,3,0),$F213)&amp;AC213</f>
        <v>Big C South331017</v>
      </c>
      <c r="Y213" s="196" t="str">
        <f>IFERROR(VLOOKUP($F213,'[2]Chuyển đổi mã'!$A$1:$C$184,3,0),F213)</f>
        <v>Big C South</v>
      </c>
      <c r="Z213" s="196" t="str">
        <f>VLOOKUP($G213,'[2]Thông tin NPP'!$B:$D,3,0)</f>
        <v>Big C South</v>
      </c>
      <c r="AA213" s="196" t="str">
        <f t="shared" si="40"/>
        <v>Richoco Wf</v>
      </c>
      <c r="AB213" s="196" t="str">
        <f>IFERROR(VLOOKUP(DAY(B213),'[2]Chuyển đổi mã'!$F$1:$G$32,2,0),0)</f>
        <v>W1</v>
      </c>
      <c r="AC213" s="196" t="str">
        <f t="shared" si="41"/>
        <v>331017</v>
      </c>
      <c r="AD213" s="196" t="str">
        <f t="shared" si="42"/>
        <v>NPP</v>
      </c>
      <c r="AE213" s="196" t="str">
        <f t="shared" si="43"/>
        <v>NPP331017</v>
      </c>
      <c r="AF213" s="196">
        <f t="shared" si="44"/>
        <v>0</v>
      </c>
    </row>
    <row r="214" spans="1:32" ht="12.95" hidden="1" customHeight="1">
      <c r="A214" s="190">
        <v>62494</v>
      </c>
      <c r="B214" s="191">
        <v>43558</v>
      </c>
      <c r="C214" s="190" t="s">
        <v>457</v>
      </c>
      <c r="D214" s="190" t="s">
        <v>444</v>
      </c>
      <c r="E214" s="190" t="s">
        <v>346</v>
      </c>
      <c r="F214" s="190" t="s">
        <v>393</v>
      </c>
      <c r="G214" s="192" t="s">
        <v>394</v>
      </c>
      <c r="H214" s="192" t="s">
        <v>296</v>
      </c>
      <c r="I214" s="192" t="s">
        <v>395</v>
      </c>
      <c r="J214" s="192" t="s">
        <v>350</v>
      </c>
      <c r="K214" s="190" t="s">
        <v>351</v>
      </c>
      <c r="L214" s="190" t="s">
        <v>352</v>
      </c>
      <c r="M214" s="192" t="s">
        <v>353</v>
      </c>
      <c r="N214" s="193">
        <v>5</v>
      </c>
      <c r="O214" s="193">
        <v>119700.35</v>
      </c>
      <c r="P214" s="194">
        <v>598501.75</v>
      </c>
      <c r="Q214" s="194">
        <v>59850.175000000003</v>
      </c>
      <c r="R214" s="194">
        <v>658351.92500000005</v>
      </c>
      <c r="S214" s="192" t="s">
        <v>354</v>
      </c>
      <c r="T214" s="192" t="s">
        <v>355</v>
      </c>
      <c r="U214" s="190">
        <v>60272</v>
      </c>
      <c r="V214" s="190"/>
      <c r="W214" s="195" t="s">
        <v>356</v>
      </c>
      <c r="X214" s="196" t="str">
        <f>+IFERROR(VLOOKUP($F214,'[2]Chuyển đổi mã'!$A$1:$C$91,3,0),$F214)&amp;AC214</f>
        <v>Big C North320463</v>
      </c>
      <c r="Y214" s="196" t="str">
        <f>IFERROR(VLOOKUP($F214,'[2]Chuyển đổi mã'!$A$1:$C$184,3,0),F214)</f>
        <v>Big C North</v>
      </c>
      <c r="Z214" s="196" t="str">
        <f>VLOOKUP($G214,'[2]Thông tin NPP'!$B:$D,3,0)</f>
        <v>BIG C North</v>
      </c>
      <c r="AA214" s="196" t="str">
        <f t="shared" si="40"/>
        <v>Na 8,5g</v>
      </c>
      <c r="AB214" s="196" t="str">
        <f>IFERROR(VLOOKUP(DAY(B214),'[2]Chuyển đổi mã'!$F$1:$G$32,2,0),0)</f>
        <v>W1</v>
      </c>
      <c r="AC214" s="196" t="str">
        <f t="shared" si="41"/>
        <v>320463</v>
      </c>
      <c r="AD214" s="196" t="str">
        <f t="shared" si="42"/>
        <v>NPP</v>
      </c>
      <c r="AE214" s="196" t="str">
        <f t="shared" si="43"/>
        <v>NPP320463</v>
      </c>
      <c r="AF214" s="196">
        <f t="shared" si="44"/>
        <v>0</v>
      </c>
    </row>
    <row r="215" spans="1:32" ht="12.95" hidden="1" customHeight="1">
      <c r="A215" s="190">
        <v>62494</v>
      </c>
      <c r="B215" s="191">
        <v>43558</v>
      </c>
      <c r="C215" s="190" t="s">
        <v>457</v>
      </c>
      <c r="D215" s="190" t="s">
        <v>444</v>
      </c>
      <c r="E215" s="190" t="s">
        <v>346</v>
      </c>
      <c r="F215" s="190" t="s">
        <v>393</v>
      </c>
      <c r="G215" s="192" t="s">
        <v>394</v>
      </c>
      <c r="H215" s="192" t="s">
        <v>296</v>
      </c>
      <c r="I215" s="192" t="s">
        <v>395</v>
      </c>
      <c r="J215" s="192" t="s">
        <v>350</v>
      </c>
      <c r="K215" s="190" t="s">
        <v>351</v>
      </c>
      <c r="L215" s="190" t="s">
        <v>357</v>
      </c>
      <c r="M215" s="192" t="s">
        <v>358</v>
      </c>
      <c r="N215" s="193">
        <v>5</v>
      </c>
      <c r="O215" s="193">
        <v>213273</v>
      </c>
      <c r="P215" s="194">
        <v>1066365</v>
      </c>
      <c r="Q215" s="194">
        <v>106636.5</v>
      </c>
      <c r="R215" s="194">
        <v>1173001.5</v>
      </c>
      <c r="S215" s="192"/>
      <c r="T215" s="192" t="s">
        <v>310</v>
      </c>
      <c r="U215" s="190">
        <v>60272</v>
      </c>
      <c r="V215" s="190"/>
      <c r="W215" s="195" t="s">
        <v>356</v>
      </c>
      <c r="X215" s="196" t="str">
        <f>+IFERROR(VLOOKUP($F215,'[2]Chuyển đổi mã'!$A$1:$C$91,3,0),$F215)&amp;AC215</f>
        <v>Big C North323555</v>
      </c>
      <c r="Y215" s="196" t="str">
        <f>IFERROR(VLOOKUP($F215,'[2]Chuyển đổi mã'!$A$1:$C$184,3,0),F215)</f>
        <v>Big C North</v>
      </c>
      <c r="Z215" s="196" t="str">
        <f>VLOOKUP($G215,'[2]Thông tin NPP'!$B:$D,3,0)</f>
        <v>BIG C North</v>
      </c>
      <c r="AA215" s="196" t="str">
        <f t="shared" si="40"/>
        <v>Na 17g - M</v>
      </c>
      <c r="AB215" s="196" t="str">
        <f>IFERROR(VLOOKUP(DAY(B215),'[2]Chuyển đổi mã'!$F$1:$G$32,2,0),0)</f>
        <v>W1</v>
      </c>
      <c r="AC215" s="196" t="str">
        <f t="shared" si="41"/>
        <v>323555</v>
      </c>
      <c r="AD215" s="196" t="str">
        <f t="shared" si="42"/>
        <v>NPP</v>
      </c>
      <c r="AE215" s="196" t="str">
        <f t="shared" si="43"/>
        <v>NPP323555</v>
      </c>
      <c r="AF215" s="196">
        <f t="shared" si="44"/>
        <v>0</v>
      </c>
    </row>
    <row r="216" spans="1:32" ht="12.95" hidden="1" customHeight="1">
      <c r="A216" s="190">
        <v>62494</v>
      </c>
      <c r="B216" s="191">
        <v>43558</v>
      </c>
      <c r="C216" s="190" t="s">
        <v>457</v>
      </c>
      <c r="D216" s="190" t="s">
        <v>444</v>
      </c>
      <c r="E216" s="190" t="s">
        <v>346</v>
      </c>
      <c r="F216" s="190" t="s">
        <v>393</v>
      </c>
      <c r="G216" s="192" t="s">
        <v>394</v>
      </c>
      <c r="H216" s="192" t="s">
        <v>296</v>
      </c>
      <c r="I216" s="192" t="s">
        <v>395</v>
      </c>
      <c r="J216" s="192" t="s">
        <v>350</v>
      </c>
      <c r="K216" s="190" t="s">
        <v>351</v>
      </c>
      <c r="L216" s="190" t="s">
        <v>359</v>
      </c>
      <c r="M216" s="192" t="s">
        <v>360</v>
      </c>
      <c r="N216" s="193">
        <v>2</v>
      </c>
      <c r="O216" s="193">
        <v>313636</v>
      </c>
      <c r="P216" s="194">
        <v>627272</v>
      </c>
      <c r="Q216" s="194">
        <v>62727.199999999997</v>
      </c>
      <c r="R216" s="194">
        <v>689999.2</v>
      </c>
      <c r="S216" s="192"/>
      <c r="T216" s="192" t="s">
        <v>310</v>
      </c>
      <c r="U216" s="190">
        <v>60272</v>
      </c>
      <c r="V216" s="190"/>
      <c r="W216" s="195" t="s">
        <v>356</v>
      </c>
      <c r="X216" s="196" t="str">
        <f>+IFERROR(VLOOKUP($F216,'[2]Chuyển đổi mã'!$A$1:$C$91,3,0),$F216)&amp;AC216</f>
        <v>Big C North320445</v>
      </c>
      <c r="Y216" s="196" t="str">
        <f>IFERROR(VLOOKUP($F216,'[2]Chuyển đổi mã'!$A$1:$C$184,3,0),F216)</f>
        <v>Big C North</v>
      </c>
      <c r="Z216" s="196" t="str">
        <f>VLOOKUP($G216,'[2]Thông tin NPP'!$B:$D,3,0)</f>
        <v>BIG C North</v>
      </c>
      <c r="AA216" s="196" t="str">
        <f t="shared" si="40"/>
        <v>Na 58g</v>
      </c>
      <c r="AB216" s="196" t="str">
        <f>IFERROR(VLOOKUP(DAY(B216),'[2]Chuyển đổi mã'!$F$1:$G$32,2,0),0)</f>
        <v>W1</v>
      </c>
      <c r="AC216" s="196" t="str">
        <f t="shared" si="41"/>
        <v>320445</v>
      </c>
      <c r="AD216" s="196" t="str">
        <f t="shared" si="42"/>
        <v>NPP</v>
      </c>
      <c r="AE216" s="196" t="str">
        <f t="shared" si="43"/>
        <v>NPP320445</v>
      </c>
      <c r="AF216" s="196">
        <f t="shared" si="44"/>
        <v>0</v>
      </c>
    </row>
    <row r="217" spans="1:32" ht="12.95" hidden="1" customHeight="1">
      <c r="A217" s="190">
        <v>62494</v>
      </c>
      <c r="B217" s="191">
        <v>43558</v>
      </c>
      <c r="C217" s="190" t="s">
        <v>457</v>
      </c>
      <c r="D217" s="190" t="s">
        <v>444</v>
      </c>
      <c r="E217" s="190" t="s">
        <v>346</v>
      </c>
      <c r="F217" s="190" t="s">
        <v>393</v>
      </c>
      <c r="G217" s="192" t="s">
        <v>394</v>
      </c>
      <c r="H217" s="192" t="s">
        <v>296</v>
      </c>
      <c r="I217" s="192" t="s">
        <v>395</v>
      </c>
      <c r="J217" s="192" t="s">
        <v>350</v>
      </c>
      <c r="K217" s="190" t="s">
        <v>351</v>
      </c>
      <c r="L217" s="190" t="s">
        <v>361</v>
      </c>
      <c r="M217" s="192" t="s">
        <v>362</v>
      </c>
      <c r="N217" s="193">
        <v>1</v>
      </c>
      <c r="O217" s="193">
        <v>313636</v>
      </c>
      <c r="P217" s="194">
        <v>313636</v>
      </c>
      <c r="Q217" s="194">
        <v>31363.599999999999</v>
      </c>
      <c r="R217" s="194">
        <v>344999.6</v>
      </c>
      <c r="S217" s="192"/>
      <c r="T217" s="192" t="s">
        <v>310</v>
      </c>
      <c r="U217" s="190">
        <v>60272</v>
      </c>
      <c r="V217" s="190"/>
      <c r="W217" s="195" t="s">
        <v>356</v>
      </c>
      <c r="X217" s="196" t="str">
        <f>+IFERROR(VLOOKUP($F217,'[2]Chuyển đổi mã'!$A$1:$C$91,3,0),$F217)&amp;AC217</f>
        <v>Big C North331017</v>
      </c>
      <c r="Y217" s="196" t="str">
        <f>IFERROR(VLOOKUP($F217,'[2]Chuyển đổi mã'!$A$1:$C$184,3,0),F217)</f>
        <v>Big C North</v>
      </c>
      <c r="Z217" s="196" t="str">
        <f>VLOOKUP($G217,'[2]Thông tin NPP'!$B:$D,3,0)</f>
        <v>BIG C North</v>
      </c>
      <c r="AA217" s="196" t="str">
        <f t="shared" si="40"/>
        <v>Richoco Wf</v>
      </c>
      <c r="AB217" s="196" t="str">
        <f>IFERROR(VLOOKUP(DAY(B217),'[2]Chuyển đổi mã'!$F$1:$G$32,2,0),0)</f>
        <v>W1</v>
      </c>
      <c r="AC217" s="196" t="str">
        <f t="shared" si="41"/>
        <v>331017</v>
      </c>
      <c r="AD217" s="196" t="str">
        <f t="shared" si="42"/>
        <v>NPP</v>
      </c>
      <c r="AE217" s="196" t="str">
        <f t="shared" si="43"/>
        <v>NPP331017</v>
      </c>
      <c r="AF217" s="196">
        <f t="shared" si="44"/>
        <v>0</v>
      </c>
    </row>
    <row r="218" spans="1:32" ht="12.95" hidden="1" customHeight="1">
      <c r="A218" s="190">
        <v>62494</v>
      </c>
      <c r="B218" s="191">
        <v>43558</v>
      </c>
      <c r="C218" s="190" t="s">
        <v>457</v>
      </c>
      <c r="D218" s="190" t="s">
        <v>444</v>
      </c>
      <c r="E218" s="190" t="s">
        <v>346</v>
      </c>
      <c r="F218" s="190" t="s">
        <v>393</v>
      </c>
      <c r="G218" s="192" t="s">
        <v>394</v>
      </c>
      <c r="H218" s="192" t="s">
        <v>296</v>
      </c>
      <c r="I218" s="192" t="s">
        <v>395</v>
      </c>
      <c r="J218" s="192" t="s">
        <v>350</v>
      </c>
      <c r="K218" s="190" t="s">
        <v>351</v>
      </c>
      <c r="L218" s="190" t="s">
        <v>363</v>
      </c>
      <c r="M218" s="192" t="s">
        <v>364</v>
      </c>
      <c r="N218" s="193">
        <v>3</v>
      </c>
      <c r="O218" s="193">
        <v>334545</v>
      </c>
      <c r="P218" s="194">
        <v>1003635</v>
      </c>
      <c r="Q218" s="194">
        <v>100363.5</v>
      </c>
      <c r="R218" s="194">
        <v>1103998.5</v>
      </c>
      <c r="S218" s="192"/>
      <c r="T218" s="192" t="s">
        <v>310</v>
      </c>
      <c r="U218" s="190">
        <v>60272</v>
      </c>
      <c r="V218" s="190"/>
      <c r="W218" s="195" t="s">
        <v>356</v>
      </c>
      <c r="X218" s="196" t="str">
        <f>+IFERROR(VLOOKUP($F218,'[2]Chuyển đổi mã'!$A$1:$C$91,3,0),$F218)&amp;AC218</f>
        <v>Big C North323708</v>
      </c>
      <c r="Y218" s="196" t="str">
        <f>IFERROR(VLOOKUP($F218,'[2]Chuyển đổi mã'!$A$1:$C$184,3,0),F218)</f>
        <v>Big C North</v>
      </c>
      <c r="Z218" s="196" t="str">
        <f>VLOOKUP($G218,'[2]Thông tin NPP'!$B:$D,3,0)</f>
        <v>BIG C North</v>
      </c>
      <c r="AA218" s="196" t="str">
        <f t="shared" si="40"/>
        <v>Nextar Bro</v>
      </c>
      <c r="AB218" s="196" t="str">
        <f>IFERROR(VLOOKUP(DAY(B218),'[2]Chuyển đổi mã'!$F$1:$G$32,2,0),0)</f>
        <v>W1</v>
      </c>
      <c r="AC218" s="196" t="str">
        <f t="shared" si="41"/>
        <v>323708</v>
      </c>
      <c r="AD218" s="196" t="str">
        <f t="shared" si="42"/>
        <v>NPP</v>
      </c>
      <c r="AE218" s="196" t="str">
        <f t="shared" si="43"/>
        <v>NPP323708</v>
      </c>
      <c r="AF218" s="196">
        <f t="shared" si="44"/>
        <v>0</v>
      </c>
    </row>
    <row r="219" spans="1:32" ht="12.95" hidden="1" customHeight="1">
      <c r="A219" s="190">
        <v>62494</v>
      </c>
      <c r="B219" s="191">
        <v>43558</v>
      </c>
      <c r="C219" s="190" t="s">
        <v>457</v>
      </c>
      <c r="D219" s="190" t="s">
        <v>444</v>
      </c>
      <c r="E219" s="190" t="s">
        <v>346</v>
      </c>
      <c r="F219" s="190" t="s">
        <v>393</v>
      </c>
      <c r="G219" s="192" t="s">
        <v>394</v>
      </c>
      <c r="H219" s="192" t="s">
        <v>296</v>
      </c>
      <c r="I219" s="192" t="s">
        <v>395</v>
      </c>
      <c r="J219" s="192" t="s">
        <v>350</v>
      </c>
      <c r="K219" s="190" t="s">
        <v>351</v>
      </c>
      <c r="L219" s="190" t="s">
        <v>365</v>
      </c>
      <c r="M219" s="192" t="s">
        <v>366</v>
      </c>
      <c r="N219" s="193">
        <v>2</v>
      </c>
      <c r="O219" s="193">
        <v>313636</v>
      </c>
      <c r="P219" s="194">
        <v>627272</v>
      </c>
      <c r="Q219" s="194">
        <v>62727.199999999997</v>
      </c>
      <c r="R219" s="194">
        <v>689999.2</v>
      </c>
      <c r="S219" s="192"/>
      <c r="T219" s="192" t="s">
        <v>310</v>
      </c>
      <c r="U219" s="190">
        <v>60272</v>
      </c>
      <c r="V219" s="190"/>
      <c r="W219" s="195" t="s">
        <v>356</v>
      </c>
      <c r="X219" s="196" t="str">
        <f>+IFERROR(VLOOKUP($F219,'[2]Chuyển đổi mã'!$A$1:$C$91,3,0),$F219)&amp;AC219</f>
        <v>Big C North323709</v>
      </c>
      <c r="Y219" s="196" t="str">
        <f>IFERROR(VLOOKUP($F219,'[2]Chuyển đổi mã'!$A$1:$C$184,3,0),F219)</f>
        <v>Big C North</v>
      </c>
      <c r="Z219" s="196" t="str">
        <f>VLOOKUP($G219,'[2]Thông tin NPP'!$B:$D,3,0)</f>
        <v>BIG C North</v>
      </c>
      <c r="AA219" s="196" t="str">
        <f t="shared" si="40"/>
        <v>Nextar Bro</v>
      </c>
      <c r="AB219" s="196" t="str">
        <f>IFERROR(VLOOKUP(DAY(B219),'[2]Chuyển đổi mã'!$F$1:$G$32,2,0),0)</f>
        <v>W1</v>
      </c>
      <c r="AC219" s="196" t="str">
        <f t="shared" si="41"/>
        <v>323709</v>
      </c>
      <c r="AD219" s="196" t="str">
        <f t="shared" si="42"/>
        <v>NPP</v>
      </c>
      <c r="AE219" s="196" t="str">
        <f t="shared" si="43"/>
        <v>NPP323709</v>
      </c>
      <c r="AF219" s="196">
        <f t="shared" si="44"/>
        <v>0</v>
      </c>
    </row>
    <row r="220" spans="1:32" ht="12.95" hidden="1" customHeight="1">
      <c r="A220" s="190">
        <v>62495</v>
      </c>
      <c r="B220" s="191">
        <v>43558</v>
      </c>
      <c r="C220" s="190" t="s">
        <v>457</v>
      </c>
      <c r="D220" s="190" t="s">
        <v>502</v>
      </c>
      <c r="E220" s="190" t="s">
        <v>346</v>
      </c>
      <c r="F220" s="190" t="s">
        <v>503</v>
      </c>
      <c r="G220" s="192" t="s">
        <v>504</v>
      </c>
      <c r="H220" s="192" t="s">
        <v>296</v>
      </c>
      <c r="I220" s="192" t="s">
        <v>395</v>
      </c>
      <c r="J220" s="192" t="s">
        <v>350</v>
      </c>
      <c r="K220" s="190" t="s">
        <v>351</v>
      </c>
      <c r="L220" s="190" t="s">
        <v>352</v>
      </c>
      <c r="M220" s="192" t="s">
        <v>353</v>
      </c>
      <c r="N220" s="193">
        <v>2</v>
      </c>
      <c r="O220" s="193">
        <v>119700.35</v>
      </c>
      <c r="P220" s="194">
        <v>239400.7</v>
      </c>
      <c r="Q220" s="194">
        <v>23940.07</v>
      </c>
      <c r="R220" s="194">
        <v>263340.77</v>
      </c>
      <c r="S220" s="192" t="s">
        <v>354</v>
      </c>
      <c r="T220" s="192" t="s">
        <v>355</v>
      </c>
      <c r="U220" s="190">
        <v>60271</v>
      </c>
      <c r="V220" s="190"/>
      <c r="W220" s="195" t="s">
        <v>356</v>
      </c>
      <c r="X220" s="196" t="str">
        <f>+IFERROR(VLOOKUP($F220,'[2]Chuyển đổi mã'!$A$1:$C$91,3,0),$F220)&amp;AC220</f>
        <v>Big C North320463</v>
      </c>
      <c r="Y220" s="196" t="str">
        <f>IFERROR(VLOOKUP($F220,'[2]Chuyển đổi mã'!$A$1:$C$184,3,0),F220)</f>
        <v>Big C North</v>
      </c>
      <c r="Z220" s="196" t="str">
        <f>VLOOKUP($G220,'[2]Thông tin NPP'!$B:$D,3,0)</f>
        <v>BIG C North</v>
      </c>
      <c r="AA220" s="196" t="str">
        <f t="shared" si="40"/>
        <v>Na 8,5g</v>
      </c>
      <c r="AB220" s="196" t="str">
        <f>IFERROR(VLOOKUP(DAY(B220),'[2]Chuyển đổi mã'!$F$1:$G$32,2,0),0)</f>
        <v>W1</v>
      </c>
      <c r="AC220" s="196" t="str">
        <f t="shared" si="41"/>
        <v>320463</v>
      </c>
      <c r="AD220" s="196" t="str">
        <f t="shared" si="42"/>
        <v>NPP</v>
      </c>
      <c r="AE220" s="196" t="str">
        <f t="shared" si="43"/>
        <v>NPP320463</v>
      </c>
      <c r="AF220" s="196">
        <f t="shared" si="44"/>
        <v>0</v>
      </c>
    </row>
    <row r="221" spans="1:32" ht="12.95" hidden="1" customHeight="1">
      <c r="A221" s="190">
        <v>62495</v>
      </c>
      <c r="B221" s="191">
        <v>43558</v>
      </c>
      <c r="C221" s="190" t="s">
        <v>457</v>
      </c>
      <c r="D221" s="190" t="s">
        <v>502</v>
      </c>
      <c r="E221" s="190" t="s">
        <v>346</v>
      </c>
      <c r="F221" s="190" t="s">
        <v>503</v>
      </c>
      <c r="G221" s="192" t="s">
        <v>504</v>
      </c>
      <c r="H221" s="192" t="s">
        <v>296</v>
      </c>
      <c r="I221" s="192" t="s">
        <v>395</v>
      </c>
      <c r="J221" s="192" t="s">
        <v>350</v>
      </c>
      <c r="K221" s="190" t="s">
        <v>351</v>
      </c>
      <c r="L221" s="190" t="s">
        <v>387</v>
      </c>
      <c r="M221" s="192" t="s">
        <v>388</v>
      </c>
      <c r="N221" s="193">
        <v>2</v>
      </c>
      <c r="O221" s="193">
        <v>355455</v>
      </c>
      <c r="P221" s="194">
        <v>710910</v>
      </c>
      <c r="Q221" s="194">
        <v>71091</v>
      </c>
      <c r="R221" s="194">
        <v>782001</v>
      </c>
      <c r="S221" s="192"/>
      <c r="T221" s="192" t="s">
        <v>310</v>
      </c>
      <c r="U221" s="190">
        <v>60271</v>
      </c>
      <c r="V221" s="190"/>
      <c r="W221" s="195" t="s">
        <v>356</v>
      </c>
      <c r="X221" s="196" t="str">
        <f>+IFERROR(VLOOKUP($F221,'[2]Chuyển đổi mã'!$A$1:$C$91,3,0),$F221)&amp;AC221</f>
        <v>Big C North323620</v>
      </c>
      <c r="Y221" s="196" t="str">
        <f>IFERROR(VLOOKUP($F221,'[2]Chuyển đổi mã'!$A$1:$C$184,3,0),F221)</f>
        <v>Big C North</v>
      </c>
      <c r="Z221" s="196" t="str">
        <f>VLOOKUP($G221,'[2]Thông tin NPP'!$B:$D,3,0)</f>
        <v>BIG C North</v>
      </c>
      <c r="AA221" s="196" t="str">
        <f t="shared" si="40"/>
        <v>Ahh 16g</v>
      </c>
      <c r="AB221" s="196" t="str">
        <f>IFERROR(VLOOKUP(DAY(B221),'[2]Chuyển đổi mã'!$F$1:$G$32,2,0),0)</f>
        <v>W1</v>
      </c>
      <c r="AC221" s="196" t="str">
        <f t="shared" si="41"/>
        <v>323620</v>
      </c>
      <c r="AD221" s="196" t="str">
        <f t="shared" si="42"/>
        <v>NPP</v>
      </c>
      <c r="AE221" s="196" t="str">
        <f t="shared" si="43"/>
        <v>NPP323620</v>
      </c>
      <c r="AF221" s="196">
        <f t="shared" si="44"/>
        <v>0</v>
      </c>
    </row>
    <row r="222" spans="1:32" ht="12.95" hidden="1" customHeight="1">
      <c r="A222" s="190">
        <v>62495</v>
      </c>
      <c r="B222" s="191">
        <v>43558</v>
      </c>
      <c r="C222" s="190" t="s">
        <v>457</v>
      </c>
      <c r="D222" s="190" t="s">
        <v>502</v>
      </c>
      <c r="E222" s="190" t="s">
        <v>346</v>
      </c>
      <c r="F222" s="190" t="s">
        <v>503</v>
      </c>
      <c r="G222" s="192" t="s">
        <v>504</v>
      </c>
      <c r="H222" s="192" t="s">
        <v>296</v>
      </c>
      <c r="I222" s="192" t="s">
        <v>395</v>
      </c>
      <c r="J222" s="192" t="s">
        <v>350</v>
      </c>
      <c r="K222" s="190" t="s">
        <v>351</v>
      </c>
      <c r="L222" s="190" t="s">
        <v>357</v>
      </c>
      <c r="M222" s="192" t="s">
        <v>358</v>
      </c>
      <c r="N222" s="193">
        <v>7</v>
      </c>
      <c r="O222" s="193">
        <v>213273</v>
      </c>
      <c r="P222" s="194">
        <v>1492911</v>
      </c>
      <c r="Q222" s="194">
        <v>149291.1</v>
      </c>
      <c r="R222" s="194">
        <v>1642202.1</v>
      </c>
      <c r="S222" s="192"/>
      <c r="T222" s="192" t="s">
        <v>310</v>
      </c>
      <c r="U222" s="190">
        <v>60271</v>
      </c>
      <c r="V222" s="190"/>
      <c r="W222" s="195" t="s">
        <v>356</v>
      </c>
      <c r="X222" s="196" t="str">
        <f>+IFERROR(VLOOKUP($F222,'[2]Chuyển đổi mã'!$A$1:$C$91,3,0),$F222)&amp;AC222</f>
        <v>Big C North323555</v>
      </c>
      <c r="Y222" s="196" t="str">
        <f>IFERROR(VLOOKUP($F222,'[2]Chuyển đổi mã'!$A$1:$C$184,3,0),F222)</f>
        <v>Big C North</v>
      </c>
      <c r="Z222" s="196" t="str">
        <f>VLOOKUP($G222,'[2]Thông tin NPP'!$B:$D,3,0)</f>
        <v>BIG C North</v>
      </c>
      <c r="AA222" s="196" t="str">
        <f t="shared" si="40"/>
        <v>Na 17g - M</v>
      </c>
      <c r="AB222" s="196" t="str">
        <f>IFERROR(VLOOKUP(DAY(B222),'[2]Chuyển đổi mã'!$F$1:$G$32,2,0),0)</f>
        <v>W1</v>
      </c>
      <c r="AC222" s="196" t="str">
        <f t="shared" si="41"/>
        <v>323555</v>
      </c>
      <c r="AD222" s="196" t="str">
        <f t="shared" si="42"/>
        <v>NPP</v>
      </c>
      <c r="AE222" s="196" t="str">
        <f t="shared" si="43"/>
        <v>NPP323555</v>
      </c>
      <c r="AF222" s="196">
        <f t="shared" si="44"/>
        <v>0</v>
      </c>
    </row>
    <row r="223" spans="1:32" ht="12.95" hidden="1" customHeight="1">
      <c r="A223" s="190">
        <v>62495</v>
      </c>
      <c r="B223" s="191">
        <v>43558</v>
      </c>
      <c r="C223" s="190" t="s">
        <v>457</v>
      </c>
      <c r="D223" s="190" t="s">
        <v>502</v>
      </c>
      <c r="E223" s="190" t="s">
        <v>346</v>
      </c>
      <c r="F223" s="190" t="s">
        <v>503</v>
      </c>
      <c r="G223" s="192" t="s">
        <v>504</v>
      </c>
      <c r="H223" s="192" t="s">
        <v>296</v>
      </c>
      <c r="I223" s="192" t="s">
        <v>395</v>
      </c>
      <c r="J223" s="192" t="s">
        <v>350</v>
      </c>
      <c r="K223" s="190" t="s">
        <v>351</v>
      </c>
      <c r="L223" s="190" t="s">
        <v>359</v>
      </c>
      <c r="M223" s="192" t="s">
        <v>360</v>
      </c>
      <c r="N223" s="193">
        <v>8</v>
      </c>
      <c r="O223" s="193">
        <v>313636</v>
      </c>
      <c r="P223" s="194">
        <v>2509088</v>
      </c>
      <c r="Q223" s="194">
        <v>250908.79999999999</v>
      </c>
      <c r="R223" s="194">
        <v>2759996.8</v>
      </c>
      <c r="S223" s="192"/>
      <c r="T223" s="192" t="s">
        <v>310</v>
      </c>
      <c r="U223" s="190">
        <v>60271</v>
      </c>
      <c r="V223" s="190"/>
      <c r="W223" s="195" t="s">
        <v>356</v>
      </c>
      <c r="X223" s="196" t="str">
        <f>+IFERROR(VLOOKUP($F223,'[2]Chuyển đổi mã'!$A$1:$C$91,3,0),$F223)&amp;AC223</f>
        <v>Big C North320445</v>
      </c>
      <c r="Y223" s="196" t="str">
        <f>IFERROR(VLOOKUP($F223,'[2]Chuyển đổi mã'!$A$1:$C$184,3,0),F223)</f>
        <v>Big C North</v>
      </c>
      <c r="Z223" s="196" t="str">
        <f>VLOOKUP($G223,'[2]Thông tin NPP'!$B:$D,3,0)</f>
        <v>BIG C North</v>
      </c>
      <c r="AA223" s="196" t="str">
        <f t="shared" ref="AA223:AA253" si="45">LEFT($M223,10)</f>
        <v>Na 58g</v>
      </c>
      <c r="AB223" s="196" t="str">
        <f>IFERROR(VLOOKUP(DAY(B223),'[2]Chuyển đổi mã'!$F$1:$G$32,2,0),0)</f>
        <v>W1</v>
      </c>
      <c r="AC223" s="196" t="str">
        <f t="shared" ref="AC223:AC253" si="46">LEFT(L223,6)</f>
        <v>320445</v>
      </c>
      <c r="AD223" s="196" t="str">
        <f t="shared" ref="AD223:AD253" si="47">LEFT(F223,3)</f>
        <v>NPP</v>
      </c>
      <c r="AE223" s="196" t="str">
        <f t="shared" ref="AE223:AE253" si="48">AD223&amp;AC223</f>
        <v>NPP320445</v>
      </c>
      <c r="AF223" s="196">
        <f t="shared" ref="AF223:AF253" si="49">IF(RIGHT(L223,1)="P","P",0)</f>
        <v>0</v>
      </c>
    </row>
    <row r="224" spans="1:32" ht="12.95" hidden="1" customHeight="1">
      <c r="A224" s="190">
        <v>62495</v>
      </c>
      <c r="B224" s="191">
        <v>43558</v>
      </c>
      <c r="C224" s="190" t="s">
        <v>457</v>
      </c>
      <c r="D224" s="190" t="s">
        <v>502</v>
      </c>
      <c r="E224" s="190" t="s">
        <v>346</v>
      </c>
      <c r="F224" s="190" t="s">
        <v>503</v>
      </c>
      <c r="G224" s="192" t="s">
        <v>504</v>
      </c>
      <c r="H224" s="192" t="s">
        <v>296</v>
      </c>
      <c r="I224" s="192" t="s">
        <v>395</v>
      </c>
      <c r="J224" s="192" t="s">
        <v>350</v>
      </c>
      <c r="K224" s="190" t="s">
        <v>351</v>
      </c>
      <c r="L224" s="190" t="s">
        <v>361</v>
      </c>
      <c r="M224" s="192" t="s">
        <v>362</v>
      </c>
      <c r="N224" s="193">
        <v>4</v>
      </c>
      <c r="O224" s="193">
        <v>313636</v>
      </c>
      <c r="P224" s="194">
        <v>1254544</v>
      </c>
      <c r="Q224" s="194">
        <v>125454.39999999999</v>
      </c>
      <c r="R224" s="194">
        <v>1379998.4</v>
      </c>
      <c r="S224" s="192"/>
      <c r="T224" s="192" t="s">
        <v>310</v>
      </c>
      <c r="U224" s="190">
        <v>60271</v>
      </c>
      <c r="V224" s="190"/>
      <c r="W224" s="195" t="s">
        <v>356</v>
      </c>
      <c r="X224" s="196" t="str">
        <f>+IFERROR(VLOOKUP($F224,'[2]Chuyển đổi mã'!$A$1:$C$91,3,0),$F224)&amp;AC224</f>
        <v>Big C North331017</v>
      </c>
      <c r="Y224" s="196" t="str">
        <f>IFERROR(VLOOKUP($F224,'[2]Chuyển đổi mã'!$A$1:$C$184,3,0),F224)</f>
        <v>Big C North</v>
      </c>
      <c r="Z224" s="196" t="str">
        <f>VLOOKUP($G224,'[2]Thông tin NPP'!$B:$D,3,0)</f>
        <v>BIG C North</v>
      </c>
      <c r="AA224" s="196" t="str">
        <f t="shared" si="45"/>
        <v>Richoco Wf</v>
      </c>
      <c r="AB224" s="196" t="str">
        <f>IFERROR(VLOOKUP(DAY(B224),'[2]Chuyển đổi mã'!$F$1:$G$32,2,0),0)</f>
        <v>W1</v>
      </c>
      <c r="AC224" s="196" t="str">
        <f t="shared" si="46"/>
        <v>331017</v>
      </c>
      <c r="AD224" s="196" t="str">
        <f t="shared" si="47"/>
        <v>NPP</v>
      </c>
      <c r="AE224" s="196" t="str">
        <f t="shared" si="48"/>
        <v>NPP331017</v>
      </c>
      <c r="AF224" s="196">
        <f t="shared" si="49"/>
        <v>0</v>
      </c>
    </row>
    <row r="225" spans="1:32" ht="12.95" hidden="1" customHeight="1">
      <c r="A225" s="190">
        <v>62495</v>
      </c>
      <c r="B225" s="191">
        <v>43558</v>
      </c>
      <c r="C225" s="190" t="s">
        <v>457</v>
      </c>
      <c r="D225" s="190" t="s">
        <v>502</v>
      </c>
      <c r="E225" s="190" t="s">
        <v>346</v>
      </c>
      <c r="F225" s="190" t="s">
        <v>503</v>
      </c>
      <c r="G225" s="192" t="s">
        <v>504</v>
      </c>
      <c r="H225" s="192" t="s">
        <v>296</v>
      </c>
      <c r="I225" s="192" t="s">
        <v>395</v>
      </c>
      <c r="J225" s="192" t="s">
        <v>350</v>
      </c>
      <c r="K225" s="190" t="s">
        <v>351</v>
      </c>
      <c r="L225" s="190" t="s">
        <v>365</v>
      </c>
      <c r="M225" s="192" t="s">
        <v>366</v>
      </c>
      <c r="N225" s="193">
        <v>3</v>
      </c>
      <c r="O225" s="193">
        <v>313636</v>
      </c>
      <c r="P225" s="194">
        <v>940908</v>
      </c>
      <c r="Q225" s="194">
        <v>94090.8</v>
      </c>
      <c r="R225" s="194">
        <v>1034998.8</v>
      </c>
      <c r="S225" s="192"/>
      <c r="T225" s="192" t="s">
        <v>310</v>
      </c>
      <c r="U225" s="190">
        <v>60271</v>
      </c>
      <c r="V225" s="190"/>
      <c r="W225" s="195" t="s">
        <v>356</v>
      </c>
      <c r="X225" s="196" t="str">
        <f>+IFERROR(VLOOKUP($F225,'[2]Chuyển đổi mã'!$A$1:$C$91,3,0),$F225)&amp;AC225</f>
        <v>Big C North323709</v>
      </c>
      <c r="Y225" s="196" t="str">
        <f>IFERROR(VLOOKUP($F225,'[2]Chuyển đổi mã'!$A$1:$C$184,3,0),F225)</f>
        <v>Big C North</v>
      </c>
      <c r="Z225" s="196" t="str">
        <f>VLOOKUP($G225,'[2]Thông tin NPP'!$B:$D,3,0)</f>
        <v>BIG C North</v>
      </c>
      <c r="AA225" s="196" t="str">
        <f t="shared" si="45"/>
        <v>Nextar Bro</v>
      </c>
      <c r="AB225" s="196" t="str">
        <f>IFERROR(VLOOKUP(DAY(B225),'[2]Chuyển đổi mã'!$F$1:$G$32,2,0),0)</f>
        <v>W1</v>
      </c>
      <c r="AC225" s="196" t="str">
        <f t="shared" si="46"/>
        <v>323709</v>
      </c>
      <c r="AD225" s="196" t="str">
        <f t="shared" si="47"/>
        <v>NPP</v>
      </c>
      <c r="AE225" s="196" t="str">
        <f t="shared" si="48"/>
        <v>NPP323709</v>
      </c>
      <c r="AF225" s="196">
        <f t="shared" si="49"/>
        <v>0</v>
      </c>
    </row>
    <row r="226" spans="1:32" ht="12.95" hidden="1" customHeight="1">
      <c r="A226" s="190">
        <v>62496</v>
      </c>
      <c r="B226" s="191">
        <v>43558</v>
      </c>
      <c r="C226" s="190" t="s">
        <v>457</v>
      </c>
      <c r="D226" s="190" t="s">
        <v>505</v>
      </c>
      <c r="E226" s="190" t="s">
        <v>346</v>
      </c>
      <c r="F226" s="190" t="s">
        <v>506</v>
      </c>
      <c r="G226" s="192" t="s">
        <v>507</v>
      </c>
      <c r="H226" s="192" t="s">
        <v>296</v>
      </c>
      <c r="I226" s="192" t="s">
        <v>395</v>
      </c>
      <c r="J226" s="192" t="s">
        <v>350</v>
      </c>
      <c r="K226" s="190" t="s">
        <v>351</v>
      </c>
      <c r="L226" s="190" t="s">
        <v>387</v>
      </c>
      <c r="M226" s="192" t="s">
        <v>388</v>
      </c>
      <c r="N226" s="193">
        <v>2</v>
      </c>
      <c r="O226" s="193">
        <v>355455</v>
      </c>
      <c r="P226" s="194">
        <v>710910</v>
      </c>
      <c r="Q226" s="194">
        <v>71091</v>
      </c>
      <c r="R226" s="194">
        <v>782001</v>
      </c>
      <c r="S226" s="192"/>
      <c r="T226" s="192" t="s">
        <v>310</v>
      </c>
      <c r="U226" s="190">
        <v>60270</v>
      </c>
      <c r="V226" s="190"/>
      <c r="W226" s="195" t="s">
        <v>356</v>
      </c>
      <c r="X226" s="196" t="str">
        <f>+IFERROR(VLOOKUP($F226,'[2]Chuyển đổi mã'!$A$1:$C$91,3,0),$F226)&amp;AC226</f>
        <v>Big C North323620</v>
      </c>
      <c r="Y226" s="196" t="str">
        <f>IFERROR(VLOOKUP($F226,'[2]Chuyển đổi mã'!$A$1:$C$184,3,0),F226)</f>
        <v>Big C North</v>
      </c>
      <c r="Z226" s="196" t="str">
        <f>VLOOKUP($G226,'[2]Thông tin NPP'!$B:$D,3,0)</f>
        <v>BIG C North</v>
      </c>
      <c r="AA226" s="196" t="str">
        <f t="shared" si="45"/>
        <v>Ahh 16g</v>
      </c>
      <c r="AB226" s="196" t="str">
        <f>IFERROR(VLOOKUP(DAY(B226),'[2]Chuyển đổi mã'!$F$1:$G$32,2,0),0)</f>
        <v>W1</v>
      </c>
      <c r="AC226" s="196" t="str">
        <f t="shared" si="46"/>
        <v>323620</v>
      </c>
      <c r="AD226" s="196" t="str">
        <f t="shared" si="47"/>
        <v>NPP</v>
      </c>
      <c r="AE226" s="196" t="str">
        <f t="shared" si="48"/>
        <v>NPP323620</v>
      </c>
      <c r="AF226" s="196">
        <f t="shared" si="49"/>
        <v>0</v>
      </c>
    </row>
    <row r="227" spans="1:32" ht="12.95" hidden="1" customHeight="1">
      <c r="A227" s="190">
        <v>62496</v>
      </c>
      <c r="B227" s="191">
        <v>43558</v>
      </c>
      <c r="C227" s="190" t="s">
        <v>457</v>
      </c>
      <c r="D227" s="190" t="s">
        <v>505</v>
      </c>
      <c r="E227" s="190" t="s">
        <v>346</v>
      </c>
      <c r="F227" s="190" t="s">
        <v>506</v>
      </c>
      <c r="G227" s="192" t="s">
        <v>507</v>
      </c>
      <c r="H227" s="192" t="s">
        <v>296</v>
      </c>
      <c r="I227" s="192" t="s">
        <v>395</v>
      </c>
      <c r="J227" s="192" t="s">
        <v>350</v>
      </c>
      <c r="K227" s="190" t="s">
        <v>351</v>
      </c>
      <c r="L227" s="190" t="s">
        <v>357</v>
      </c>
      <c r="M227" s="192" t="s">
        <v>358</v>
      </c>
      <c r="N227" s="193">
        <v>2</v>
      </c>
      <c r="O227" s="193">
        <v>213273</v>
      </c>
      <c r="P227" s="194">
        <v>426546</v>
      </c>
      <c r="Q227" s="194">
        <v>42654.6</v>
      </c>
      <c r="R227" s="194">
        <v>469200.6</v>
      </c>
      <c r="S227" s="192"/>
      <c r="T227" s="192" t="s">
        <v>310</v>
      </c>
      <c r="U227" s="190">
        <v>60270</v>
      </c>
      <c r="V227" s="190"/>
      <c r="W227" s="195" t="s">
        <v>356</v>
      </c>
      <c r="X227" s="196" t="str">
        <f>+IFERROR(VLOOKUP($F227,'[2]Chuyển đổi mã'!$A$1:$C$91,3,0),$F227)&amp;AC227</f>
        <v>Big C North323555</v>
      </c>
      <c r="Y227" s="196" t="str">
        <f>IFERROR(VLOOKUP($F227,'[2]Chuyển đổi mã'!$A$1:$C$184,3,0),F227)</f>
        <v>Big C North</v>
      </c>
      <c r="Z227" s="196" t="str">
        <f>VLOOKUP($G227,'[2]Thông tin NPP'!$B:$D,3,0)</f>
        <v>BIG C North</v>
      </c>
      <c r="AA227" s="196" t="str">
        <f t="shared" si="45"/>
        <v>Na 17g - M</v>
      </c>
      <c r="AB227" s="196" t="str">
        <f>IFERROR(VLOOKUP(DAY(B227),'[2]Chuyển đổi mã'!$F$1:$G$32,2,0),0)</f>
        <v>W1</v>
      </c>
      <c r="AC227" s="196" t="str">
        <f t="shared" si="46"/>
        <v>323555</v>
      </c>
      <c r="AD227" s="196" t="str">
        <f t="shared" si="47"/>
        <v>NPP</v>
      </c>
      <c r="AE227" s="196" t="str">
        <f t="shared" si="48"/>
        <v>NPP323555</v>
      </c>
      <c r="AF227" s="196">
        <f t="shared" si="49"/>
        <v>0</v>
      </c>
    </row>
    <row r="228" spans="1:32" ht="12.95" hidden="1" customHeight="1">
      <c r="A228" s="190">
        <v>62496</v>
      </c>
      <c r="B228" s="191">
        <v>43558</v>
      </c>
      <c r="C228" s="190" t="s">
        <v>457</v>
      </c>
      <c r="D228" s="190" t="s">
        <v>505</v>
      </c>
      <c r="E228" s="190" t="s">
        <v>346</v>
      </c>
      <c r="F228" s="190" t="s">
        <v>506</v>
      </c>
      <c r="G228" s="192" t="s">
        <v>507</v>
      </c>
      <c r="H228" s="192" t="s">
        <v>296</v>
      </c>
      <c r="I228" s="192" t="s">
        <v>395</v>
      </c>
      <c r="J228" s="192" t="s">
        <v>350</v>
      </c>
      <c r="K228" s="190" t="s">
        <v>351</v>
      </c>
      <c r="L228" s="190" t="s">
        <v>359</v>
      </c>
      <c r="M228" s="192" t="s">
        <v>360</v>
      </c>
      <c r="N228" s="193">
        <v>2</v>
      </c>
      <c r="O228" s="193">
        <v>313636</v>
      </c>
      <c r="P228" s="194">
        <v>627272</v>
      </c>
      <c r="Q228" s="194">
        <v>62727.199999999997</v>
      </c>
      <c r="R228" s="194">
        <v>689999.2</v>
      </c>
      <c r="S228" s="192"/>
      <c r="T228" s="192" t="s">
        <v>310</v>
      </c>
      <c r="U228" s="190">
        <v>60270</v>
      </c>
      <c r="V228" s="190"/>
      <c r="W228" s="195" t="s">
        <v>356</v>
      </c>
      <c r="X228" s="196" t="str">
        <f>+IFERROR(VLOOKUP($F228,'[2]Chuyển đổi mã'!$A$1:$C$91,3,0),$F228)&amp;AC228</f>
        <v>Big C North320445</v>
      </c>
      <c r="Y228" s="196" t="str">
        <f>IFERROR(VLOOKUP($F228,'[2]Chuyển đổi mã'!$A$1:$C$184,3,0),F228)</f>
        <v>Big C North</v>
      </c>
      <c r="Z228" s="196" t="str">
        <f>VLOOKUP($G228,'[2]Thông tin NPP'!$B:$D,3,0)</f>
        <v>BIG C North</v>
      </c>
      <c r="AA228" s="196" t="str">
        <f t="shared" si="45"/>
        <v>Na 58g</v>
      </c>
      <c r="AB228" s="196" t="str">
        <f>IFERROR(VLOOKUP(DAY(B228),'[2]Chuyển đổi mã'!$F$1:$G$32,2,0),0)</f>
        <v>W1</v>
      </c>
      <c r="AC228" s="196" t="str">
        <f t="shared" si="46"/>
        <v>320445</v>
      </c>
      <c r="AD228" s="196" t="str">
        <f t="shared" si="47"/>
        <v>NPP</v>
      </c>
      <c r="AE228" s="196" t="str">
        <f t="shared" si="48"/>
        <v>NPP320445</v>
      </c>
      <c r="AF228" s="196">
        <f t="shared" si="49"/>
        <v>0</v>
      </c>
    </row>
    <row r="229" spans="1:32" ht="12.95" hidden="1" customHeight="1">
      <c r="A229" s="190">
        <v>62496</v>
      </c>
      <c r="B229" s="191">
        <v>43558</v>
      </c>
      <c r="C229" s="190" t="s">
        <v>457</v>
      </c>
      <c r="D229" s="190" t="s">
        <v>505</v>
      </c>
      <c r="E229" s="190" t="s">
        <v>346</v>
      </c>
      <c r="F229" s="190" t="s">
        <v>506</v>
      </c>
      <c r="G229" s="192" t="s">
        <v>507</v>
      </c>
      <c r="H229" s="192" t="s">
        <v>296</v>
      </c>
      <c r="I229" s="192" t="s">
        <v>395</v>
      </c>
      <c r="J229" s="192" t="s">
        <v>350</v>
      </c>
      <c r="K229" s="190" t="s">
        <v>351</v>
      </c>
      <c r="L229" s="190" t="s">
        <v>361</v>
      </c>
      <c r="M229" s="192" t="s">
        <v>362</v>
      </c>
      <c r="N229" s="193">
        <v>2</v>
      </c>
      <c r="O229" s="193">
        <v>313636</v>
      </c>
      <c r="P229" s="194">
        <v>627272</v>
      </c>
      <c r="Q229" s="194">
        <v>62727.199999999997</v>
      </c>
      <c r="R229" s="194">
        <v>689999.2</v>
      </c>
      <c r="S229" s="192"/>
      <c r="T229" s="192" t="s">
        <v>310</v>
      </c>
      <c r="U229" s="190">
        <v>60270</v>
      </c>
      <c r="V229" s="190"/>
      <c r="W229" s="195" t="s">
        <v>356</v>
      </c>
      <c r="X229" s="196" t="str">
        <f>+IFERROR(VLOOKUP($F229,'[2]Chuyển đổi mã'!$A$1:$C$91,3,0),$F229)&amp;AC229</f>
        <v>Big C North331017</v>
      </c>
      <c r="Y229" s="196" t="str">
        <f>IFERROR(VLOOKUP($F229,'[2]Chuyển đổi mã'!$A$1:$C$184,3,0),F229)</f>
        <v>Big C North</v>
      </c>
      <c r="Z229" s="196" t="str">
        <f>VLOOKUP($G229,'[2]Thông tin NPP'!$B:$D,3,0)</f>
        <v>BIG C North</v>
      </c>
      <c r="AA229" s="196" t="str">
        <f t="shared" si="45"/>
        <v>Richoco Wf</v>
      </c>
      <c r="AB229" s="196" t="str">
        <f>IFERROR(VLOOKUP(DAY(B229),'[2]Chuyển đổi mã'!$F$1:$G$32,2,0),0)</f>
        <v>W1</v>
      </c>
      <c r="AC229" s="196" t="str">
        <f t="shared" si="46"/>
        <v>331017</v>
      </c>
      <c r="AD229" s="196" t="str">
        <f t="shared" si="47"/>
        <v>NPP</v>
      </c>
      <c r="AE229" s="196" t="str">
        <f t="shared" si="48"/>
        <v>NPP331017</v>
      </c>
      <c r="AF229" s="196">
        <f t="shared" si="49"/>
        <v>0</v>
      </c>
    </row>
    <row r="230" spans="1:32" ht="12.95" hidden="1" customHeight="1">
      <c r="A230" s="190">
        <v>62496</v>
      </c>
      <c r="B230" s="191">
        <v>43558</v>
      </c>
      <c r="C230" s="190" t="s">
        <v>457</v>
      </c>
      <c r="D230" s="190" t="s">
        <v>505</v>
      </c>
      <c r="E230" s="190" t="s">
        <v>346</v>
      </c>
      <c r="F230" s="190" t="s">
        <v>506</v>
      </c>
      <c r="G230" s="192" t="s">
        <v>507</v>
      </c>
      <c r="H230" s="192" t="s">
        <v>296</v>
      </c>
      <c r="I230" s="192" t="s">
        <v>395</v>
      </c>
      <c r="J230" s="192" t="s">
        <v>350</v>
      </c>
      <c r="K230" s="190" t="s">
        <v>351</v>
      </c>
      <c r="L230" s="190" t="s">
        <v>363</v>
      </c>
      <c r="M230" s="192" t="s">
        <v>364</v>
      </c>
      <c r="N230" s="193">
        <v>5</v>
      </c>
      <c r="O230" s="193">
        <v>334545</v>
      </c>
      <c r="P230" s="194">
        <v>1672725</v>
      </c>
      <c r="Q230" s="194">
        <v>167272.5</v>
      </c>
      <c r="R230" s="194">
        <v>1839997.5</v>
      </c>
      <c r="S230" s="192"/>
      <c r="T230" s="192" t="s">
        <v>310</v>
      </c>
      <c r="U230" s="190">
        <v>60270</v>
      </c>
      <c r="V230" s="190"/>
      <c r="W230" s="195" t="s">
        <v>356</v>
      </c>
      <c r="X230" s="196" t="str">
        <f>+IFERROR(VLOOKUP($F230,'[2]Chuyển đổi mã'!$A$1:$C$91,3,0),$F230)&amp;AC230</f>
        <v>Big C North323708</v>
      </c>
      <c r="Y230" s="196" t="str">
        <f>IFERROR(VLOOKUP($F230,'[2]Chuyển đổi mã'!$A$1:$C$184,3,0),F230)</f>
        <v>Big C North</v>
      </c>
      <c r="Z230" s="196" t="str">
        <f>VLOOKUP($G230,'[2]Thông tin NPP'!$B:$D,3,0)</f>
        <v>BIG C North</v>
      </c>
      <c r="AA230" s="196" t="str">
        <f t="shared" si="45"/>
        <v>Nextar Bro</v>
      </c>
      <c r="AB230" s="196" t="str">
        <f>IFERROR(VLOOKUP(DAY(B230),'[2]Chuyển đổi mã'!$F$1:$G$32,2,0),0)</f>
        <v>W1</v>
      </c>
      <c r="AC230" s="196" t="str">
        <f t="shared" si="46"/>
        <v>323708</v>
      </c>
      <c r="AD230" s="196" t="str">
        <f t="shared" si="47"/>
        <v>NPP</v>
      </c>
      <c r="AE230" s="196" t="str">
        <f t="shared" si="48"/>
        <v>NPP323708</v>
      </c>
      <c r="AF230" s="196">
        <f t="shared" si="49"/>
        <v>0</v>
      </c>
    </row>
    <row r="231" spans="1:32" ht="12.95" hidden="1" customHeight="1">
      <c r="A231" s="190">
        <v>62496</v>
      </c>
      <c r="B231" s="191">
        <v>43558</v>
      </c>
      <c r="C231" s="190" t="s">
        <v>457</v>
      </c>
      <c r="D231" s="190" t="s">
        <v>505</v>
      </c>
      <c r="E231" s="190" t="s">
        <v>346</v>
      </c>
      <c r="F231" s="190" t="s">
        <v>506</v>
      </c>
      <c r="G231" s="192" t="s">
        <v>507</v>
      </c>
      <c r="H231" s="192" t="s">
        <v>296</v>
      </c>
      <c r="I231" s="192" t="s">
        <v>395</v>
      </c>
      <c r="J231" s="192" t="s">
        <v>350</v>
      </c>
      <c r="K231" s="190" t="s">
        <v>351</v>
      </c>
      <c r="L231" s="190" t="s">
        <v>365</v>
      </c>
      <c r="M231" s="192" t="s">
        <v>366</v>
      </c>
      <c r="N231" s="193">
        <v>3</v>
      </c>
      <c r="O231" s="193">
        <v>313636</v>
      </c>
      <c r="P231" s="194">
        <v>940908</v>
      </c>
      <c r="Q231" s="194">
        <v>94090.8</v>
      </c>
      <c r="R231" s="194">
        <v>1034998.8</v>
      </c>
      <c r="S231" s="192"/>
      <c r="T231" s="192" t="s">
        <v>310</v>
      </c>
      <c r="U231" s="190">
        <v>60270</v>
      </c>
      <c r="V231" s="190"/>
      <c r="W231" s="195" t="s">
        <v>356</v>
      </c>
      <c r="X231" s="196" t="str">
        <f>+IFERROR(VLOOKUP($F231,'[2]Chuyển đổi mã'!$A$1:$C$91,3,0),$F231)&amp;AC231</f>
        <v>Big C North323709</v>
      </c>
      <c r="Y231" s="196" t="str">
        <f>IFERROR(VLOOKUP($F231,'[2]Chuyển đổi mã'!$A$1:$C$184,3,0),F231)</f>
        <v>Big C North</v>
      </c>
      <c r="Z231" s="196" t="str">
        <f>VLOOKUP($G231,'[2]Thông tin NPP'!$B:$D,3,0)</f>
        <v>BIG C North</v>
      </c>
      <c r="AA231" s="196" t="str">
        <f t="shared" si="45"/>
        <v>Nextar Bro</v>
      </c>
      <c r="AB231" s="196" t="str">
        <f>IFERROR(VLOOKUP(DAY(B231),'[2]Chuyển đổi mã'!$F$1:$G$32,2,0),0)</f>
        <v>W1</v>
      </c>
      <c r="AC231" s="196" t="str">
        <f t="shared" si="46"/>
        <v>323709</v>
      </c>
      <c r="AD231" s="196" t="str">
        <f t="shared" si="47"/>
        <v>NPP</v>
      </c>
      <c r="AE231" s="196" t="str">
        <f t="shared" si="48"/>
        <v>NPP323709</v>
      </c>
      <c r="AF231" s="196">
        <f t="shared" si="49"/>
        <v>0</v>
      </c>
    </row>
    <row r="232" spans="1:32" ht="12.95" hidden="1" customHeight="1">
      <c r="A232" s="190">
        <v>62497</v>
      </c>
      <c r="B232" s="191">
        <v>43558</v>
      </c>
      <c r="C232" s="190" t="s">
        <v>457</v>
      </c>
      <c r="D232" s="190" t="s">
        <v>508</v>
      </c>
      <c r="E232" s="190" t="s">
        <v>346</v>
      </c>
      <c r="F232" s="190" t="s">
        <v>509</v>
      </c>
      <c r="G232" s="192" t="s">
        <v>510</v>
      </c>
      <c r="H232" s="192" t="s">
        <v>296</v>
      </c>
      <c r="I232" s="192" t="s">
        <v>443</v>
      </c>
      <c r="J232" s="192" t="s">
        <v>350</v>
      </c>
      <c r="K232" s="190" t="s">
        <v>351</v>
      </c>
      <c r="L232" s="190" t="s">
        <v>352</v>
      </c>
      <c r="M232" s="192" t="s">
        <v>353</v>
      </c>
      <c r="N232" s="193">
        <v>4</v>
      </c>
      <c r="O232" s="193">
        <v>119700.35</v>
      </c>
      <c r="P232" s="194">
        <v>478801.4</v>
      </c>
      <c r="Q232" s="194">
        <v>47880.14</v>
      </c>
      <c r="R232" s="194">
        <v>526681.54</v>
      </c>
      <c r="S232" s="192" t="s">
        <v>354</v>
      </c>
      <c r="T232" s="192" t="s">
        <v>355</v>
      </c>
      <c r="U232" s="190">
        <v>60269</v>
      </c>
      <c r="V232" s="190"/>
      <c r="W232" s="195" t="s">
        <v>356</v>
      </c>
      <c r="X232" s="196" t="str">
        <f>+IFERROR(VLOOKUP($F232,'[2]Chuyển đổi mã'!$A$1:$C$91,3,0),$F232)&amp;AC232</f>
        <v>Big C Central320463</v>
      </c>
      <c r="Y232" s="196" t="str">
        <f>IFERROR(VLOOKUP($F232,'[2]Chuyển đổi mã'!$A$1:$C$184,3,0),F232)</f>
        <v>Big C Central</v>
      </c>
      <c r="Z232" s="196" t="str">
        <f>VLOOKUP($G232,'[2]Thông tin NPP'!$B:$D,3,0)</f>
        <v>BIG C Central</v>
      </c>
      <c r="AA232" s="196" t="str">
        <f t="shared" si="45"/>
        <v>Na 8,5g</v>
      </c>
      <c r="AB232" s="196" t="str">
        <f>IFERROR(VLOOKUP(DAY(B232),'[2]Chuyển đổi mã'!$F$1:$G$32,2,0),0)</f>
        <v>W1</v>
      </c>
      <c r="AC232" s="196" t="str">
        <f t="shared" si="46"/>
        <v>320463</v>
      </c>
      <c r="AD232" s="196" t="str">
        <f t="shared" si="47"/>
        <v>NPP</v>
      </c>
      <c r="AE232" s="196" t="str">
        <f t="shared" si="48"/>
        <v>NPP320463</v>
      </c>
      <c r="AF232" s="196">
        <f t="shared" si="49"/>
        <v>0</v>
      </c>
    </row>
    <row r="233" spans="1:32" ht="12.95" hidden="1" customHeight="1">
      <c r="A233" s="190">
        <v>62497</v>
      </c>
      <c r="B233" s="191">
        <v>43558</v>
      </c>
      <c r="C233" s="190" t="s">
        <v>457</v>
      </c>
      <c r="D233" s="190" t="s">
        <v>508</v>
      </c>
      <c r="E233" s="190" t="s">
        <v>346</v>
      </c>
      <c r="F233" s="190" t="s">
        <v>509</v>
      </c>
      <c r="G233" s="192" t="s">
        <v>510</v>
      </c>
      <c r="H233" s="192" t="s">
        <v>296</v>
      </c>
      <c r="I233" s="192" t="s">
        <v>443</v>
      </c>
      <c r="J233" s="192" t="s">
        <v>350</v>
      </c>
      <c r="K233" s="190" t="s">
        <v>351</v>
      </c>
      <c r="L233" s="190" t="s">
        <v>387</v>
      </c>
      <c r="M233" s="192" t="s">
        <v>388</v>
      </c>
      <c r="N233" s="193">
        <v>5</v>
      </c>
      <c r="O233" s="193">
        <v>355455</v>
      </c>
      <c r="P233" s="194">
        <v>1777275</v>
      </c>
      <c r="Q233" s="194">
        <v>177727.5</v>
      </c>
      <c r="R233" s="194">
        <v>1955002.5</v>
      </c>
      <c r="S233" s="192"/>
      <c r="T233" s="192" t="s">
        <v>310</v>
      </c>
      <c r="U233" s="190">
        <v>60269</v>
      </c>
      <c r="V233" s="190"/>
      <c r="W233" s="195" t="s">
        <v>356</v>
      </c>
      <c r="X233" s="196" t="str">
        <f>+IFERROR(VLOOKUP($F233,'[2]Chuyển đổi mã'!$A$1:$C$91,3,0),$F233)&amp;AC233</f>
        <v>Big C Central323620</v>
      </c>
      <c r="Y233" s="196" t="str">
        <f>IFERROR(VLOOKUP($F233,'[2]Chuyển đổi mã'!$A$1:$C$184,3,0),F233)</f>
        <v>Big C Central</v>
      </c>
      <c r="Z233" s="196" t="str">
        <f>VLOOKUP($G233,'[2]Thông tin NPP'!$B:$D,3,0)</f>
        <v>BIG C Central</v>
      </c>
      <c r="AA233" s="196" t="str">
        <f t="shared" si="45"/>
        <v>Ahh 16g</v>
      </c>
      <c r="AB233" s="196" t="str">
        <f>IFERROR(VLOOKUP(DAY(B233),'[2]Chuyển đổi mã'!$F$1:$G$32,2,0),0)</f>
        <v>W1</v>
      </c>
      <c r="AC233" s="196" t="str">
        <f t="shared" si="46"/>
        <v>323620</v>
      </c>
      <c r="AD233" s="196" t="str">
        <f t="shared" si="47"/>
        <v>NPP</v>
      </c>
      <c r="AE233" s="196" t="str">
        <f t="shared" si="48"/>
        <v>NPP323620</v>
      </c>
      <c r="AF233" s="196">
        <f t="shared" si="49"/>
        <v>0</v>
      </c>
    </row>
    <row r="234" spans="1:32" ht="12.95" hidden="1" customHeight="1">
      <c r="A234" s="190">
        <v>62497</v>
      </c>
      <c r="B234" s="191">
        <v>43558</v>
      </c>
      <c r="C234" s="190" t="s">
        <v>457</v>
      </c>
      <c r="D234" s="190" t="s">
        <v>508</v>
      </c>
      <c r="E234" s="190" t="s">
        <v>346</v>
      </c>
      <c r="F234" s="190" t="s">
        <v>509</v>
      </c>
      <c r="G234" s="192" t="s">
        <v>510</v>
      </c>
      <c r="H234" s="192" t="s">
        <v>296</v>
      </c>
      <c r="I234" s="192" t="s">
        <v>443</v>
      </c>
      <c r="J234" s="192" t="s">
        <v>350</v>
      </c>
      <c r="K234" s="190" t="s">
        <v>351</v>
      </c>
      <c r="L234" s="190" t="s">
        <v>357</v>
      </c>
      <c r="M234" s="192" t="s">
        <v>358</v>
      </c>
      <c r="N234" s="193">
        <v>6</v>
      </c>
      <c r="O234" s="193">
        <v>213273</v>
      </c>
      <c r="P234" s="194">
        <v>1279638</v>
      </c>
      <c r="Q234" s="194">
        <v>127963.8</v>
      </c>
      <c r="R234" s="194">
        <v>1407601.8</v>
      </c>
      <c r="S234" s="192"/>
      <c r="T234" s="192" t="s">
        <v>310</v>
      </c>
      <c r="U234" s="190">
        <v>60269</v>
      </c>
      <c r="V234" s="190"/>
      <c r="W234" s="195" t="s">
        <v>356</v>
      </c>
      <c r="X234" s="196" t="str">
        <f>+IFERROR(VLOOKUP($F234,'[2]Chuyển đổi mã'!$A$1:$C$91,3,0),$F234)&amp;AC234</f>
        <v>Big C Central323555</v>
      </c>
      <c r="Y234" s="196" t="str">
        <f>IFERROR(VLOOKUP($F234,'[2]Chuyển đổi mã'!$A$1:$C$184,3,0),F234)</f>
        <v>Big C Central</v>
      </c>
      <c r="Z234" s="196" t="str">
        <f>VLOOKUP($G234,'[2]Thông tin NPP'!$B:$D,3,0)</f>
        <v>BIG C Central</v>
      </c>
      <c r="AA234" s="196" t="str">
        <f t="shared" si="45"/>
        <v>Na 17g - M</v>
      </c>
      <c r="AB234" s="196" t="str">
        <f>IFERROR(VLOOKUP(DAY(B234),'[2]Chuyển đổi mã'!$F$1:$G$32,2,0),0)</f>
        <v>W1</v>
      </c>
      <c r="AC234" s="196" t="str">
        <f t="shared" si="46"/>
        <v>323555</v>
      </c>
      <c r="AD234" s="196" t="str">
        <f t="shared" si="47"/>
        <v>NPP</v>
      </c>
      <c r="AE234" s="196" t="str">
        <f t="shared" si="48"/>
        <v>NPP323555</v>
      </c>
      <c r="AF234" s="196">
        <f t="shared" si="49"/>
        <v>0</v>
      </c>
    </row>
    <row r="235" spans="1:32" ht="12.95" hidden="1" customHeight="1">
      <c r="A235" s="190">
        <v>62497</v>
      </c>
      <c r="B235" s="191">
        <v>43558</v>
      </c>
      <c r="C235" s="190" t="s">
        <v>457</v>
      </c>
      <c r="D235" s="190" t="s">
        <v>508</v>
      </c>
      <c r="E235" s="190" t="s">
        <v>346</v>
      </c>
      <c r="F235" s="190" t="s">
        <v>509</v>
      </c>
      <c r="G235" s="192" t="s">
        <v>510</v>
      </c>
      <c r="H235" s="192" t="s">
        <v>296</v>
      </c>
      <c r="I235" s="192" t="s">
        <v>443</v>
      </c>
      <c r="J235" s="192" t="s">
        <v>350</v>
      </c>
      <c r="K235" s="190" t="s">
        <v>351</v>
      </c>
      <c r="L235" s="190" t="s">
        <v>359</v>
      </c>
      <c r="M235" s="192" t="s">
        <v>360</v>
      </c>
      <c r="N235" s="193">
        <v>2</v>
      </c>
      <c r="O235" s="193">
        <v>313636</v>
      </c>
      <c r="P235" s="194">
        <v>627272</v>
      </c>
      <c r="Q235" s="194">
        <v>62727.199999999997</v>
      </c>
      <c r="R235" s="194">
        <v>689999.2</v>
      </c>
      <c r="S235" s="192"/>
      <c r="T235" s="192" t="s">
        <v>310</v>
      </c>
      <c r="U235" s="190">
        <v>60269</v>
      </c>
      <c r="V235" s="190"/>
      <c r="W235" s="195" t="s">
        <v>356</v>
      </c>
      <c r="X235" s="196" t="str">
        <f>+IFERROR(VLOOKUP($F235,'[2]Chuyển đổi mã'!$A$1:$C$91,3,0),$F235)&amp;AC235</f>
        <v>Big C Central320445</v>
      </c>
      <c r="Y235" s="196" t="str">
        <f>IFERROR(VLOOKUP($F235,'[2]Chuyển đổi mã'!$A$1:$C$184,3,0),F235)</f>
        <v>Big C Central</v>
      </c>
      <c r="Z235" s="196" t="str">
        <f>VLOOKUP($G235,'[2]Thông tin NPP'!$B:$D,3,0)</f>
        <v>BIG C Central</v>
      </c>
      <c r="AA235" s="196" t="str">
        <f t="shared" si="45"/>
        <v>Na 58g</v>
      </c>
      <c r="AB235" s="196" t="str">
        <f>IFERROR(VLOOKUP(DAY(B235),'[2]Chuyển đổi mã'!$F$1:$G$32,2,0),0)</f>
        <v>W1</v>
      </c>
      <c r="AC235" s="196" t="str">
        <f t="shared" si="46"/>
        <v>320445</v>
      </c>
      <c r="AD235" s="196" t="str">
        <f t="shared" si="47"/>
        <v>NPP</v>
      </c>
      <c r="AE235" s="196" t="str">
        <f t="shared" si="48"/>
        <v>NPP320445</v>
      </c>
      <c r="AF235" s="196">
        <f t="shared" si="49"/>
        <v>0</v>
      </c>
    </row>
    <row r="236" spans="1:32" ht="12.95" hidden="1" customHeight="1">
      <c r="A236" s="190">
        <v>62497</v>
      </c>
      <c r="B236" s="191">
        <v>43558</v>
      </c>
      <c r="C236" s="190" t="s">
        <v>457</v>
      </c>
      <c r="D236" s="190" t="s">
        <v>508</v>
      </c>
      <c r="E236" s="190" t="s">
        <v>346</v>
      </c>
      <c r="F236" s="190" t="s">
        <v>509</v>
      </c>
      <c r="G236" s="192" t="s">
        <v>510</v>
      </c>
      <c r="H236" s="192" t="s">
        <v>296</v>
      </c>
      <c r="I236" s="192" t="s">
        <v>443</v>
      </c>
      <c r="J236" s="192" t="s">
        <v>350</v>
      </c>
      <c r="K236" s="190" t="s">
        <v>351</v>
      </c>
      <c r="L236" s="190" t="s">
        <v>365</v>
      </c>
      <c r="M236" s="192" t="s">
        <v>366</v>
      </c>
      <c r="N236" s="193">
        <v>1</v>
      </c>
      <c r="O236" s="193">
        <v>313636</v>
      </c>
      <c r="P236" s="194">
        <v>313636</v>
      </c>
      <c r="Q236" s="194">
        <v>31363.599999999999</v>
      </c>
      <c r="R236" s="194">
        <v>344999.6</v>
      </c>
      <c r="S236" s="192"/>
      <c r="T236" s="192" t="s">
        <v>310</v>
      </c>
      <c r="U236" s="190">
        <v>60269</v>
      </c>
      <c r="V236" s="190"/>
      <c r="W236" s="195" t="s">
        <v>356</v>
      </c>
      <c r="X236" s="196" t="str">
        <f>+IFERROR(VLOOKUP($F236,'[2]Chuyển đổi mã'!$A$1:$C$91,3,0),$F236)&amp;AC236</f>
        <v>Big C Central323709</v>
      </c>
      <c r="Y236" s="196" t="str">
        <f>IFERROR(VLOOKUP($F236,'[2]Chuyển đổi mã'!$A$1:$C$184,3,0),F236)</f>
        <v>Big C Central</v>
      </c>
      <c r="Z236" s="196" t="str">
        <f>VLOOKUP($G236,'[2]Thông tin NPP'!$B:$D,3,0)</f>
        <v>BIG C Central</v>
      </c>
      <c r="AA236" s="196" t="str">
        <f t="shared" si="45"/>
        <v>Nextar Bro</v>
      </c>
      <c r="AB236" s="196" t="str">
        <f>IFERROR(VLOOKUP(DAY(B236),'[2]Chuyển đổi mã'!$F$1:$G$32,2,0),0)</f>
        <v>W1</v>
      </c>
      <c r="AC236" s="196" t="str">
        <f t="shared" si="46"/>
        <v>323709</v>
      </c>
      <c r="AD236" s="196" t="str">
        <f t="shared" si="47"/>
        <v>NPP</v>
      </c>
      <c r="AE236" s="196" t="str">
        <f t="shared" si="48"/>
        <v>NPP323709</v>
      </c>
      <c r="AF236" s="196">
        <f t="shared" si="49"/>
        <v>0</v>
      </c>
    </row>
    <row r="237" spans="1:32" ht="12.95" hidden="1" customHeight="1">
      <c r="A237" s="190">
        <v>62498</v>
      </c>
      <c r="B237" s="191">
        <v>43558</v>
      </c>
      <c r="C237" s="190" t="s">
        <v>457</v>
      </c>
      <c r="D237" s="190" t="s">
        <v>511</v>
      </c>
      <c r="E237" s="190" t="s">
        <v>346</v>
      </c>
      <c r="F237" s="190" t="s">
        <v>509</v>
      </c>
      <c r="G237" s="192" t="s">
        <v>510</v>
      </c>
      <c r="H237" s="192" t="s">
        <v>296</v>
      </c>
      <c r="I237" s="192" t="s">
        <v>443</v>
      </c>
      <c r="J237" s="192" t="s">
        <v>350</v>
      </c>
      <c r="K237" s="190" t="s">
        <v>351</v>
      </c>
      <c r="L237" s="190" t="s">
        <v>352</v>
      </c>
      <c r="M237" s="192" t="s">
        <v>353</v>
      </c>
      <c r="N237" s="193">
        <v>1</v>
      </c>
      <c r="O237" s="193">
        <v>119700.35</v>
      </c>
      <c r="P237" s="194">
        <v>119700.35</v>
      </c>
      <c r="Q237" s="194">
        <v>11970.035</v>
      </c>
      <c r="R237" s="194">
        <v>131670.38500000001</v>
      </c>
      <c r="S237" s="192" t="s">
        <v>354</v>
      </c>
      <c r="T237" s="192" t="s">
        <v>355</v>
      </c>
      <c r="U237" s="190">
        <v>60268</v>
      </c>
      <c r="V237" s="190"/>
      <c r="W237" s="195" t="s">
        <v>356</v>
      </c>
      <c r="X237" s="196" t="str">
        <f>+IFERROR(VLOOKUP($F237,'[2]Chuyển đổi mã'!$A$1:$C$91,3,0),$F237)&amp;AC237</f>
        <v>Big C Central320463</v>
      </c>
      <c r="Y237" s="196" t="str">
        <f>IFERROR(VLOOKUP($F237,'[2]Chuyển đổi mã'!$A$1:$C$184,3,0),F237)</f>
        <v>Big C Central</v>
      </c>
      <c r="Z237" s="196" t="str">
        <f>VLOOKUP($G237,'[2]Thông tin NPP'!$B:$D,3,0)</f>
        <v>BIG C Central</v>
      </c>
      <c r="AA237" s="196" t="str">
        <f t="shared" si="45"/>
        <v>Na 8,5g</v>
      </c>
      <c r="AB237" s="196" t="str">
        <f>IFERROR(VLOOKUP(DAY(B237),'[2]Chuyển đổi mã'!$F$1:$G$32,2,0),0)</f>
        <v>W1</v>
      </c>
      <c r="AC237" s="196" t="str">
        <f t="shared" si="46"/>
        <v>320463</v>
      </c>
      <c r="AD237" s="196" t="str">
        <f t="shared" si="47"/>
        <v>NPP</v>
      </c>
      <c r="AE237" s="196" t="str">
        <f t="shared" si="48"/>
        <v>NPP320463</v>
      </c>
      <c r="AF237" s="196">
        <f t="shared" si="49"/>
        <v>0</v>
      </c>
    </row>
    <row r="238" spans="1:32" ht="12.95" hidden="1" customHeight="1">
      <c r="A238" s="190">
        <v>62498</v>
      </c>
      <c r="B238" s="191">
        <v>43558</v>
      </c>
      <c r="C238" s="190" t="s">
        <v>457</v>
      </c>
      <c r="D238" s="190" t="s">
        <v>511</v>
      </c>
      <c r="E238" s="190" t="s">
        <v>346</v>
      </c>
      <c r="F238" s="190" t="s">
        <v>509</v>
      </c>
      <c r="G238" s="192" t="s">
        <v>510</v>
      </c>
      <c r="H238" s="192" t="s">
        <v>296</v>
      </c>
      <c r="I238" s="192" t="s">
        <v>443</v>
      </c>
      <c r="J238" s="192" t="s">
        <v>350</v>
      </c>
      <c r="K238" s="190" t="s">
        <v>351</v>
      </c>
      <c r="L238" s="190" t="s">
        <v>357</v>
      </c>
      <c r="M238" s="192" t="s">
        <v>358</v>
      </c>
      <c r="N238" s="193">
        <v>2</v>
      </c>
      <c r="O238" s="193">
        <v>213273</v>
      </c>
      <c r="P238" s="194">
        <v>426546</v>
      </c>
      <c r="Q238" s="194">
        <v>42654.6</v>
      </c>
      <c r="R238" s="194">
        <v>469200.6</v>
      </c>
      <c r="S238" s="192"/>
      <c r="T238" s="192" t="s">
        <v>310</v>
      </c>
      <c r="U238" s="190">
        <v>60268</v>
      </c>
      <c r="V238" s="190"/>
      <c r="W238" s="195" t="s">
        <v>356</v>
      </c>
      <c r="X238" s="196" t="str">
        <f>+IFERROR(VLOOKUP($F238,'[2]Chuyển đổi mã'!$A$1:$C$91,3,0),$F238)&amp;AC238</f>
        <v>Big C Central323555</v>
      </c>
      <c r="Y238" s="196" t="str">
        <f>IFERROR(VLOOKUP($F238,'[2]Chuyển đổi mã'!$A$1:$C$184,3,0),F238)</f>
        <v>Big C Central</v>
      </c>
      <c r="Z238" s="196" t="str">
        <f>VLOOKUP($G238,'[2]Thông tin NPP'!$B:$D,3,0)</f>
        <v>BIG C Central</v>
      </c>
      <c r="AA238" s="196" t="str">
        <f t="shared" si="45"/>
        <v>Na 17g - M</v>
      </c>
      <c r="AB238" s="196" t="str">
        <f>IFERROR(VLOOKUP(DAY(B238),'[2]Chuyển đổi mã'!$F$1:$G$32,2,0),0)</f>
        <v>W1</v>
      </c>
      <c r="AC238" s="196" t="str">
        <f t="shared" si="46"/>
        <v>323555</v>
      </c>
      <c r="AD238" s="196" t="str">
        <f t="shared" si="47"/>
        <v>NPP</v>
      </c>
      <c r="AE238" s="196" t="str">
        <f t="shared" si="48"/>
        <v>NPP323555</v>
      </c>
      <c r="AF238" s="196">
        <f t="shared" si="49"/>
        <v>0</v>
      </c>
    </row>
    <row r="239" spans="1:32" ht="12.95" hidden="1" customHeight="1">
      <c r="A239" s="190">
        <v>62498</v>
      </c>
      <c r="B239" s="191">
        <v>43558</v>
      </c>
      <c r="C239" s="190" t="s">
        <v>457</v>
      </c>
      <c r="D239" s="190" t="s">
        <v>511</v>
      </c>
      <c r="E239" s="190" t="s">
        <v>346</v>
      </c>
      <c r="F239" s="190" t="s">
        <v>509</v>
      </c>
      <c r="G239" s="192" t="s">
        <v>510</v>
      </c>
      <c r="H239" s="192" t="s">
        <v>296</v>
      </c>
      <c r="I239" s="192" t="s">
        <v>443</v>
      </c>
      <c r="J239" s="192" t="s">
        <v>350</v>
      </c>
      <c r="K239" s="190" t="s">
        <v>351</v>
      </c>
      <c r="L239" s="190" t="s">
        <v>361</v>
      </c>
      <c r="M239" s="192" t="s">
        <v>362</v>
      </c>
      <c r="N239" s="193">
        <v>1</v>
      </c>
      <c r="O239" s="193">
        <v>313636</v>
      </c>
      <c r="P239" s="194">
        <v>313636</v>
      </c>
      <c r="Q239" s="194">
        <v>31363.599999999999</v>
      </c>
      <c r="R239" s="194">
        <v>344999.6</v>
      </c>
      <c r="S239" s="192"/>
      <c r="T239" s="192" t="s">
        <v>310</v>
      </c>
      <c r="U239" s="190">
        <v>60268</v>
      </c>
      <c r="V239" s="190"/>
      <c r="W239" s="195" t="s">
        <v>356</v>
      </c>
      <c r="X239" s="196" t="str">
        <f>+IFERROR(VLOOKUP($F239,'[2]Chuyển đổi mã'!$A$1:$C$91,3,0),$F239)&amp;AC239</f>
        <v>Big C Central331017</v>
      </c>
      <c r="Y239" s="196" t="str">
        <f>IFERROR(VLOOKUP($F239,'[2]Chuyển đổi mã'!$A$1:$C$184,3,0),F239)</f>
        <v>Big C Central</v>
      </c>
      <c r="Z239" s="196" t="str">
        <f>VLOOKUP($G239,'[2]Thông tin NPP'!$B:$D,3,0)</f>
        <v>BIG C Central</v>
      </c>
      <c r="AA239" s="196" t="str">
        <f t="shared" si="45"/>
        <v>Richoco Wf</v>
      </c>
      <c r="AB239" s="196" t="str">
        <f>IFERROR(VLOOKUP(DAY(B239),'[2]Chuyển đổi mã'!$F$1:$G$32,2,0),0)</f>
        <v>W1</v>
      </c>
      <c r="AC239" s="196" t="str">
        <f t="shared" si="46"/>
        <v>331017</v>
      </c>
      <c r="AD239" s="196" t="str">
        <f t="shared" si="47"/>
        <v>NPP</v>
      </c>
      <c r="AE239" s="196" t="str">
        <f t="shared" si="48"/>
        <v>NPP331017</v>
      </c>
      <c r="AF239" s="196">
        <f t="shared" si="49"/>
        <v>0</v>
      </c>
    </row>
    <row r="240" spans="1:32" ht="12.95" hidden="1" customHeight="1">
      <c r="A240" s="190">
        <v>62498</v>
      </c>
      <c r="B240" s="191">
        <v>43558</v>
      </c>
      <c r="C240" s="190" t="s">
        <v>457</v>
      </c>
      <c r="D240" s="190" t="s">
        <v>511</v>
      </c>
      <c r="E240" s="190" t="s">
        <v>346</v>
      </c>
      <c r="F240" s="190" t="s">
        <v>509</v>
      </c>
      <c r="G240" s="192" t="s">
        <v>510</v>
      </c>
      <c r="H240" s="192" t="s">
        <v>296</v>
      </c>
      <c r="I240" s="192" t="s">
        <v>443</v>
      </c>
      <c r="J240" s="192" t="s">
        <v>350</v>
      </c>
      <c r="K240" s="190" t="s">
        <v>351</v>
      </c>
      <c r="L240" s="190" t="s">
        <v>363</v>
      </c>
      <c r="M240" s="192" t="s">
        <v>364</v>
      </c>
      <c r="N240" s="193">
        <v>1</v>
      </c>
      <c r="O240" s="193">
        <v>334545</v>
      </c>
      <c r="P240" s="194">
        <v>334545</v>
      </c>
      <c r="Q240" s="194">
        <v>33454.5</v>
      </c>
      <c r="R240" s="194">
        <v>367999.5</v>
      </c>
      <c r="S240" s="192"/>
      <c r="T240" s="192" t="s">
        <v>310</v>
      </c>
      <c r="U240" s="190">
        <v>60268</v>
      </c>
      <c r="V240" s="190"/>
      <c r="W240" s="195" t="s">
        <v>356</v>
      </c>
      <c r="X240" s="196" t="str">
        <f>+IFERROR(VLOOKUP($F240,'[2]Chuyển đổi mã'!$A$1:$C$91,3,0),$F240)&amp;AC240</f>
        <v>Big C Central323708</v>
      </c>
      <c r="Y240" s="196" t="str">
        <f>IFERROR(VLOOKUP($F240,'[2]Chuyển đổi mã'!$A$1:$C$184,3,0),F240)</f>
        <v>Big C Central</v>
      </c>
      <c r="Z240" s="196" t="str">
        <f>VLOOKUP($G240,'[2]Thông tin NPP'!$B:$D,3,0)</f>
        <v>BIG C Central</v>
      </c>
      <c r="AA240" s="196" t="str">
        <f t="shared" si="45"/>
        <v>Nextar Bro</v>
      </c>
      <c r="AB240" s="196" t="str">
        <f>IFERROR(VLOOKUP(DAY(B240),'[2]Chuyển đổi mã'!$F$1:$G$32,2,0),0)</f>
        <v>W1</v>
      </c>
      <c r="AC240" s="196" t="str">
        <f t="shared" si="46"/>
        <v>323708</v>
      </c>
      <c r="AD240" s="196" t="str">
        <f t="shared" si="47"/>
        <v>NPP</v>
      </c>
      <c r="AE240" s="196" t="str">
        <f t="shared" si="48"/>
        <v>NPP323708</v>
      </c>
      <c r="AF240" s="196">
        <f t="shared" si="49"/>
        <v>0</v>
      </c>
    </row>
    <row r="241" spans="1:32" ht="12.95" hidden="1" customHeight="1">
      <c r="A241" s="190">
        <v>62499</v>
      </c>
      <c r="B241" s="191">
        <v>43558</v>
      </c>
      <c r="C241" s="190" t="s">
        <v>457</v>
      </c>
      <c r="D241" s="190" t="s">
        <v>512</v>
      </c>
      <c r="E241" s="190" t="s">
        <v>346</v>
      </c>
      <c r="F241" s="190" t="s">
        <v>513</v>
      </c>
      <c r="G241" s="192" t="s">
        <v>514</v>
      </c>
      <c r="H241" s="192" t="s">
        <v>296</v>
      </c>
      <c r="I241" s="192" t="s">
        <v>395</v>
      </c>
      <c r="J241" s="192" t="s">
        <v>350</v>
      </c>
      <c r="K241" s="190" t="s">
        <v>351</v>
      </c>
      <c r="L241" s="190" t="s">
        <v>387</v>
      </c>
      <c r="M241" s="192" t="s">
        <v>388</v>
      </c>
      <c r="N241" s="193">
        <v>5</v>
      </c>
      <c r="O241" s="193">
        <v>355455</v>
      </c>
      <c r="P241" s="194">
        <v>1777275</v>
      </c>
      <c r="Q241" s="194">
        <v>177727.5</v>
      </c>
      <c r="R241" s="194">
        <v>1955002.5</v>
      </c>
      <c r="S241" s="192"/>
      <c r="T241" s="192" t="s">
        <v>310</v>
      </c>
      <c r="U241" s="190">
        <v>60267</v>
      </c>
      <c r="V241" s="190"/>
      <c r="W241" s="195" t="s">
        <v>356</v>
      </c>
      <c r="X241" s="196" t="str">
        <f>+IFERROR(VLOOKUP($F241,'[2]Chuyển đổi mã'!$A$1:$C$91,3,0),$F241)&amp;AC241</f>
        <v>Big C North323620</v>
      </c>
      <c r="Y241" s="196" t="str">
        <f>IFERROR(VLOOKUP($F241,'[2]Chuyển đổi mã'!$A$1:$C$184,3,0),F241)</f>
        <v>Big C North</v>
      </c>
      <c r="Z241" s="196" t="str">
        <f>VLOOKUP($G241,'[2]Thông tin NPP'!$B:$D,3,0)</f>
        <v>BIG C North</v>
      </c>
      <c r="AA241" s="196" t="str">
        <f t="shared" si="45"/>
        <v>Ahh 16g</v>
      </c>
      <c r="AB241" s="196" t="str">
        <f>IFERROR(VLOOKUP(DAY(B241),'[2]Chuyển đổi mã'!$F$1:$G$32,2,0),0)</f>
        <v>W1</v>
      </c>
      <c r="AC241" s="196" t="str">
        <f t="shared" si="46"/>
        <v>323620</v>
      </c>
      <c r="AD241" s="196" t="str">
        <f t="shared" si="47"/>
        <v>NPP</v>
      </c>
      <c r="AE241" s="196" t="str">
        <f t="shared" si="48"/>
        <v>NPP323620</v>
      </c>
      <c r="AF241" s="196">
        <f t="shared" si="49"/>
        <v>0</v>
      </c>
    </row>
    <row r="242" spans="1:32" ht="12.95" hidden="1" customHeight="1">
      <c r="A242" s="190">
        <v>62499</v>
      </c>
      <c r="B242" s="191">
        <v>43558</v>
      </c>
      <c r="C242" s="190" t="s">
        <v>457</v>
      </c>
      <c r="D242" s="190" t="s">
        <v>512</v>
      </c>
      <c r="E242" s="190" t="s">
        <v>346</v>
      </c>
      <c r="F242" s="190" t="s">
        <v>513</v>
      </c>
      <c r="G242" s="192" t="s">
        <v>514</v>
      </c>
      <c r="H242" s="192" t="s">
        <v>296</v>
      </c>
      <c r="I242" s="192" t="s">
        <v>395</v>
      </c>
      <c r="J242" s="192" t="s">
        <v>350</v>
      </c>
      <c r="K242" s="190" t="s">
        <v>351</v>
      </c>
      <c r="L242" s="190" t="s">
        <v>357</v>
      </c>
      <c r="M242" s="192" t="s">
        <v>358</v>
      </c>
      <c r="N242" s="193">
        <v>3</v>
      </c>
      <c r="O242" s="193">
        <v>213273</v>
      </c>
      <c r="P242" s="194">
        <v>639819</v>
      </c>
      <c r="Q242" s="194">
        <v>63981.9</v>
      </c>
      <c r="R242" s="194">
        <v>703800.9</v>
      </c>
      <c r="S242" s="192"/>
      <c r="T242" s="192" t="s">
        <v>310</v>
      </c>
      <c r="U242" s="190">
        <v>60267</v>
      </c>
      <c r="V242" s="190"/>
      <c r="W242" s="195" t="s">
        <v>356</v>
      </c>
      <c r="X242" s="196" t="str">
        <f>+IFERROR(VLOOKUP($F242,'[2]Chuyển đổi mã'!$A$1:$C$91,3,0),$F242)&amp;AC242</f>
        <v>Big C North323555</v>
      </c>
      <c r="Y242" s="196" t="str">
        <f>IFERROR(VLOOKUP($F242,'[2]Chuyển đổi mã'!$A$1:$C$184,3,0),F242)</f>
        <v>Big C North</v>
      </c>
      <c r="Z242" s="196" t="str">
        <f>VLOOKUP($G242,'[2]Thông tin NPP'!$B:$D,3,0)</f>
        <v>BIG C North</v>
      </c>
      <c r="AA242" s="196" t="str">
        <f t="shared" si="45"/>
        <v>Na 17g - M</v>
      </c>
      <c r="AB242" s="196" t="str">
        <f>IFERROR(VLOOKUP(DAY(B242),'[2]Chuyển đổi mã'!$F$1:$G$32,2,0),0)</f>
        <v>W1</v>
      </c>
      <c r="AC242" s="196" t="str">
        <f t="shared" si="46"/>
        <v>323555</v>
      </c>
      <c r="AD242" s="196" t="str">
        <f t="shared" si="47"/>
        <v>NPP</v>
      </c>
      <c r="AE242" s="196" t="str">
        <f t="shared" si="48"/>
        <v>NPP323555</v>
      </c>
      <c r="AF242" s="196">
        <f t="shared" si="49"/>
        <v>0</v>
      </c>
    </row>
    <row r="243" spans="1:32" ht="12.95" hidden="1" customHeight="1">
      <c r="A243" s="190">
        <v>62499</v>
      </c>
      <c r="B243" s="191">
        <v>43558</v>
      </c>
      <c r="C243" s="190" t="s">
        <v>457</v>
      </c>
      <c r="D243" s="190" t="s">
        <v>512</v>
      </c>
      <c r="E243" s="190" t="s">
        <v>346</v>
      </c>
      <c r="F243" s="190" t="s">
        <v>513</v>
      </c>
      <c r="G243" s="192" t="s">
        <v>514</v>
      </c>
      <c r="H243" s="192" t="s">
        <v>296</v>
      </c>
      <c r="I243" s="192" t="s">
        <v>395</v>
      </c>
      <c r="J243" s="192" t="s">
        <v>350</v>
      </c>
      <c r="K243" s="190" t="s">
        <v>351</v>
      </c>
      <c r="L243" s="190" t="s">
        <v>359</v>
      </c>
      <c r="M243" s="192" t="s">
        <v>360</v>
      </c>
      <c r="N243" s="193">
        <v>3</v>
      </c>
      <c r="O243" s="193">
        <v>313636</v>
      </c>
      <c r="P243" s="194">
        <v>940908</v>
      </c>
      <c r="Q243" s="194">
        <v>94090.8</v>
      </c>
      <c r="R243" s="194">
        <v>1034998.8</v>
      </c>
      <c r="S243" s="192"/>
      <c r="T243" s="192" t="s">
        <v>310</v>
      </c>
      <c r="U243" s="190">
        <v>60267</v>
      </c>
      <c r="V243" s="190"/>
      <c r="W243" s="195" t="s">
        <v>356</v>
      </c>
      <c r="X243" s="196" t="str">
        <f>+IFERROR(VLOOKUP($F243,'[2]Chuyển đổi mã'!$A$1:$C$91,3,0),$F243)&amp;AC243</f>
        <v>Big C North320445</v>
      </c>
      <c r="Y243" s="196" t="str">
        <f>IFERROR(VLOOKUP($F243,'[2]Chuyển đổi mã'!$A$1:$C$184,3,0),F243)</f>
        <v>Big C North</v>
      </c>
      <c r="Z243" s="196" t="str">
        <f>VLOOKUP($G243,'[2]Thông tin NPP'!$B:$D,3,0)</f>
        <v>BIG C North</v>
      </c>
      <c r="AA243" s="196" t="str">
        <f t="shared" si="45"/>
        <v>Na 58g</v>
      </c>
      <c r="AB243" s="196" t="str">
        <f>IFERROR(VLOOKUP(DAY(B243),'[2]Chuyển đổi mã'!$F$1:$G$32,2,0),0)</f>
        <v>W1</v>
      </c>
      <c r="AC243" s="196" t="str">
        <f t="shared" si="46"/>
        <v>320445</v>
      </c>
      <c r="AD243" s="196" t="str">
        <f t="shared" si="47"/>
        <v>NPP</v>
      </c>
      <c r="AE243" s="196" t="str">
        <f t="shared" si="48"/>
        <v>NPP320445</v>
      </c>
      <c r="AF243" s="196">
        <f t="shared" si="49"/>
        <v>0</v>
      </c>
    </row>
    <row r="244" spans="1:32" ht="12.95" hidden="1" customHeight="1">
      <c r="A244" s="190">
        <v>62499</v>
      </c>
      <c r="B244" s="191">
        <v>43558</v>
      </c>
      <c r="C244" s="190" t="s">
        <v>457</v>
      </c>
      <c r="D244" s="190" t="s">
        <v>512</v>
      </c>
      <c r="E244" s="190" t="s">
        <v>346</v>
      </c>
      <c r="F244" s="190" t="s">
        <v>513</v>
      </c>
      <c r="G244" s="192" t="s">
        <v>514</v>
      </c>
      <c r="H244" s="192" t="s">
        <v>296</v>
      </c>
      <c r="I244" s="192" t="s">
        <v>395</v>
      </c>
      <c r="J244" s="192" t="s">
        <v>350</v>
      </c>
      <c r="K244" s="190" t="s">
        <v>351</v>
      </c>
      <c r="L244" s="190" t="s">
        <v>361</v>
      </c>
      <c r="M244" s="192" t="s">
        <v>362</v>
      </c>
      <c r="N244" s="193">
        <v>3</v>
      </c>
      <c r="O244" s="193">
        <v>313636</v>
      </c>
      <c r="P244" s="194">
        <v>940908</v>
      </c>
      <c r="Q244" s="194">
        <v>94090.8</v>
      </c>
      <c r="R244" s="194">
        <v>1034998.8</v>
      </c>
      <c r="S244" s="192"/>
      <c r="T244" s="192" t="s">
        <v>310</v>
      </c>
      <c r="U244" s="190">
        <v>60267</v>
      </c>
      <c r="V244" s="190"/>
      <c r="W244" s="195" t="s">
        <v>356</v>
      </c>
      <c r="X244" s="196" t="str">
        <f>+IFERROR(VLOOKUP($F244,'[2]Chuyển đổi mã'!$A$1:$C$91,3,0),$F244)&amp;AC244</f>
        <v>Big C North331017</v>
      </c>
      <c r="Y244" s="196" t="str">
        <f>IFERROR(VLOOKUP($F244,'[2]Chuyển đổi mã'!$A$1:$C$184,3,0),F244)</f>
        <v>Big C North</v>
      </c>
      <c r="Z244" s="196" t="str">
        <f>VLOOKUP($G244,'[2]Thông tin NPP'!$B:$D,3,0)</f>
        <v>BIG C North</v>
      </c>
      <c r="AA244" s="196" t="str">
        <f t="shared" si="45"/>
        <v>Richoco Wf</v>
      </c>
      <c r="AB244" s="196" t="str">
        <f>IFERROR(VLOOKUP(DAY(B244),'[2]Chuyển đổi mã'!$F$1:$G$32,2,0),0)</f>
        <v>W1</v>
      </c>
      <c r="AC244" s="196" t="str">
        <f t="shared" si="46"/>
        <v>331017</v>
      </c>
      <c r="AD244" s="196" t="str">
        <f t="shared" si="47"/>
        <v>NPP</v>
      </c>
      <c r="AE244" s="196" t="str">
        <f t="shared" si="48"/>
        <v>NPP331017</v>
      </c>
      <c r="AF244" s="196">
        <f t="shared" si="49"/>
        <v>0</v>
      </c>
    </row>
    <row r="245" spans="1:32" ht="12.95" hidden="1" customHeight="1">
      <c r="A245" s="190">
        <v>62499</v>
      </c>
      <c r="B245" s="191">
        <v>43558</v>
      </c>
      <c r="C245" s="190" t="s">
        <v>457</v>
      </c>
      <c r="D245" s="190" t="s">
        <v>512</v>
      </c>
      <c r="E245" s="190" t="s">
        <v>346</v>
      </c>
      <c r="F245" s="190" t="s">
        <v>513</v>
      </c>
      <c r="G245" s="192" t="s">
        <v>514</v>
      </c>
      <c r="H245" s="192" t="s">
        <v>296</v>
      </c>
      <c r="I245" s="192" t="s">
        <v>395</v>
      </c>
      <c r="J245" s="192" t="s">
        <v>350</v>
      </c>
      <c r="K245" s="190" t="s">
        <v>351</v>
      </c>
      <c r="L245" s="190" t="s">
        <v>363</v>
      </c>
      <c r="M245" s="192" t="s">
        <v>364</v>
      </c>
      <c r="N245" s="193">
        <v>5</v>
      </c>
      <c r="O245" s="193">
        <v>334545</v>
      </c>
      <c r="P245" s="194">
        <v>1672725</v>
      </c>
      <c r="Q245" s="194">
        <v>167272.5</v>
      </c>
      <c r="R245" s="194">
        <v>1839997.5</v>
      </c>
      <c r="S245" s="192"/>
      <c r="T245" s="192" t="s">
        <v>310</v>
      </c>
      <c r="U245" s="190">
        <v>60267</v>
      </c>
      <c r="V245" s="190"/>
      <c r="W245" s="195" t="s">
        <v>356</v>
      </c>
      <c r="X245" s="196" t="str">
        <f>+IFERROR(VLOOKUP($F245,'[2]Chuyển đổi mã'!$A$1:$C$91,3,0),$F245)&amp;AC245</f>
        <v>Big C North323708</v>
      </c>
      <c r="Y245" s="196" t="str">
        <f>IFERROR(VLOOKUP($F245,'[2]Chuyển đổi mã'!$A$1:$C$184,3,0),F245)</f>
        <v>Big C North</v>
      </c>
      <c r="Z245" s="196" t="str">
        <f>VLOOKUP($G245,'[2]Thông tin NPP'!$B:$D,3,0)</f>
        <v>BIG C North</v>
      </c>
      <c r="AA245" s="196" t="str">
        <f t="shared" si="45"/>
        <v>Nextar Bro</v>
      </c>
      <c r="AB245" s="196" t="str">
        <f>IFERROR(VLOOKUP(DAY(B245),'[2]Chuyển đổi mã'!$F$1:$G$32,2,0),0)</f>
        <v>W1</v>
      </c>
      <c r="AC245" s="196" t="str">
        <f t="shared" si="46"/>
        <v>323708</v>
      </c>
      <c r="AD245" s="196" t="str">
        <f t="shared" si="47"/>
        <v>NPP</v>
      </c>
      <c r="AE245" s="196" t="str">
        <f t="shared" si="48"/>
        <v>NPP323708</v>
      </c>
      <c r="AF245" s="196">
        <f t="shared" si="49"/>
        <v>0</v>
      </c>
    </row>
    <row r="246" spans="1:32" ht="12.95" hidden="1" customHeight="1">
      <c r="A246" s="190">
        <v>62499</v>
      </c>
      <c r="B246" s="191">
        <v>43558</v>
      </c>
      <c r="C246" s="190" t="s">
        <v>457</v>
      </c>
      <c r="D246" s="190" t="s">
        <v>512</v>
      </c>
      <c r="E246" s="190" t="s">
        <v>346</v>
      </c>
      <c r="F246" s="190" t="s">
        <v>513</v>
      </c>
      <c r="G246" s="192" t="s">
        <v>514</v>
      </c>
      <c r="H246" s="192" t="s">
        <v>296</v>
      </c>
      <c r="I246" s="192" t="s">
        <v>395</v>
      </c>
      <c r="J246" s="192" t="s">
        <v>350</v>
      </c>
      <c r="K246" s="190" t="s">
        <v>351</v>
      </c>
      <c r="L246" s="190" t="s">
        <v>365</v>
      </c>
      <c r="M246" s="192" t="s">
        <v>366</v>
      </c>
      <c r="N246" s="193">
        <v>5</v>
      </c>
      <c r="O246" s="193">
        <v>313636</v>
      </c>
      <c r="P246" s="194">
        <v>1568180</v>
      </c>
      <c r="Q246" s="194">
        <v>156818</v>
      </c>
      <c r="R246" s="194">
        <v>1724998</v>
      </c>
      <c r="S246" s="192"/>
      <c r="T246" s="192" t="s">
        <v>310</v>
      </c>
      <c r="U246" s="190">
        <v>60267</v>
      </c>
      <c r="V246" s="190"/>
      <c r="W246" s="195" t="s">
        <v>356</v>
      </c>
      <c r="X246" s="196" t="str">
        <f>+IFERROR(VLOOKUP($F246,'[2]Chuyển đổi mã'!$A$1:$C$91,3,0),$F246)&amp;AC246</f>
        <v>Big C North323709</v>
      </c>
      <c r="Y246" s="196" t="str">
        <f>IFERROR(VLOOKUP($F246,'[2]Chuyển đổi mã'!$A$1:$C$184,3,0),F246)</f>
        <v>Big C North</v>
      </c>
      <c r="Z246" s="196" t="str">
        <f>VLOOKUP($G246,'[2]Thông tin NPP'!$B:$D,3,0)</f>
        <v>BIG C North</v>
      </c>
      <c r="AA246" s="196" t="str">
        <f t="shared" si="45"/>
        <v>Nextar Bro</v>
      </c>
      <c r="AB246" s="196" t="str">
        <f>IFERROR(VLOOKUP(DAY(B246),'[2]Chuyển đổi mã'!$F$1:$G$32,2,0),0)</f>
        <v>W1</v>
      </c>
      <c r="AC246" s="196" t="str">
        <f t="shared" si="46"/>
        <v>323709</v>
      </c>
      <c r="AD246" s="196" t="str">
        <f t="shared" si="47"/>
        <v>NPP</v>
      </c>
      <c r="AE246" s="196" t="str">
        <f t="shared" si="48"/>
        <v>NPP323709</v>
      </c>
      <c r="AF246" s="196">
        <f t="shared" si="49"/>
        <v>0</v>
      </c>
    </row>
    <row r="247" spans="1:32" ht="12.95" hidden="1" customHeight="1">
      <c r="A247" s="190">
        <v>62500</v>
      </c>
      <c r="B247" s="191">
        <v>43558</v>
      </c>
      <c r="C247" s="190" t="s">
        <v>457</v>
      </c>
      <c r="D247" s="190" t="s">
        <v>515</v>
      </c>
      <c r="E247" s="190" t="s">
        <v>346</v>
      </c>
      <c r="F247" s="190" t="s">
        <v>516</v>
      </c>
      <c r="G247" s="192" t="s">
        <v>517</v>
      </c>
      <c r="H247" s="192" t="s">
        <v>296</v>
      </c>
      <c r="I247" s="192" t="s">
        <v>395</v>
      </c>
      <c r="J247" s="192" t="s">
        <v>350</v>
      </c>
      <c r="K247" s="190" t="s">
        <v>351</v>
      </c>
      <c r="L247" s="190" t="s">
        <v>352</v>
      </c>
      <c r="M247" s="192" t="s">
        <v>353</v>
      </c>
      <c r="N247" s="193">
        <v>7</v>
      </c>
      <c r="O247" s="193">
        <v>119700.35</v>
      </c>
      <c r="P247" s="194">
        <v>837902.45</v>
      </c>
      <c r="Q247" s="194">
        <v>83790.244999999995</v>
      </c>
      <c r="R247" s="194">
        <v>921692.69499999995</v>
      </c>
      <c r="S247" s="192" t="s">
        <v>354</v>
      </c>
      <c r="T247" s="192" t="s">
        <v>355</v>
      </c>
      <c r="U247" s="190">
        <v>60266</v>
      </c>
      <c r="V247" s="190"/>
      <c r="W247" s="195" t="s">
        <v>356</v>
      </c>
      <c r="X247" s="196" t="str">
        <f>+IFERROR(VLOOKUP($F247,'[2]Chuyển đổi mã'!$A$1:$C$91,3,0),$F247)&amp;AC247</f>
        <v>Big C North320463</v>
      </c>
      <c r="Y247" s="196" t="str">
        <f>IFERROR(VLOOKUP($F247,'[2]Chuyển đổi mã'!$A$1:$C$184,3,0),F247)</f>
        <v>Big C North</v>
      </c>
      <c r="Z247" s="196" t="str">
        <f>VLOOKUP($G247,'[2]Thông tin NPP'!$B:$D,3,0)</f>
        <v>BIG C North</v>
      </c>
      <c r="AA247" s="196" t="str">
        <f t="shared" si="45"/>
        <v>Na 8,5g</v>
      </c>
      <c r="AB247" s="196" t="str">
        <f>IFERROR(VLOOKUP(DAY(B247),'[2]Chuyển đổi mã'!$F$1:$G$32,2,0),0)</f>
        <v>W1</v>
      </c>
      <c r="AC247" s="196" t="str">
        <f t="shared" si="46"/>
        <v>320463</v>
      </c>
      <c r="AD247" s="196" t="str">
        <f t="shared" si="47"/>
        <v>NPP</v>
      </c>
      <c r="AE247" s="196" t="str">
        <f t="shared" si="48"/>
        <v>NPP320463</v>
      </c>
      <c r="AF247" s="196">
        <f t="shared" si="49"/>
        <v>0</v>
      </c>
    </row>
    <row r="248" spans="1:32" ht="12.95" hidden="1" customHeight="1">
      <c r="A248" s="190">
        <v>62500</v>
      </c>
      <c r="B248" s="191">
        <v>43558</v>
      </c>
      <c r="C248" s="190" t="s">
        <v>457</v>
      </c>
      <c r="D248" s="190" t="s">
        <v>515</v>
      </c>
      <c r="E248" s="190" t="s">
        <v>346</v>
      </c>
      <c r="F248" s="190" t="s">
        <v>516</v>
      </c>
      <c r="G248" s="192" t="s">
        <v>517</v>
      </c>
      <c r="H248" s="192" t="s">
        <v>296</v>
      </c>
      <c r="I248" s="192" t="s">
        <v>395</v>
      </c>
      <c r="J248" s="192" t="s">
        <v>350</v>
      </c>
      <c r="K248" s="190" t="s">
        <v>351</v>
      </c>
      <c r="L248" s="190" t="s">
        <v>387</v>
      </c>
      <c r="M248" s="192" t="s">
        <v>388</v>
      </c>
      <c r="N248" s="193">
        <v>1</v>
      </c>
      <c r="O248" s="193">
        <v>355455</v>
      </c>
      <c r="P248" s="194">
        <v>355455</v>
      </c>
      <c r="Q248" s="194">
        <v>35545.5</v>
      </c>
      <c r="R248" s="194">
        <v>391000.5</v>
      </c>
      <c r="S248" s="192"/>
      <c r="T248" s="192" t="s">
        <v>310</v>
      </c>
      <c r="U248" s="190">
        <v>60266</v>
      </c>
      <c r="V248" s="190"/>
      <c r="W248" s="195" t="s">
        <v>356</v>
      </c>
      <c r="X248" s="196" t="str">
        <f>+IFERROR(VLOOKUP($F248,'[2]Chuyển đổi mã'!$A$1:$C$91,3,0),$F248)&amp;AC248</f>
        <v>Big C North323620</v>
      </c>
      <c r="Y248" s="196" t="str">
        <f>IFERROR(VLOOKUP($F248,'[2]Chuyển đổi mã'!$A$1:$C$184,3,0),F248)</f>
        <v>Big C North</v>
      </c>
      <c r="Z248" s="196" t="str">
        <f>VLOOKUP($G248,'[2]Thông tin NPP'!$B:$D,3,0)</f>
        <v>BIG C North</v>
      </c>
      <c r="AA248" s="196" t="str">
        <f t="shared" si="45"/>
        <v>Ahh 16g</v>
      </c>
      <c r="AB248" s="196" t="str">
        <f>IFERROR(VLOOKUP(DAY(B248),'[2]Chuyển đổi mã'!$F$1:$G$32,2,0),0)</f>
        <v>W1</v>
      </c>
      <c r="AC248" s="196" t="str">
        <f t="shared" si="46"/>
        <v>323620</v>
      </c>
      <c r="AD248" s="196" t="str">
        <f t="shared" si="47"/>
        <v>NPP</v>
      </c>
      <c r="AE248" s="196" t="str">
        <f t="shared" si="48"/>
        <v>NPP323620</v>
      </c>
      <c r="AF248" s="196">
        <f t="shared" si="49"/>
        <v>0</v>
      </c>
    </row>
    <row r="249" spans="1:32" ht="12.95" hidden="1" customHeight="1">
      <c r="A249" s="190">
        <v>62500</v>
      </c>
      <c r="B249" s="191">
        <v>43558</v>
      </c>
      <c r="C249" s="190" t="s">
        <v>457</v>
      </c>
      <c r="D249" s="190" t="s">
        <v>515</v>
      </c>
      <c r="E249" s="190" t="s">
        <v>346</v>
      </c>
      <c r="F249" s="190" t="s">
        <v>516</v>
      </c>
      <c r="G249" s="192" t="s">
        <v>517</v>
      </c>
      <c r="H249" s="192" t="s">
        <v>296</v>
      </c>
      <c r="I249" s="192" t="s">
        <v>395</v>
      </c>
      <c r="J249" s="192" t="s">
        <v>350</v>
      </c>
      <c r="K249" s="190" t="s">
        <v>351</v>
      </c>
      <c r="L249" s="190" t="s">
        <v>357</v>
      </c>
      <c r="M249" s="192" t="s">
        <v>358</v>
      </c>
      <c r="N249" s="193">
        <v>4</v>
      </c>
      <c r="O249" s="193">
        <v>213273</v>
      </c>
      <c r="P249" s="194">
        <v>853092</v>
      </c>
      <c r="Q249" s="194">
        <v>85309.2</v>
      </c>
      <c r="R249" s="194">
        <v>938401.2</v>
      </c>
      <c r="S249" s="192"/>
      <c r="T249" s="192" t="s">
        <v>310</v>
      </c>
      <c r="U249" s="190">
        <v>60266</v>
      </c>
      <c r="V249" s="190"/>
      <c r="W249" s="195" t="s">
        <v>356</v>
      </c>
      <c r="X249" s="196" t="str">
        <f>+IFERROR(VLOOKUP($F249,'[2]Chuyển đổi mã'!$A$1:$C$91,3,0),$F249)&amp;AC249</f>
        <v>Big C North323555</v>
      </c>
      <c r="Y249" s="196" t="str">
        <f>IFERROR(VLOOKUP($F249,'[2]Chuyển đổi mã'!$A$1:$C$184,3,0),F249)</f>
        <v>Big C North</v>
      </c>
      <c r="Z249" s="196" t="str">
        <f>VLOOKUP($G249,'[2]Thông tin NPP'!$B:$D,3,0)</f>
        <v>BIG C North</v>
      </c>
      <c r="AA249" s="196" t="str">
        <f t="shared" si="45"/>
        <v>Na 17g - M</v>
      </c>
      <c r="AB249" s="196" t="str">
        <f>IFERROR(VLOOKUP(DAY(B249),'[2]Chuyển đổi mã'!$F$1:$G$32,2,0),0)</f>
        <v>W1</v>
      </c>
      <c r="AC249" s="196" t="str">
        <f t="shared" si="46"/>
        <v>323555</v>
      </c>
      <c r="AD249" s="196" t="str">
        <f t="shared" si="47"/>
        <v>NPP</v>
      </c>
      <c r="AE249" s="196" t="str">
        <f t="shared" si="48"/>
        <v>NPP323555</v>
      </c>
      <c r="AF249" s="196">
        <f t="shared" si="49"/>
        <v>0</v>
      </c>
    </row>
    <row r="250" spans="1:32" ht="12.95" hidden="1" customHeight="1">
      <c r="A250" s="190">
        <v>62500</v>
      </c>
      <c r="B250" s="191">
        <v>43558</v>
      </c>
      <c r="C250" s="190" t="s">
        <v>457</v>
      </c>
      <c r="D250" s="190" t="s">
        <v>515</v>
      </c>
      <c r="E250" s="190" t="s">
        <v>346</v>
      </c>
      <c r="F250" s="190" t="s">
        <v>516</v>
      </c>
      <c r="G250" s="192" t="s">
        <v>517</v>
      </c>
      <c r="H250" s="192" t="s">
        <v>296</v>
      </c>
      <c r="I250" s="192" t="s">
        <v>395</v>
      </c>
      <c r="J250" s="192" t="s">
        <v>350</v>
      </c>
      <c r="K250" s="190" t="s">
        <v>351</v>
      </c>
      <c r="L250" s="190" t="s">
        <v>359</v>
      </c>
      <c r="M250" s="192" t="s">
        <v>360</v>
      </c>
      <c r="N250" s="193">
        <v>2</v>
      </c>
      <c r="O250" s="193">
        <v>313636</v>
      </c>
      <c r="P250" s="194">
        <v>627272</v>
      </c>
      <c r="Q250" s="194">
        <v>62727.199999999997</v>
      </c>
      <c r="R250" s="194">
        <v>689999.2</v>
      </c>
      <c r="S250" s="192"/>
      <c r="T250" s="192" t="s">
        <v>310</v>
      </c>
      <c r="U250" s="190">
        <v>60266</v>
      </c>
      <c r="V250" s="190"/>
      <c r="W250" s="195" t="s">
        <v>356</v>
      </c>
      <c r="X250" s="196" t="str">
        <f>+IFERROR(VLOOKUP($F250,'[2]Chuyển đổi mã'!$A$1:$C$91,3,0),$F250)&amp;AC250</f>
        <v>Big C North320445</v>
      </c>
      <c r="Y250" s="196" t="str">
        <f>IFERROR(VLOOKUP($F250,'[2]Chuyển đổi mã'!$A$1:$C$184,3,0),F250)</f>
        <v>Big C North</v>
      </c>
      <c r="Z250" s="196" t="str">
        <f>VLOOKUP($G250,'[2]Thông tin NPP'!$B:$D,3,0)</f>
        <v>BIG C North</v>
      </c>
      <c r="AA250" s="196" t="str">
        <f t="shared" si="45"/>
        <v>Na 58g</v>
      </c>
      <c r="AB250" s="196" t="str">
        <f>IFERROR(VLOOKUP(DAY(B250),'[2]Chuyển đổi mã'!$F$1:$G$32,2,0),0)</f>
        <v>W1</v>
      </c>
      <c r="AC250" s="196" t="str">
        <f t="shared" si="46"/>
        <v>320445</v>
      </c>
      <c r="AD250" s="196" t="str">
        <f t="shared" si="47"/>
        <v>NPP</v>
      </c>
      <c r="AE250" s="196" t="str">
        <f t="shared" si="48"/>
        <v>NPP320445</v>
      </c>
      <c r="AF250" s="196">
        <f t="shared" si="49"/>
        <v>0</v>
      </c>
    </row>
    <row r="251" spans="1:32" ht="12.95" hidden="1" customHeight="1">
      <c r="A251" s="190">
        <v>62500</v>
      </c>
      <c r="B251" s="191">
        <v>43558</v>
      </c>
      <c r="C251" s="190" t="s">
        <v>457</v>
      </c>
      <c r="D251" s="190" t="s">
        <v>515</v>
      </c>
      <c r="E251" s="190" t="s">
        <v>346</v>
      </c>
      <c r="F251" s="190" t="s">
        <v>516</v>
      </c>
      <c r="G251" s="192" t="s">
        <v>517</v>
      </c>
      <c r="H251" s="192" t="s">
        <v>296</v>
      </c>
      <c r="I251" s="192" t="s">
        <v>395</v>
      </c>
      <c r="J251" s="192" t="s">
        <v>350</v>
      </c>
      <c r="K251" s="190" t="s">
        <v>351</v>
      </c>
      <c r="L251" s="190" t="s">
        <v>361</v>
      </c>
      <c r="M251" s="192" t="s">
        <v>362</v>
      </c>
      <c r="N251" s="193">
        <v>3</v>
      </c>
      <c r="O251" s="193">
        <v>313636</v>
      </c>
      <c r="P251" s="194">
        <v>940908</v>
      </c>
      <c r="Q251" s="194">
        <v>94090.8</v>
      </c>
      <c r="R251" s="194">
        <v>1034998.8</v>
      </c>
      <c r="S251" s="192"/>
      <c r="T251" s="192" t="s">
        <v>310</v>
      </c>
      <c r="U251" s="190">
        <v>60266</v>
      </c>
      <c r="V251" s="190"/>
      <c r="W251" s="195" t="s">
        <v>356</v>
      </c>
      <c r="X251" s="196" t="str">
        <f>+IFERROR(VLOOKUP($F251,'[2]Chuyển đổi mã'!$A$1:$C$91,3,0),$F251)&amp;AC251</f>
        <v>Big C North331017</v>
      </c>
      <c r="Y251" s="196" t="str">
        <f>IFERROR(VLOOKUP($F251,'[2]Chuyển đổi mã'!$A$1:$C$184,3,0),F251)</f>
        <v>Big C North</v>
      </c>
      <c r="Z251" s="196" t="str">
        <f>VLOOKUP($G251,'[2]Thông tin NPP'!$B:$D,3,0)</f>
        <v>BIG C North</v>
      </c>
      <c r="AA251" s="196" t="str">
        <f t="shared" si="45"/>
        <v>Richoco Wf</v>
      </c>
      <c r="AB251" s="196" t="str">
        <f>IFERROR(VLOOKUP(DAY(B251),'[2]Chuyển đổi mã'!$F$1:$G$32,2,0),0)</f>
        <v>W1</v>
      </c>
      <c r="AC251" s="196" t="str">
        <f t="shared" si="46"/>
        <v>331017</v>
      </c>
      <c r="AD251" s="196" t="str">
        <f t="shared" si="47"/>
        <v>NPP</v>
      </c>
      <c r="AE251" s="196" t="str">
        <f t="shared" si="48"/>
        <v>NPP331017</v>
      </c>
      <c r="AF251" s="196">
        <f t="shared" si="49"/>
        <v>0</v>
      </c>
    </row>
    <row r="252" spans="1:32" ht="12.95" hidden="1" customHeight="1">
      <c r="A252" s="190">
        <v>62500</v>
      </c>
      <c r="B252" s="191">
        <v>43558</v>
      </c>
      <c r="C252" s="190" t="s">
        <v>457</v>
      </c>
      <c r="D252" s="190" t="s">
        <v>515</v>
      </c>
      <c r="E252" s="190" t="s">
        <v>346</v>
      </c>
      <c r="F252" s="190" t="s">
        <v>516</v>
      </c>
      <c r="G252" s="192" t="s">
        <v>517</v>
      </c>
      <c r="H252" s="192" t="s">
        <v>296</v>
      </c>
      <c r="I252" s="192" t="s">
        <v>395</v>
      </c>
      <c r="J252" s="192" t="s">
        <v>350</v>
      </c>
      <c r="K252" s="190" t="s">
        <v>351</v>
      </c>
      <c r="L252" s="190" t="s">
        <v>363</v>
      </c>
      <c r="M252" s="192" t="s">
        <v>364</v>
      </c>
      <c r="N252" s="193">
        <v>3</v>
      </c>
      <c r="O252" s="193">
        <v>334545</v>
      </c>
      <c r="P252" s="194">
        <v>1003635</v>
      </c>
      <c r="Q252" s="194">
        <v>100363.5</v>
      </c>
      <c r="R252" s="194">
        <v>1103998.5</v>
      </c>
      <c r="S252" s="192"/>
      <c r="T252" s="192" t="s">
        <v>310</v>
      </c>
      <c r="U252" s="190">
        <v>60266</v>
      </c>
      <c r="V252" s="190"/>
      <c r="W252" s="195" t="s">
        <v>356</v>
      </c>
      <c r="X252" s="196" t="str">
        <f>+IFERROR(VLOOKUP($F252,'[2]Chuyển đổi mã'!$A$1:$C$91,3,0),$F252)&amp;AC252</f>
        <v>Big C North323708</v>
      </c>
      <c r="Y252" s="196" t="str">
        <f>IFERROR(VLOOKUP($F252,'[2]Chuyển đổi mã'!$A$1:$C$184,3,0),F252)</f>
        <v>Big C North</v>
      </c>
      <c r="Z252" s="196" t="str">
        <f>VLOOKUP($G252,'[2]Thông tin NPP'!$B:$D,3,0)</f>
        <v>BIG C North</v>
      </c>
      <c r="AA252" s="196" t="str">
        <f t="shared" si="45"/>
        <v>Nextar Bro</v>
      </c>
      <c r="AB252" s="196" t="str">
        <f>IFERROR(VLOOKUP(DAY(B252),'[2]Chuyển đổi mã'!$F$1:$G$32,2,0),0)</f>
        <v>W1</v>
      </c>
      <c r="AC252" s="196" t="str">
        <f t="shared" si="46"/>
        <v>323708</v>
      </c>
      <c r="AD252" s="196" t="str">
        <f t="shared" si="47"/>
        <v>NPP</v>
      </c>
      <c r="AE252" s="196" t="str">
        <f t="shared" si="48"/>
        <v>NPP323708</v>
      </c>
      <c r="AF252" s="196">
        <f t="shared" si="49"/>
        <v>0</v>
      </c>
    </row>
    <row r="253" spans="1:32" ht="12.95" hidden="1" customHeight="1">
      <c r="A253" s="190">
        <v>62500</v>
      </c>
      <c r="B253" s="191">
        <v>43558</v>
      </c>
      <c r="C253" s="190" t="s">
        <v>457</v>
      </c>
      <c r="D253" s="190" t="s">
        <v>515</v>
      </c>
      <c r="E253" s="190" t="s">
        <v>346</v>
      </c>
      <c r="F253" s="190" t="s">
        <v>516</v>
      </c>
      <c r="G253" s="192" t="s">
        <v>517</v>
      </c>
      <c r="H253" s="192" t="s">
        <v>296</v>
      </c>
      <c r="I253" s="192" t="s">
        <v>395</v>
      </c>
      <c r="J253" s="192" t="s">
        <v>350</v>
      </c>
      <c r="K253" s="190" t="s">
        <v>351</v>
      </c>
      <c r="L253" s="190" t="s">
        <v>365</v>
      </c>
      <c r="M253" s="192" t="s">
        <v>366</v>
      </c>
      <c r="N253" s="193">
        <v>2</v>
      </c>
      <c r="O253" s="193">
        <v>313636</v>
      </c>
      <c r="P253" s="194">
        <v>627272</v>
      </c>
      <c r="Q253" s="194">
        <v>62727.199999999997</v>
      </c>
      <c r="R253" s="194">
        <v>689999.2</v>
      </c>
      <c r="S253" s="192"/>
      <c r="T253" s="192" t="s">
        <v>310</v>
      </c>
      <c r="U253" s="190">
        <v>60266</v>
      </c>
      <c r="V253" s="190"/>
      <c r="W253" s="195" t="s">
        <v>356</v>
      </c>
      <c r="X253" s="196" t="str">
        <f>+IFERROR(VLOOKUP($F253,'[2]Chuyển đổi mã'!$A$1:$C$91,3,0),$F253)&amp;AC253</f>
        <v>Big C North323709</v>
      </c>
      <c r="Y253" s="196" t="str">
        <f>IFERROR(VLOOKUP($F253,'[2]Chuyển đổi mã'!$A$1:$C$184,3,0),F253)</f>
        <v>Big C North</v>
      </c>
      <c r="Z253" s="196" t="str">
        <f>VLOOKUP($G253,'[2]Thông tin NPP'!$B:$D,3,0)</f>
        <v>BIG C North</v>
      </c>
      <c r="AA253" s="196" t="str">
        <f t="shared" si="45"/>
        <v>Nextar Bro</v>
      </c>
      <c r="AB253" s="196" t="str">
        <f>IFERROR(VLOOKUP(DAY(B253),'[2]Chuyển đổi mã'!$F$1:$G$32,2,0),0)</f>
        <v>W1</v>
      </c>
      <c r="AC253" s="196" t="str">
        <f t="shared" si="46"/>
        <v>323709</v>
      </c>
      <c r="AD253" s="196" t="str">
        <f t="shared" si="47"/>
        <v>NPP</v>
      </c>
      <c r="AE253" s="196" t="str">
        <f t="shared" si="48"/>
        <v>NPP323709</v>
      </c>
      <c r="AF253" s="196">
        <f t="shared" si="49"/>
        <v>0</v>
      </c>
    </row>
    <row r="254" spans="1:32" ht="12.95" hidden="1" customHeight="1">
      <c r="A254" s="190">
        <v>62506</v>
      </c>
      <c r="B254" s="191">
        <v>43559</v>
      </c>
      <c r="C254" s="190" t="s">
        <v>457</v>
      </c>
      <c r="D254" s="190" t="s">
        <v>518</v>
      </c>
      <c r="E254" s="190" t="s">
        <v>346</v>
      </c>
      <c r="F254" s="190" t="s">
        <v>519</v>
      </c>
      <c r="G254" s="192" t="s">
        <v>520</v>
      </c>
      <c r="H254" s="192" t="s">
        <v>296</v>
      </c>
      <c r="I254" s="192" t="s">
        <v>395</v>
      </c>
      <c r="J254" s="192" t="s">
        <v>350</v>
      </c>
      <c r="K254" s="190" t="s">
        <v>351</v>
      </c>
      <c r="L254" s="190" t="s">
        <v>378</v>
      </c>
      <c r="M254" s="192" t="s">
        <v>379</v>
      </c>
      <c r="N254" s="193">
        <v>10</v>
      </c>
      <c r="O254" s="193">
        <v>213273</v>
      </c>
      <c r="P254" s="194">
        <v>2132730</v>
      </c>
      <c r="Q254" s="194">
        <v>213273</v>
      </c>
      <c r="R254" s="194">
        <v>2346003</v>
      </c>
      <c r="S254" s="192"/>
      <c r="T254" s="192" t="s">
        <v>310</v>
      </c>
      <c r="U254" s="190">
        <v>60281</v>
      </c>
      <c r="V254" s="190"/>
      <c r="W254" s="195" t="s">
        <v>356</v>
      </c>
      <c r="X254" s="196" t="str">
        <f>+IFERROR(VLOOKUP($F254,'[2]Chuyển đổi mã'!$A$1:$C$91,3,0),$F254)&amp;AC254</f>
        <v>Lotte North321238</v>
      </c>
      <c r="Y254" s="196" t="str">
        <f>IFERROR(VLOOKUP($F254,'[2]Chuyển đổi mã'!$A$1:$C$184,3,0),F254)</f>
        <v>Lotte North</v>
      </c>
      <c r="Z254" s="196" t="str">
        <f>VLOOKUP($G254,'[2]Thông tin NPP'!$B:$D,3,0)</f>
        <v>Lotte North</v>
      </c>
      <c r="AA254" s="196" t="str">
        <f t="shared" ref="AA254:AA257" si="50">LEFT($M254,10)</f>
        <v>Richoco Wf</v>
      </c>
      <c r="AB254" s="196" t="str">
        <f>IFERROR(VLOOKUP(DAY(B254),'[2]Chuyển đổi mã'!$F$1:$G$32,2,0),0)</f>
        <v>W1</v>
      </c>
      <c r="AC254" s="196" t="str">
        <f t="shared" ref="AC254:AC257" si="51">LEFT(L254,6)</f>
        <v>321238</v>
      </c>
      <c r="AD254" s="196" t="str">
        <f t="shared" ref="AD254:AD257" si="52">LEFT(F254,3)</f>
        <v>NPP</v>
      </c>
      <c r="AE254" s="196" t="str">
        <f t="shared" ref="AE254:AE257" si="53">AD254&amp;AC254</f>
        <v>NPP321238</v>
      </c>
      <c r="AF254" s="196">
        <f t="shared" ref="AF254:AF257" si="54">IF(RIGHT(L254,1)="P","P",0)</f>
        <v>0</v>
      </c>
    </row>
    <row r="255" spans="1:32" ht="12.95" hidden="1" customHeight="1">
      <c r="A255" s="190">
        <v>62506</v>
      </c>
      <c r="B255" s="191">
        <v>43559</v>
      </c>
      <c r="C255" s="190" t="s">
        <v>457</v>
      </c>
      <c r="D255" s="190" t="s">
        <v>518</v>
      </c>
      <c r="E255" s="190" t="s">
        <v>346</v>
      </c>
      <c r="F255" s="190" t="s">
        <v>519</v>
      </c>
      <c r="G255" s="192" t="s">
        <v>520</v>
      </c>
      <c r="H255" s="192" t="s">
        <v>296</v>
      </c>
      <c r="I255" s="192" t="s">
        <v>395</v>
      </c>
      <c r="J255" s="192" t="s">
        <v>350</v>
      </c>
      <c r="K255" s="190" t="s">
        <v>351</v>
      </c>
      <c r="L255" s="190" t="s">
        <v>361</v>
      </c>
      <c r="M255" s="192" t="s">
        <v>362</v>
      </c>
      <c r="N255" s="193">
        <v>2</v>
      </c>
      <c r="O255" s="193">
        <v>300000</v>
      </c>
      <c r="P255" s="194">
        <v>600000</v>
      </c>
      <c r="Q255" s="194">
        <v>60000</v>
      </c>
      <c r="R255" s="194">
        <v>660000</v>
      </c>
      <c r="S255" s="192"/>
      <c r="T255" s="192" t="s">
        <v>310</v>
      </c>
      <c r="U255" s="190">
        <v>60281</v>
      </c>
      <c r="V255" s="190"/>
      <c r="W255" s="195" t="s">
        <v>356</v>
      </c>
      <c r="X255" s="196" t="str">
        <f>+IFERROR(VLOOKUP($F255,'[2]Chuyển đổi mã'!$A$1:$C$91,3,0),$F255)&amp;AC255</f>
        <v>Lotte North331017</v>
      </c>
      <c r="Y255" s="196" t="str">
        <f>IFERROR(VLOOKUP($F255,'[2]Chuyển đổi mã'!$A$1:$C$184,3,0),F255)</f>
        <v>Lotte North</v>
      </c>
      <c r="Z255" s="196" t="str">
        <f>VLOOKUP($G255,'[2]Thông tin NPP'!$B:$D,3,0)</f>
        <v>Lotte North</v>
      </c>
      <c r="AA255" s="196" t="str">
        <f t="shared" si="50"/>
        <v>Richoco Wf</v>
      </c>
      <c r="AB255" s="196" t="str">
        <f>IFERROR(VLOOKUP(DAY(B255),'[2]Chuyển đổi mã'!$F$1:$G$32,2,0),0)</f>
        <v>W1</v>
      </c>
      <c r="AC255" s="196" t="str">
        <f t="shared" si="51"/>
        <v>331017</v>
      </c>
      <c r="AD255" s="196" t="str">
        <f t="shared" si="52"/>
        <v>NPP</v>
      </c>
      <c r="AE255" s="196" t="str">
        <f t="shared" si="53"/>
        <v>NPP331017</v>
      </c>
      <c r="AF255" s="196">
        <f t="shared" si="54"/>
        <v>0</v>
      </c>
    </row>
    <row r="256" spans="1:32" ht="12.95" hidden="1" customHeight="1">
      <c r="A256" s="190">
        <v>62506</v>
      </c>
      <c r="B256" s="191">
        <v>43559</v>
      </c>
      <c r="C256" s="190" t="s">
        <v>457</v>
      </c>
      <c r="D256" s="190" t="s">
        <v>518</v>
      </c>
      <c r="E256" s="190" t="s">
        <v>346</v>
      </c>
      <c r="F256" s="190" t="s">
        <v>519</v>
      </c>
      <c r="G256" s="192" t="s">
        <v>520</v>
      </c>
      <c r="H256" s="192" t="s">
        <v>296</v>
      </c>
      <c r="I256" s="192" t="s">
        <v>395</v>
      </c>
      <c r="J256" s="192" t="s">
        <v>350</v>
      </c>
      <c r="K256" s="190" t="s">
        <v>351</v>
      </c>
      <c r="L256" s="190" t="s">
        <v>357</v>
      </c>
      <c r="M256" s="192" t="s">
        <v>358</v>
      </c>
      <c r="N256" s="193">
        <v>3</v>
      </c>
      <c r="O256" s="193">
        <v>213273</v>
      </c>
      <c r="P256" s="194">
        <v>639819</v>
      </c>
      <c r="Q256" s="194">
        <v>63981.9</v>
      </c>
      <c r="R256" s="194">
        <v>703800.9</v>
      </c>
      <c r="S256" s="192"/>
      <c r="T256" s="192" t="s">
        <v>310</v>
      </c>
      <c r="U256" s="190">
        <v>60281</v>
      </c>
      <c r="V256" s="190"/>
      <c r="W256" s="195" t="s">
        <v>356</v>
      </c>
      <c r="X256" s="196" t="str">
        <f>+IFERROR(VLOOKUP($F256,'[2]Chuyển đổi mã'!$A$1:$C$91,3,0),$F256)&amp;AC256</f>
        <v>Lotte North323555</v>
      </c>
      <c r="Y256" s="196" t="str">
        <f>IFERROR(VLOOKUP($F256,'[2]Chuyển đổi mã'!$A$1:$C$184,3,0),F256)</f>
        <v>Lotte North</v>
      </c>
      <c r="Z256" s="196" t="str">
        <f>VLOOKUP($G256,'[2]Thông tin NPP'!$B:$D,3,0)</f>
        <v>Lotte North</v>
      </c>
      <c r="AA256" s="196" t="str">
        <f t="shared" si="50"/>
        <v>Na 17g - M</v>
      </c>
      <c r="AB256" s="196" t="str">
        <f>IFERROR(VLOOKUP(DAY(B256),'[2]Chuyển đổi mã'!$F$1:$G$32,2,0),0)</f>
        <v>W1</v>
      </c>
      <c r="AC256" s="196" t="str">
        <f t="shared" si="51"/>
        <v>323555</v>
      </c>
      <c r="AD256" s="196" t="str">
        <f t="shared" si="52"/>
        <v>NPP</v>
      </c>
      <c r="AE256" s="196" t="str">
        <f t="shared" si="53"/>
        <v>NPP323555</v>
      </c>
      <c r="AF256" s="196">
        <f t="shared" si="54"/>
        <v>0</v>
      </c>
    </row>
    <row r="257" spans="1:32" ht="12.95" hidden="1" customHeight="1">
      <c r="A257" s="190">
        <v>62506</v>
      </c>
      <c r="B257" s="191">
        <v>43559</v>
      </c>
      <c r="C257" s="190" t="s">
        <v>457</v>
      </c>
      <c r="D257" s="190" t="s">
        <v>518</v>
      </c>
      <c r="E257" s="190" t="s">
        <v>346</v>
      </c>
      <c r="F257" s="190" t="s">
        <v>519</v>
      </c>
      <c r="G257" s="192" t="s">
        <v>520</v>
      </c>
      <c r="H257" s="192" t="s">
        <v>296</v>
      </c>
      <c r="I257" s="192" t="s">
        <v>395</v>
      </c>
      <c r="J257" s="192" t="s">
        <v>350</v>
      </c>
      <c r="K257" s="190" t="s">
        <v>351</v>
      </c>
      <c r="L257" s="190" t="s">
        <v>363</v>
      </c>
      <c r="M257" s="192" t="s">
        <v>364</v>
      </c>
      <c r="N257" s="193">
        <v>10</v>
      </c>
      <c r="O257" s="193">
        <v>320000</v>
      </c>
      <c r="P257" s="194">
        <v>3200000</v>
      </c>
      <c r="Q257" s="194">
        <v>320000</v>
      </c>
      <c r="R257" s="194">
        <v>3520000</v>
      </c>
      <c r="S257" s="192"/>
      <c r="T257" s="192" t="s">
        <v>310</v>
      </c>
      <c r="U257" s="190">
        <v>60281</v>
      </c>
      <c r="V257" s="190"/>
      <c r="W257" s="195" t="s">
        <v>356</v>
      </c>
      <c r="X257" s="196" t="str">
        <f>+IFERROR(VLOOKUP($F257,'[2]Chuyển đổi mã'!$A$1:$C$91,3,0),$F257)&amp;AC257</f>
        <v>Lotte North323708</v>
      </c>
      <c r="Y257" s="196" t="str">
        <f>IFERROR(VLOOKUP($F257,'[2]Chuyển đổi mã'!$A$1:$C$184,3,0),F257)</f>
        <v>Lotte North</v>
      </c>
      <c r="Z257" s="196" t="str">
        <f>VLOOKUP($G257,'[2]Thông tin NPP'!$B:$D,3,0)</f>
        <v>Lotte North</v>
      </c>
      <c r="AA257" s="196" t="str">
        <f t="shared" si="50"/>
        <v>Nextar Bro</v>
      </c>
      <c r="AB257" s="196" t="str">
        <f>IFERROR(VLOOKUP(DAY(B257),'[2]Chuyển đổi mã'!$F$1:$G$32,2,0),0)</f>
        <v>W1</v>
      </c>
      <c r="AC257" s="196" t="str">
        <f t="shared" si="51"/>
        <v>323708</v>
      </c>
      <c r="AD257" s="196" t="str">
        <f t="shared" si="52"/>
        <v>NPP</v>
      </c>
      <c r="AE257" s="196" t="str">
        <f t="shared" si="53"/>
        <v>NPP323708</v>
      </c>
      <c r="AF257" s="196">
        <f t="shared" si="54"/>
        <v>0</v>
      </c>
    </row>
    <row r="258" spans="1:32" ht="12.95" customHeight="1">
      <c r="A258" s="190">
        <v>62520</v>
      </c>
      <c r="B258" s="191">
        <v>43560</v>
      </c>
      <c r="C258" s="190" t="s">
        <v>457</v>
      </c>
      <c r="D258" s="190" t="s">
        <v>521</v>
      </c>
      <c r="E258" s="190" t="s">
        <v>346</v>
      </c>
      <c r="F258" s="190" t="s">
        <v>522</v>
      </c>
      <c r="G258" s="192" t="s">
        <v>523</v>
      </c>
      <c r="H258" s="192" t="s">
        <v>296</v>
      </c>
      <c r="I258" s="192" t="s">
        <v>349</v>
      </c>
      <c r="J258" s="192" t="s">
        <v>350</v>
      </c>
      <c r="K258" s="190" t="s">
        <v>351</v>
      </c>
      <c r="L258" s="190" t="s">
        <v>352</v>
      </c>
      <c r="M258" s="192" t="s">
        <v>353</v>
      </c>
      <c r="N258" s="193">
        <v>5</v>
      </c>
      <c r="O258" s="193">
        <v>119700.35</v>
      </c>
      <c r="P258" s="194">
        <v>598501.75</v>
      </c>
      <c r="Q258" s="194">
        <v>59850.175000000003</v>
      </c>
      <c r="R258" s="194">
        <v>658351.92500000005</v>
      </c>
      <c r="S258" s="192" t="s">
        <v>354</v>
      </c>
      <c r="T258" s="192" t="s">
        <v>355</v>
      </c>
      <c r="U258" s="190">
        <v>60304</v>
      </c>
      <c r="V258" s="190"/>
      <c r="W258" s="195" t="s">
        <v>356</v>
      </c>
      <c r="X258" s="196" t="str">
        <f>+IFERROR(VLOOKUP($F258,'[2]Chuyển đổi mã'!$A$1:$C$91,3,0),$F258)&amp;AC258</f>
        <v>Big C South320463</v>
      </c>
      <c r="Y258" s="196" t="str">
        <f>IFERROR(VLOOKUP($F258,'[2]Chuyển đổi mã'!$A$1:$C$184,3,0),F258)</f>
        <v>Big C South</v>
      </c>
      <c r="Z258" s="196" t="str">
        <f>VLOOKUP($G258,'[2]Thông tin NPP'!$B:$D,3,0)</f>
        <v>Big C South</v>
      </c>
      <c r="AA258" s="196" t="str">
        <f t="shared" ref="AA258:AA293" si="55">LEFT($M258,10)</f>
        <v>Na 8,5g</v>
      </c>
      <c r="AB258" s="196" t="str">
        <f>IFERROR(VLOOKUP(DAY(B258),'[2]Chuyển đổi mã'!$F$1:$G$32,2,0),0)</f>
        <v>W1</v>
      </c>
      <c r="AC258" s="196" t="str">
        <f t="shared" ref="AC258:AC293" si="56">LEFT(L258,6)</f>
        <v>320463</v>
      </c>
      <c r="AD258" s="196" t="str">
        <f t="shared" ref="AD258:AD293" si="57">LEFT(F258,3)</f>
        <v>NPP</v>
      </c>
      <c r="AE258" s="196" t="str">
        <f t="shared" ref="AE258:AE293" si="58">AD258&amp;AC258</f>
        <v>NPP320463</v>
      </c>
      <c r="AF258" s="196">
        <f t="shared" ref="AF258:AF293" si="59">IF(RIGHT(L258,1)="P","P",0)</f>
        <v>0</v>
      </c>
    </row>
    <row r="259" spans="1:32" ht="12.95" customHeight="1">
      <c r="A259" s="190">
        <v>62520</v>
      </c>
      <c r="B259" s="191">
        <v>43560</v>
      </c>
      <c r="C259" s="190" t="s">
        <v>457</v>
      </c>
      <c r="D259" s="190" t="s">
        <v>521</v>
      </c>
      <c r="E259" s="190" t="s">
        <v>346</v>
      </c>
      <c r="F259" s="190" t="s">
        <v>522</v>
      </c>
      <c r="G259" s="192" t="s">
        <v>523</v>
      </c>
      <c r="H259" s="192" t="s">
        <v>296</v>
      </c>
      <c r="I259" s="192" t="s">
        <v>349</v>
      </c>
      <c r="J259" s="192" t="s">
        <v>350</v>
      </c>
      <c r="K259" s="190" t="s">
        <v>351</v>
      </c>
      <c r="L259" s="190" t="s">
        <v>387</v>
      </c>
      <c r="M259" s="192" t="s">
        <v>388</v>
      </c>
      <c r="N259" s="193">
        <v>5</v>
      </c>
      <c r="O259" s="193">
        <v>355455</v>
      </c>
      <c r="P259" s="194">
        <v>1777275</v>
      </c>
      <c r="Q259" s="194">
        <v>177727.5</v>
      </c>
      <c r="R259" s="194">
        <v>1955002.5</v>
      </c>
      <c r="S259" s="192"/>
      <c r="T259" s="192" t="s">
        <v>310</v>
      </c>
      <c r="U259" s="190">
        <v>60304</v>
      </c>
      <c r="V259" s="190"/>
      <c r="W259" s="195" t="s">
        <v>356</v>
      </c>
      <c r="X259" s="196" t="str">
        <f>+IFERROR(VLOOKUP($F259,'[2]Chuyển đổi mã'!$A$1:$C$91,3,0),$F259)&amp;AC259</f>
        <v>Big C South323620</v>
      </c>
      <c r="Y259" s="196" t="str">
        <f>IFERROR(VLOOKUP($F259,'[2]Chuyển đổi mã'!$A$1:$C$184,3,0),F259)</f>
        <v>Big C South</v>
      </c>
      <c r="Z259" s="196" t="str">
        <f>VLOOKUP($G259,'[2]Thông tin NPP'!$B:$D,3,0)</f>
        <v>Big C South</v>
      </c>
      <c r="AA259" s="196" t="str">
        <f t="shared" si="55"/>
        <v>Ahh 16g</v>
      </c>
      <c r="AB259" s="196" t="str">
        <f>IFERROR(VLOOKUP(DAY(B259),'[2]Chuyển đổi mã'!$F$1:$G$32,2,0),0)</f>
        <v>W1</v>
      </c>
      <c r="AC259" s="196" t="str">
        <f t="shared" si="56"/>
        <v>323620</v>
      </c>
      <c r="AD259" s="196" t="str">
        <f t="shared" si="57"/>
        <v>NPP</v>
      </c>
      <c r="AE259" s="196" t="str">
        <f t="shared" si="58"/>
        <v>NPP323620</v>
      </c>
      <c r="AF259" s="196">
        <f t="shared" si="59"/>
        <v>0</v>
      </c>
    </row>
    <row r="260" spans="1:32" ht="12.95" customHeight="1">
      <c r="A260" s="190">
        <v>62520</v>
      </c>
      <c r="B260" s="191">
        <v>43560</v>
      </c>
      <c r="C260" s="190" t="s">
        <v>457</v>
      </c>
      <c r="D260" s="190" t="s">
        <v>521</v>
      </c>
      <c r="E260" s="190" t="s">
        <v>346</v>
      </c>
      <c r="F260" s="190" t="s">
        <v>522</v>
      </c>
      <c r="G260" s="192" t="s">
        <v>523</v>
      </c>
      <c r="H260" s="192" t="s">
        <v>296</v>
      </c>
      <c r="I260" s="192" t="s">
        <v>349</v>
      </c>
      <c r="J260" s="192" t="s">
        <v>350</v>
      </c>
      <c r="K260" s="190" t="s">
        <v>351</v>
      </c>
      <c r="L260" s="190" t="s">
        <v>359</v>
      </c>
      <c r="M260" s="192" t="s">
        <v>360</v>
      </c>
      <c r="N260" s="193">
        <v>4</v>
      </c>
      <c r="O260" s="193">
        <v>313636</v>
      </c>
      <c r="P260" s="194">
        <v>1254544</v>
      </c>
      <c r="Q260" s="194">
        <v>125454.39999999999</v>
      </c>
      <c r="R260" s="194">
        <v>1379998.4</v>
      </c>
      <c r="S260" s="192"/>
      <c r="T260" s="192" t="s">
        <v>310</v>
      </c>
      <c r="U260" s="190">
        <v>60304</v>
      </c>
      <c r="V260" s="190"/>
      <c r="W260" s="195" t="s">
        <v>356</v>
      </c>
      <c r="X260" s="196" t="str">
        <f>+IFERROR(VLOOKUP($F260,'[2]Chuyển đổi mã'!$A$1:$C$91,3,0),$F260)&amp;AC260</f>
        <v>Big C South320445</v>
      </c>
      <c r="Y260" s="196" t="str">
        <f>IFERROR(VLOOKUP($F260,'[2]Chuyển đổi mã'!$A$1:$C$184,3,0),F260)</f>
        <v>Big C South</v>
      </c>
      <c r="Z260" s="196" t="str">
        <f>VLOOKUP($G260,'[2]Thông tin NPP'!$B:$D,3,0)</f>
        <v>Big C South</v>
      </c>
      <c r="AA260" s="196" t="str">
        <f t="shared" si="55"/>
        <v>Na 58g</v>
      </c>
      <c r="AB260" s="196" t="str">
        <f>IFERROR(VLOOKUP(DAY(B260),'[2]Chuyển đổi mã'!$F$1:$G$32,2,0),0)</f>
        <v>W1</v>
      </c>
      <c r="AC260" s="196" t="str">
        <f t="shared" si="56"/>
        <v>320445</v>
      </c>
      <c r="AD260" s="196" t="str">
        <f t="shared" si="57"/>
        <v>NPP</v>
      </c>
      <c r="AE260" s="196" t="str">
        <f t="shared" si="58"/>
        <v>NPP320445</v>
      </c>
      <c r="AF260" s="196">
        <f t="shared" si="59"/>
        <v>0</v>
      </c>
    </row>
    <row r="261" spans="1:32" ht="12.95" customHeight="1">
      <c r="A261" s="190">
        <v>62520</v>
      </c>
      <c r="B261" s="191">
        <v>43560</v>
      </c>
      <c r="C261" s="190" t="s">
        <v>457</v>
      </c>
      <c r="D261" s="190" t="s">
        <v>521</v>
      </c>
      <c r="E261" s="190" t="s">
        <v>346</v>
      </c>
      <c r="F261" s="190" t="s">
        <v>522</v>
      </c>
      <c r="G261" s="192" t="s">
        <v>523</v>
      </c>
      <c r="H261" s="192" t="s">
        <v>296</v>
      </c>
      <c r="I261" s="192" t="s">
        <v>349</v>
      </c>
      <c r="J261" s="192" t="s">
        <v>350</v>
      </c>
      <c r="K261" s="190" t="s">
        <v>351</v>
      </c>
      <c r="L261" s="190" t="s">
        <v>361</v>
      </c>
      <c r="M261" s="192" t="s">
        <v>362</v>
      </c>
      <c r="N261" s="193">
        <v>2</v>
      </c>
      <c r="O261" s="193">
        <v>313636</v>
      </c>
      <c r="P261" s="194">
        <v>627272</v>
      </c>
      <c r="Q261" s="194">
        <v>62727.199999999997</v>
      </c>
      <c r="R261" s="194">
        <v>689999.2</v>
      </c>
      <c r="S261" s="192"/>
      <c r="T261" s="192" t="s">
        <v>310</v>
      </c>
      <c r="U261" s="190">
        <v>60304</v>
      </c>
      <c r="V261" s="190"/>
      <c r="W261" s="195" t="s">
        <v>356</v>
      </c>
      <c r="X261" s="196" t="str">
        <f>+IFERROR(VLOOKUP($F261,'[2]Chuyển đổi mã'!$A$1:$C$91,3,0),$F261)&amp;AC261</f>
        <v>Big C South331017</v>
      </c>
      <c r="Y261" s="196" t="str">
        <f>IFERROR(VLOOKUP($F261,'[2]Chuyển đổi mã'!$A$1:$C$184,3,0),F261)</f>
        <v>Big C South</v>
      </c>
      <c r="Z261" s="196" t="str">
        <f>VLOOKUP($G261,'[2]Thông tin NPP'!$B:$D,3,0)</f>
        <v>Big C South</v>
      </c>
      <c r="AA261" s="196" t="str">
        <f t="shared" si="55"/>
        <v>Richoco Wf</v>
      </c>
      <c r="AB261" s="196" t="str">
        <f>IFERROR(VLOOKUP(DAY(B261),'[2]Chuyển đổi mã'!$F$1:$G$32,2,0),0)</f>
        <v>W1</v>
      </c>
      <c r="AC261" s="196" t="str">
        <f t="shared" si="56"/>
        <v>331017</v>
      </c>
      <c r="AD261" s="196" t="str">
        <f t="shared" si="57"/>
        <v>NPP</v>
      </c>
      <c r="AE261" s="196" t="str">
        <f t="shared" si="58"/>
        <v>NPP331017</v>
      </c>
      <c r="AF261" s="196">
        <f t="shared" si="59"/>
        <v>0</v>
      </c>
    </row>
    <row r="262" spans="1:32" ht="12.95" customHeight="1">
      <c r="A262" s="190">
        <v>62520</v>
      </c>
      <c r="B262" s="191">
        <v>43560</v>
      </c>
      <c r="C262" s="190" t="s">
        <v>457</v>
      </c>
      <c r="D262" s="190" t="s">
        <v>521</v>
      </c>
      <c r="E262" s="190" t="s">
        <v>346</v>
      </c>
      <c r="F262" s="190" t="s">
        <v>522</v>
      </c>
      <c r="G262" s="192" t="s">
        <v>523</v>
      </c>
      <c r="H262" s="192" t="s">
        <v>296</v>
      </c>
      <c r="I262" s="192" t="s">
        <v>349</v>
      </c>
      <c r="J262" s="192" t="s">
        <v>350</v>
      </c>
      <c r="K262" s="190" t="s">
        <v>351</v>
      </c>
      <c r="L262" s="190" t="s">
        <v>363</v>
      </c>
      <c r="M262" s="192" t="s">
        <v>364</v>
      </c>
      <c r="N262" s="193">
        <v>2</v>
      </c>
      <c r="O262" s="193">
        <v>334545</v>
      </c>
      <c r="P262" s="194">
        <v>669090</v>
      </c>
      <c r="Q262" s="194">
        <v>66909</v>
      </c>
      <c r="R262" s="194">
        <v>735999</v>
      </c>
      <c r="S262" s="192"/>
      <c r="T262" s="192" t="s">
        <v>310</v>
      </c>
      <c r="U262" s="190">
        <v>60304</v>
      </c>
      <c r="V262" s="190"/>
      <c r="W262" s="195" t="s">
        <v>356</v>
      </c>
      <c r="X262" s="196" t="str">
        <f>+IFERROR(VLOOKUP($F262,'[2]Chuyển đổi mã'!$A$1:$C$91,3,0),$F262)&amp;AC262</f>
        <v>Big C South323708</v>
      </c>
      <c r="Y262" s="196" t="str">
        <f>IFERROR(VLOOKUP($F262,'[2]Chuyển đổi mã'!$A$1:$C$184,3,0),F262)</f>
        <v>Big C South</v>
      </c>
      <c r="Z262" s="196" t="str">
        <f>VLOOKUP($G262,'[2]Thông tin NPP'!$B:$D,3,0)</f>
        <v>Big C South</v>
      </c>
      <c r="AA262" s="196" t="str">
        <f t="shared" si="55"/>
        <v>Nextar Bro</v>
      </c>
      <c r="AB262" s="196" t="str">
        <f>IFERROR(VLOOKUP(DAY(B262),'[2]Chuyển đổi mã'!$F$1:$G$32,2,0),0)</f>
        <v>W1</v>
      </c>
      <c r="AC262" s="196" t="str">
        <f t="shared" si="56"/>
        <v>323708</v>
      </c>
      <c r="AD262" s="196" t="str">
        <f t="shared" si="57"/>
        <v>NPP</v>
      </c>
      <c r="AE262" s="196" t="str">
        <f t="shared" si="58"/>
        <v>NPP323708</v>
      </c>
      <c r="AF262" s="196">
        <f t="shared" si="59"/>
        <v>0</v>
      </c>
    </row>
    <row r="263" spans="1:32" ht="12.95" customHeight="1">
      <c r="A263" s="190">
        <v>62521</v>
      </c>
      <c r="B263" s="191">
        <v>43560</v>
      </c>
      <c r="C263" s="190" t="s">
        <v>457</v>
      </c>
      <c r="D263" s="190" t="s">
        <v>524</v>
      </c>
      <c r="E263" s="190" t="s">
        <v>346</v>
      </c>
      <c r="F263" s="190" t="s">
        <v>525</v>
      </c>
      <c r="G263" s="192" t="s">
        <v>526</v>
      </c>
      <c r="H263" s="192" t="s">
        <v>296</v>
      </c>
      <c r="I263" s="192" t="s">
        <v>349</v>
      </c>
      <c r="J263" s="192" t="s">
        <v>350</v>
      </c>
      <c r="K263" s="190" t="s">
        <v>351</v>
      </c>
      <c r="L263" s="190" t="s">
        <v>352</v>
      </c>
      <c r="M263" s="192" t="s">
        <v>353</v>
      </c>
      <c r="N263" s="193">
        <v>5</v>
      </c>
      <c r="O263" s="193">
        <v>119700.35</v>
      </c>
      <c r="P263" s="194">
        <v>598501.75</v>
      </c>
      <c r="Q263" s="194">
        <v>59850.175000000003</v>
      </c>
      <c r="R263" s="194">
        <v>658351.92500000005</v>
      </c>
      <c r="S263" s="192" t="s">
        <v>354</v>
      </c>
      <c r="T263" s="192" t="s">
        <v>355</v>
      </c>
      <c r="U263" s="190">
        <v>60303</v>
      </c>
      <c r="V263" s="190"/>
      <c r="W263" s="195" t="s">
        <v>356</v>
      </c>
      <c r="X263" s="196" t="str">
        <f>+IFERROR(VLOOKUP($F263,'[2]Chuyển đổi mã'!$A$1:$C$91,3,0),$F263)&amp;AC263</f>
        <v>Big C South320463</v>
      </c>
      <c r="Y263" s="196" t="str">
        <f>IFERROR(VLOOKUP($F263,'[2]Chuyển đổi mã'!$A$1:$C$184,3,0),F263)</f>
        <v>Big C South</v>
      </c>
      <c r="Z263" s="196" t="str">
        <f>VLOOKUP($G263,'[2]Thông tin NPP'!$B:$D,3,0)</f>
        <v>BIG C South</v>
      </c>
      <c r="AA263" s="196" t="str">
        <f t="shared" si="55"/>
        <v>Na 8,5g</v>
      </c>
      <c r="AB263" s="196" t="str">
        <f>IFERROR(VLOOKUP(DAY(B263),'[2]Chuyển đổi mã'!$F$1:$G$32,2,0),0)</f>
        <v>W1</v>
      </c>
      <c r="AC263" s="196" t="str">
        <f t="shared" si="56"/>
        <v>320463</v>
      </c>
      <c r="AD263" s="196" t="str">
        <f t="shared" si="57"/>
        <v>NPP</v>
      </c>
      <c r="AE263" s="196" t="str">
        <f t="shared" si="58"/>
        <v>NPP320463</v>
      </c>
      <c r="AF263" s="196">
        <f t="shared" si="59"/>
        <v>0</v>
      </c>
    </row>
    <row r="264" spans="1:32" ht="12.95" customHeight="1">
      <c r="A264" s="190">
        <v>62521</v>
      </c>
      <c r="B264" s="191">
        <v>43560</v>
      </c>
      <c r="C264" s="190" t="s">
        <v>457</v>
      </c>
      <c r="D264" s="190" t="s">
        <v>524</v>
      </c>
      <c r="E264" s="190" t="s">
        <v>346</v>
      </c>
      <c r="F264" s="190" t="s">
        <v>525</v>
      </c>
      <c r="G264" s="192" t="s">
        <v>526</v>
      </c>
      <c r="H264" s="192" t="s">
        <v>296</v>
      </c>
      <c r="I264" s="192" t="s">
        <v>349</v>
      </c>
      <c r="J264" s="192" t="s">
        <v>350</v>
      </c>
      <c r="K264" s="190" t="s">
        <v>351</v>
      </c>
      <c r="L264" s="190" t="s">
        <v>387</v>
      </c>
      <c r="M264" s="192" t="s">
        <v>388</v>
      </c>
      <c r="N264" s="193">
        <v>3</v>
      </c>
      <c r="O264" s="193">
        <v>355455</v>
      </c>
      <c r="P264" s="194">
        <v>1066365</v>
      </c>
      <c r="Q264" s="194">
        <v>106636.5</v>
      </c>
      <c r="R264" s="194">
        <v>1173001.5</v>
      </c>
      <c r="S264" s="192"/>
      <c r="T264" s="192" t="s">
        <v>310</v>
      </c>
      <c r="U264" s="190">
        <v>60303</v>
      </c>
      <c r="V264" s="190"/>
      <c r="W264" s="195" t="s">
        <v>356</v>
      </c>
      <c r="X264" s="196" t="str">
        <f>+IFERROR(VLOOKUP($F264,'[2]Chuyển đổi mã'!$A$1:$C$91,3,0),$F264)&amp;AC264</f>
        <v>Big C South323620</v>
      </c>
      <c r="Y264" s="196" t="str">
        <f>IFERROR(VLOOKUP($F264,'[2]Chuyển đổi mã'!$A$1:$C$184,3,0),F264)</f>
        <v>Big C South</v>
      </c>
      <c r="Z264" s="196" t="str">
        <f>VLOOKUP($G264,'[2]Thông tin NPP'!$B:$D,3,0)</f>
        <v>BIG C South</v>
      </c>
      <c r="AA264" s="196" t="str">
        <f t="shared" si="55"/>
        <v>Ahh 16g</v>
      </c>
      <c r="AB264" s="196" t="str">
        <f>IFERROR(VLOOKUP(DAY(B264),'[2]Chuyển đổi mã'!$F$1:$G$32,2,0),0)</f>
        <v>W1</v>
      </c>
      <c r="AC264" s="196" t="str">
        <f t="shared" si="56"/>
        <v>323620</v>
      </c>
      <c r="AD264" s="196" t="str">
        <f t="shared" si="57"/>
        <v>NPP</v>
      </c>
      <c r="AE264" s="196" t="str">
        <f t="shared" si="58"/>
        <v>NPP323620</v>
      </c>
      <c r="AF264" s="196">
        <f t="shared" si="59"/>
        <v>0</v>
      </c>
    </row>
    <row r="265" spans="1:32" ht="12.95" customHeight="1">
      <c r="A265" s="190">
        <v>62521</v>
      </c>
      <c r="B265" s="191">
        <v>43560</v>
      </c>
      <c r="C265" s="190" t="s">
        <v>457</v>
      </c>
      <c r="D265" s="190" t="s">
        <v>524</v>
      </c>
      <c r="E265" s="190" t="s">
        <v>346</v>
      </c>
      <c r="F265" s="190" t="s">
        <v>525</v>
      </c>
      <c r="G265" s="192" t="s">
        <v>526</v>
      </c>
      <c r="H265" s="192" t="s">
        <v>296</v>
      </c>
      <c r="I265" s="192" t="s">
        <v>349</v>
      </c>
      <c r="J265" s="192" t="s">
        <v>350</v>
      </c>
      <c r="K265" s="190" t="s">
        <v>351</v>
      </c>
      <c r="L265" s="190" t="s">
        <v>357</v>
      </c>
      <c r="M265" s="192" t="s">
        <v>358</v>
      </c>
      <c r="N265" s="193">
        <v>9</v>
      </c>
      <c r="O265" s="193">
        <v>213273</v>
      </c>
      <c r="P265" s="194">
        <v>1919457</v>
      </c>
      <c r="Q265" s="194">
        <v>191945.7</v>
      </c>
      <c r="R265" s="194">
        <v>2111402.7000000002</v>
      </c>
      <c r="S265" s="192"/>
      <c r="T265" s="192" t="s">
        <v>310</v>
      </c>
      <c r="U265" s="190">
        <v>60303</v>
      </c>
      <c r="V265" s="190"/>
      <c r="W265" s="195" t="s">
        <v>356</v>
      </c>
      <c r="X265" s="196" t="str">
        <f>+IFERROR(VLOOKUP($F265,'[2]Chuyển đổi mã'!$A$1:$C$91,3,0),$F265)&amp;AC265</f>
        <v>Big C South323555</v>
      </c>
      <c r="Y265" s="196" t="str">
        <f>IFERROR(VLOOKUP($F265,'[2]Chuyển đổi mã'!$A$1:$C$184,3,0),F265)</f>
        <v>Big C South</v>
      </c>
      <c r="Z265" s="196" t="str">
        <f>VLOOKUP($G265,'[2]Thông tin NPP'!$B:$D,3,0)</f>
        <v>BIG C South</v>
      </c>
      <c r="AA265" s="196" t="str">
        <f t="shared" si="55"/>
        <v>Na 17g - M</v>
      </c>
      <c r="AB265" s="196" t="str">
        <f>IFERROR(VLOOKUP(DAY(B265),'[2]Chuyển đổi mã'!$F$1:$G$32,2,0),0)</f>
        <v>W1</v>
      </c>
      <c r="AC265" s="196" t="str">
        <f t="shared" si="56"/>
        <v>323555</v>
      </c>
      <c r="AD265" s="196" t="str">
        <f t="shared" si="57"/>
        <v>NPP</v>
      </c>
      <c r="AE265" s="196" t="str">
        <f t="shared" si="58"/>
        <v>NPP323555</v>
      </c>
      <c r="AF265" s="196">
        <f t="shared" si="59"/>
        <v>0</v>
      </c>
    </row>
    <row r="266" spans="1:32" ht="12.95" customHeight="1">
      <c r="A266" s="190">
        <v>62521</v>
      </c>
      <c r="B266" s="191">
        <v>43560</v>
      </c>
      <c r="C266" s="190" t="s">
        <v>457</v>
      </c>
      <c r="D266" s="190" t="s">
        <v>524</v>
      </c>
      <c r="E266" s="190" t="s">
        <v>346</v>
      </c>
      <c r="F266" s="190" t="s">
        <v>525</v>
      </c>
      <c r="G266" s="192" t="s">
        <v>526</v>
      </c>
      <c r="H266" s="192" t="s">
        <v>296</v>
      </c>
      <c r="I266" s="192" t="s">
        <v>349</v>
      </c>
      <c r="J266" s="192" t="s">
        <v>350</v>
      </c>
      <c r="K266" s="190" t="s">
        <v>351</v>
      </c>
      <c r="L266" s="190" t="s">
        <v>359</v>
      </c>
      <c r="M266" s="192" t="s">
        <v>360</v>
      </c>
      <c r="N266" s="193">
        <v>4</v>
      </c>
      <c r="O266" s="193">
        <v>313636</v>
      </c>
      <c r="P266" s="194">
        <v>1254544</v>
      </c>
      <c r="Q266" s="194">
        <v>125454.39999999999</v>
      </c>
      <c r="R266" s="194">
        <v>1379998.4</v>
      </c>
      <c r="S266" s="192"/>
      <c r="T266" s="192" t="s">
        <v>310</v>
      </c>
      <c r="U266" s="190">
        <v>60303</v>
      </c>
      <c r="V266" s="190"/>
      <c r="W266" s="195" t="s">
        <v>356</v>
      </c>
      <c r="X266" s="196" t="str">
        <f>+IFERROR(VLOOKUP($F266,'[2]Chuyển đổi mã'!$A$1:$C$91,3,0),$F266)&amp;AC266</f>
        <v>Big C South320445</v>
      </c>
      <c r="Y266" s="196" t="str">
        <f>IFERROR(VLOOKUP($F266,'[2]Chuyển đổi mã'!$A$1:$C$184,3,0),F266)</f>
        <v>Big C South</v>
      </c>
      <c r="Z266" s="196" t="str">
        <f>VLOOKUP($G266,'[2]Thông tin NPP'!$B:$D,3,0)</f>
        <v>BIG C South</v>
      </c>
      <c r="AA266" s="196" t="str">
        <f t="shared" si="55"/>
        <v>Na 58g</v>
      </c>
      <c r="AB266" s="196" t="str">
        <f>IFERROR(VLOOKUP(DAY(B266),'[2]Chuyển đổi mã'!$F$1:$G$32,2,0),0)</f>
        <v>W1</v>
      </c>
      <c r="AC266" s="196" t="str">
        <f t="shared" si="56"/>
        <v>320445</v>
      </c>
      <c r="AD266" s="196" t="str">
        <f t="shared" si="57"/>
        <v>NPP</v>
      </c>
      <c r="AE266" s="196" t="str">
        <f t="shared" si="58"/>
        <v>NPP320445</v>
      </c>
      <c r="AF266" s="196">
        <f t="shared" si="59"/>
        <v>0</v>
      </c>
    </row>
    <row r="267" spans="1:32" ht="12.95" customHeight="1">
      <c r="A267" s="190">
        <v>62521</v>
      </c>
      <c r="B267" s="191">
        <v>43560</v>
      </c>
      <c r="C267" s="190" t="s">
        <v>457</v>
      </c>
      <c r="D267" s="190" t="s">
        <v>524</v>
      </c>
      <c r="E267" s="190" t="s">
        <v>346</v>
      </c>
      <c r="F267" s="190" t="s">
        <v>525</v>
      </c>
      <c r="G267" s="192" t="s">
        <v>526</v>
      </c>
      <c r="H267" s="192" t="s">
        <v>296</v>
      </c>
      <c r="I267" s="192" t="s">
        <v>349</v>
      </c>
      <c r="J267" s="192" t="s">
        <v>350</v>
      </c>
      <c r="K267" s="190" t="s">
        <v>351</v>
      </c>
      <c r="L267" s="190" t="s">
        <v>361</v>
      </c>
      <c r="M267" s="192" t="s">
        <v>362</v>
      </c>
      <c r="N267" s="193">
        <v>1</v>
      </c>
      <c r="O267" s="193">
        <v>313636</v>
      </c>
      <c r="P267" s="194">
        <v>313636</v>
      </c>
      <c r="Q267" s="194">
        <v>31363.599999999999</v>
      </c>
      <c r="R267" s="194">
        <v>344999.6</v>
      </c>
      <c r="S267" s="192"/>
      <c r="T267" s="192" t="s">
        <v>310</v>
      </c>
      <c r="U267" s="190">
        <v>60303</v>
      </c>
      <c r="V267" s="190"/>
      <c r="W267" s="195" t="s">
        <v>356</v>
      </c>
      <c r="X267" s="196" t="str">
        <f>+IFERROR(VLOOKUP($F267,'[2]Chuyển đổi mã'!$A$1:$C$91,3,0),$F267)&amp;AC267</f>
        <v>Big C South331017</v>
      </c>
      <c r="Y267" s="196" t="str">
        <f>IFERROR(VLOOKUP($F267,'[2]Chuyển đổi mã'!$A$1:$C$184,3,0),F267)</f>
        <v>Big C South</v>
      </c>
      <c r="Z267" s="196" t="str">
        <f>VLOOKUP($G267,'[2]Thông tin NPP'!$B:$D,3,0)</f>
        <v>BIG C South</v>
      </c>
      <c r="AA267" s="196" t="str">
        <f t="shared" si="55"/>
        <v>Richoco Wf</v>
      </c>
      <c r="AB267" s="196" t="str">
        <f>IFERROR(VLOOKUP(DAY(B267),'[2]Chuyển đổi mã'!$F$1:$G$32,2,0),0)</f>
        <v>W1</v>
      </c>
      <c r="AC267" s="196" t="str">
        <f t="shared" si="56"/>
        <v>331017</v>
      </c>
      <c r="AD267" s="196" t="str">
        <f t="shared" si="57"/>
        <v>NPP</v>
      </c>
      <c r="AE267" s="196" t="str">
        <f t="shared" si="58"/>
        <v>NPP331017</v>
      </c>
      <c r="AF267" s="196">
        <f t="shared" si="59"/>
        <v>0</v>
      </c>
    </row>
    <row r="268" spans="1:32" ht="12.95" customHeight="1">
      <c r="A268" s="190">
        <v>62522</v>
      </c>
      <c r="B268" s="191">
        <v>43560</v>
      </c>
      <c r="C268" s="190" t="s">
        <v>457</v>
      </c>
      <c r="D268" s="190" t="s">
        <v>527</v>
      </c>
      <c r="E268" s="190" t="s">
        <v>346</v>
      </c>
      <c r="F268" s="190" t="s">
        <v>528</v>
      </c>
      <c r="G268" s="192" t="s">
        <v>529</v>
      </c>
      <c r="H268" s="192" t="s">
        <v>296</v>
      </c>
      <c r="I268" s="192" t="s">
        <v>349</v>
      </c>
      <c r="J268" s="192" t="s">
        <v>350</v>
      </c>
      <c r="K268" s="190" t="s">
        <v>351</v>
      </c>
      <c r="L268" s="190" t="s">
        <v>352</v>
      </c>
      <c r="M268" s="192" t="s">
        <v>353</v>
      </c>
      <c r="N268" s="193">
        <v>5</v>
      </c>
      <c r="O268" s="193">
        <v>119700.35</v>
      </c>
      <c r="P268" s="194">
        <v>598501.75</v>
      </c>
      <c r="Q268" s="194">
        <v>59850.175000000003</v>
      </c>
      <c r="R268" s="194">
        <v>658351.92500000005</v>
      </c>
      <c r="S268" s="192" t="s">
        <v>354</v>
      </c>
      <c r="T268" s="192" t="s">
        <v>355</v>
      </c>
      <c r="U268" s="190">
        <v>60302</v>
      </c>
      <c r="V268" s="190"/>
      <c r="W268" s="195" t="s">
        <v>356</v>
      </c>
      <c r="X268" s="196" t="str">
        <f>+IFERROR(VLOOKUP($F268,'[2]Chuyển đổi mã'!$A$1:$C$91,3,0),$F268)&amp;AC268</f>
        <v>Big C South320463</v>
      </c>
      <c r="Y268" s="196" t="str">
        <f>IFERROR(VLOOKUP($F268,'[2]Chuyển đổi mã'!$A$1:$C$184,3,0),F268)</f>
        <v>Big C South</v>
      </c>
      <c r="Z268" s="196" t="str">
        <f>VLOOKUP($G268,'[2]Thông tin NPP'!$B:$D,3,0)</f>
        <v>Big C South</v>
      </c>
      <c r="AA268" s="196" t="str">
        <f t="shared" si="55"/>
        <v>Na 8,5g</v>
      </c>
      <c r="AB268" s="196" t="str">
        <f>IFERROR(VLOOKUP(DAY(B268),'[2]Chuyển đổi mã'!$F$1:$G$32,2,0),0)</f>
        <v>W1</v>
      </c>
      <c r="AC268" s="196" t="str">
        <f t="shared" si="56"/>
        <v>320463</v>
      </c>
      <c r="AD268" s="196" t="str">
        <f t="shared" si="57"/>
        <v>NPP</v>
      </c>
      <c r="AE268" s="196" t="str">
        <f t="shared" si="58"/>
        <v>NPP320463</v>
      </c>
      <c r="AF268" s="196">
        <f t="shared" si="59"/>
        <v>0</v>
      </c>
    </row>
    <row r="269" spans="1:32" ht="12.95" customHeight="1">
      <c r="A269" s="190">
        <v>62522</v>
      </c>
      <c r="B269" s="191">
        <v>43560</v>
      </c>
      <c r="C269" s="190" t="s">
        <v>457</v>
      </c>
      <c r="D269" s="190" t="s">
        <v>527</v>
      </c>
      <c r="E269" s="190" t="s">
        <v>346</v>
      </c>
      <c r="F269" s="190" t="s">
        <v>528</v>
      </c>
      <c r="G269" s="192" t="s">
        <v>529</v>
      </c>
      <c r="H269" s="192" t="s">
        <v>296</v>
      </c>
      <c r="I269" s="192" t="s">
        <v>349</v>
      </c>
      <c r="J269" s="192" t="s">
        <v>350</v>
      </c>
      <c r="K269" s="190" t="s">
        <v>351</v>
      </c>
      <c r="L269" s="190" t="s">
        <v>387</v>
      </c>
      <c r="M269" s="192" t="s">
        <v>388</v>
      </c>
      <c r="N269" s="193">
        <v>5</v>
      </c>
      <c r="O269" s="193">
        <v>355455</v>
      </c>
      <c r="P269" s="194">
        <v>1777275</v>
      </c>
      <c r="Q269" s="194">
        <v>177727.5</v>
      </c>
      <c r="R269" s="194">
        <v>1955002.5</v>
      </c>
      <c r="S269" s="192"/>
      <c r="T269" s="192" t="s">
        <v>310</v>
      </c>
      <c r="U269" s="190">
        <v>60302</v>
      </c>
      <c r="V269" s="190"/>
      <c r="W269" s="195" t="s">
        <v>356</v>
      </c>
      <c r="X269" s="196" t="str">
        <f>+IFERROR(VLOOKUP($F269,'[2]Chuyển đổi mã'!$A$1:$C$91,3,0),$F269)&amp;AC269</f>
        <v>Big C South323620</v>
      </c>
      <c r="Y269" s="196" t="str">
        <f>IFERROR(VLOOKUP($F269,'[2]Chuyển đổi mã'!$A$1:$C$184,3,0),F269)</f>
        <v>Big C South</v>
      </c>
      <c r="Z269" s="196" t="str">
        <f>VLOOKUP($G269,'[2]Thông tin NPP'!$B:$D,3,0)</f>
        <v>Big C South</v>
      </c>
      <c r="AA269" s="196" t="str">
        <f t="shared" si="55"/>
        <v>Ahh 16g</v>
      </c>
      <c r="AB269" s="196" t="str">
        <f>IFERROR(VLOOKUP(DAY(B269),'[2]Chuyển đổi mã'!$F$1:$G$32,2,0),0)</f>
        <v>W1</v>
      </c>
      <c r="AC269" s="196" t="str">
        <f t="shared" si="56"/>
        <v>323620</v>
      </c>
      <c r="AD269" s="196" t="str">
        <f t="shared" si="57"/>
        <v>NPP</v>
      </c>
      <c r="AE269" s="196" t="str">
        <f t="shared" si="58"/>
        <v>NPP323620</v>
      </c>
      <c r="AF269" s="196">
        <f t="shared" si="59"/>
        <v>0</v>
      </c>
    </row>
    <row r="270" spans="1:32" ht="12.95" customHeight="1">
      <c r="A270" s="190">
        <v>62522</v>
      </c>
      <c r="B270" s="191">
        <v>43560</v>
      </c>
      <c r="C270" s="190" t="s">
        <v>457</v>
      </c>
      <c r="D270" s="190" t="s">
        <v>527</v>
      </c>
      <c r="E270" s="190" t="s">
        <v>346</v>
      </c>
      <c r="F270" s="190" t="s">
        <v>528</v>
      </c>
      <c r="G270" s="192" t="s">
        <v>529</v>
      </c>
      <c r="H270" s="192" t="s">
        <v>296</v>
      </c>
      <c r="I270" s="192" t="s">
        <v>349</v>
      </c>
      <c r="J270" s="192" t="s">
        <v>350</v>
      </c>
      <c r="K270" s="190" t="s">
        <v>351</v>
      </c>
      <c r="L270" s="190" t="s">
        <v>357</v>
      </c>
      <c r="M270" s="192" t="s">
        <v>358</v>
      </c>
      <c r="N270" s="193">
        <v>5</v>
      </c>
      <c r="O270" s="193">
        <v>213273</v>
      </c>
      <c r="P270" s="194">
        <v>1066365</v>
      </c>
      <c r="Q270" s="194">
        <v>106636.5</v>
      </c>
      <c r="R270" s="194">
        <v>1173001.5</v>
      </c>
      <c r="S270" s="192"/>
      <c r="T270" s="192" t="s">
        <v>310</v>
      </c>
      <c r="U270" s="190">
        <v>60302</v>
      </c>
      <c r="V270" s="190"/>
      <c r="W270" s="195" t="s">
        <v>356</v>
      </c>
      <c r="X270" s="196" t="str">
        <f>+IFERROR(VLOOKUP($F270,'[2]Chuyển đổi mã'!$A$1:$C$91,3,0),$F270)&amp;AC270</f>
        <v>Big C South323555</v>
      </c>
      <c r="Y270" s="196" t="str">
        <f>IFERROR(VLOOKUP($F270,'[2]Chuyển đổi mã'!$A$1:$C$184,3,0),F270)</f>
        <v>Big C South</v>
      </c>
      <c r="Z270" s="196" t="str">
        <f>VLOOKUP($G270,'[2]Thông tin NPP'!$B:$D,3,0)</f>
        <v>Big C South</v>
      </c>
      <c r="AA270" s="196" t="str">
        <f t="shared" si="55"/>
        <v>Na 17g - M</v>
      </c>
      <c r="AB270" s="196" t="str">
        <f>IFERROR(VLOOKUP(DAY(B270),'[2]Chuyển đổi mã'!$F$1:$G$32,2,0),0)</f>
        <v>W1</v>
      </c>
      <c r="AC270" s="196" t="str">
        <f t="shared" si="56"/>
        <v>323555</v>
      </c>
      <c r="AD270" s="196" t="str">
        <f t="shared" si="57"/>
        <v>NPP</v>
      </c>
      <c r="AE270" s="196" t="str">
        <f t="shared" si="58"/>
        <v>NPP323555</v>
      </c>
      <c r="AF270" s="196">
        <f t="shared" si="59"/>
        <v>0</v>
      </c>
    </row>
    <row r="271" spans="1:32" ht="12.95" customHeight="1">
      <c r="A271" s="190">
        <v>62522</v>
      </c>
      <c r="B271" s="191">
        <v>43560</v>
      </c>
      <c r="C271" s="190" t="s">
        <v>457</v>
      </c>
      <c r="D271" s="190" t="s">
        <v>527</v>
      </c>
      <c r="E271" s="190" t="s">
        <v>346</v>
      </c>
      <c r="F271" s="190" t="s">
        <v>528</v>
      </c>
      <c r="G271" s="192" t="s">
        <v>529</v>
      </c>
      <c r="H271" s="192" t="s">
        <v>296</v>
      </c>
      <c r="I271" s="192" t="s">
        <v>349</v>
      </c>
      <c r="J271" s="192" t="s">
        <v>350</v>
      </c>
      <c r="K271" s="190" t="s">
        <v>351</v>
      </c>
      <c r="L271" s="190" t="s">
        <v>359</v>
      </c>
      <c r="M271" s="192" t="s">
        <v>360</v>
      </c>
      <c r="N271" s="193">
        <v>2</v>
      </c>
      <c r="O271" s="193">
        <v>313636</v>
      </c>
      <c r="P271" s="194">
        <v>627272</v>
      </c>
      <c r="Q271" s="194">
        <v>62727.199999999997</v>
      </c>
      <c r="R271" s="194">
        <v>689999.2</v>
      </c>
      <c r="S271" s="192"/>
      <c r="T271" s="192" t="s">
        <v>310</v>
      </c>
      <c r="U271" s="190">
        <v>60302</v>
      </c>
      <c r="V271" s="190"/>
      <c r="W271" s="195" t="s">
        <v>356</v>
      </c>
      <c r="X271" s="196" t="str">
        <f>+IFERROR(VLOOKUP($F271,'[2]Chuyển đổi mã'!$A$1:$C$91,3,0),$F271)&amp;AC271</f>
        <v>Big C South320445</v>
      </c>
      <c r="Y271" s="196" t="str">
        <f>IFERROR(VLOOKUP($F271,'[2]Chuyển đổi mã'!$A$1:$C$184,3,0),F271)</f>
        <v>Big C South</v>
      </c>
      <c r="Z271" s="196" t="str">
        <f>VLOOKUP($G271,'[2]Thông tin NPP'!$B:$D,3,0)</f>
        <v>Big C South</v>
      </c>
      <c r="AA271" s="196" t="str">
        <f t="shared" si="55"/>
        <v>Na 58g</v>
      </c>
      <c r="AB271" s="196" t="str">
        <f>IFERROR(VLOOKUP(DAY(B271),'[2]Chuyển đổi mã'!$F$1:$G$32,2,0),0)</f>
        <v>W1</v>
      </c>
      <c r="AC271" s="196" t="str">
        <f t="shared" si="56"/>
        <v>320445</v>
      </c>
      <c r="AD271" s="196" t="str">
        <f t="shared" si="57"/>
        <v>NPP</v>
      </c>
      <c r="AE271" s="196" t="str">
        <f t="shared" si="58"/>
        <v>NPP320445</v>
      </c>
      <c r="AF271" s="196">
        <f t="shared" si="59"/>
        <v>0</v>
      </c>
    </row>
    <row r="272" spans="1:32" ht="12.95" customHeight="1">
      <c r="A272" s="190">
        <v>62522</v>
      </c>
      <c r="B272" s="191">
        <v>43560</v>
      </c>
      <c r="C272" s="190" t="s">
        <v>457</v>
      </c>
      <c r="D272" s="190" t="s">
        <v>527</v>
      </c>
      <c r="E272" s="190" t="s">
        <v>346</v>
      </c>
      <c r="F272" s="190" t="s">
        <v>528</v>
      </c>
      <c r="G272" s="192" t="s">
        <v>529</v>
      </c>
      <c r="H272" s="192" t="s">
        <v>296</v>
      </c>
      <c r="I272" s="192" t="s">
        <v>349</v>
      </c>
      <c r="J272" s="192" t="s">
        <v>350</v>
      </c>
      <c r="K272" s="190" t="s">
        <v>351</v>
      </c>
      <c r="L272" s="190" t="s">
        <v>361</v>
      </c>
      <c r="M272" s="192" t="s">
        <v>362</v>
      </c>
      <c r="N272" s="193">
        <v>1</v>
      </c>
      <c r="O272" s="193">
        <v>313636</v>
      </c>
      <c r="P272" s="194">
        <v>313636</v>
      </c>
      <c r="Q272" s="194">
        <v>31363.599999999999</v>
      </c>
      <c r="R272" s="194">
        <v>344999.6</v>
      </c>
      <c r="S272" s="192"/>
      <c r="T272" s="192" t="s">
        <v>310</v>
      </c>
      <c r="U272" s="190">
        <v>60302</v>
      </c>
      <c r="V272" s="190"/>
      <c r="W272" s="195" t="s">
        <v>356</v>
      </c>
      <c r="X272" s="196" t="str">
        <f>+IFERROR(VLOOKUP($F272,'[2]Chuyển đổi mã'!$A$1:$C$91,3,0),$F272)&amp;AC272</f>
        <v>Big C South331017</v>
      </c>
      <c r="Y272" s="196" t="str">
        <f>IFERROR(VLOOKUP($F272,'[2]Chuyển đổi mã'!$A$1:$C$184,3,0),F272)</f>
        <v>Big C South</v>
      </c>
      <c r="Z272" s="196" t="str">
        <f>VLOOKUP($G272,'[2]Thông tin NPP'!$B:$D,3,0)</f>
        <v>Big C South</v>
      </c>
      <c r="AA272" s="196" t="str">
        <f t="shared" si="55"/>
        <v>Richoco Wf</v>
      </c>
      <c r="AB272" s="196" t="str">
        <f>IFERROR(VLOOKUP(DAY(B272),'[2]Chuyển đổi mã'!$F$1:$G$32,2,0),0)</f>
        <v>W1</v>
      </c>
      <c r="AC272" s="196" t="str">
        <f t="shared" si="56"/>
        <v>331017</v>
      </c>
      <c r="AD272" s="196" t="str">
        <f t="shared" si="57"/>
        <v>NPP</v>
      </c>
      <c r="AE272" s="196" t="str">
        <f t="shared" si="58"/>
        <v>NPP331017</v>
      </c>
      <c r="AF272" s="196">
        <f t="shared" si="59"/>
        <v>0</v>
      </c>
    </row>
    <row r="273" spans="1:32" ht="12.95" customHeight="1">
      <c r="A273" s="190">
        <v>62522</v>
      </c>
      <c r="B273" s="191">
        <v>43560</v>
      </c>
      <c r="C273" s="190" t="s">
        <v>457</v>
      </c>
      <c r="D273" s="190" t="s">
        <v>527</v>
      </c>
      <c r="E273" s="190" t="s">
        <v>346</v>
      </c>
      <c r="F273" s="190" t="s">
        <v>528</v>
      </c>
      <c r="G273" s="192" t="s">
        <v>529</v>
      </c>
      <c r="H273" s="192" t="s">
        <v>296</v>
      </c>
      <c r="I273" s="192" t="s">
        <v>349</v>
      </c>
      <c r="J273" s="192" t="s">
        <v>350</v>
      </c>
      <c r="K273" s="190" t="s">
        <v>351</v>
      </c>
      <c r="L273" s="190" t="s">
        <v>363</v>
      </c>
      <c r="M273" s="192" t="s">
        <v>364</v>
      </c>
      <c r="N273" s="193">
        <v>2</v>
      </c>
      <c r="O273" s="193">
        <v>334545</v>
      </c>
      <c r="P273" s="194">
        <v>669090</v>
      </c>
      <c r="Q273" s="194">
        <v>66909</v>
      </c>
      <c r="R273" s="194">
        <v>735999</v>
      </c>
      <c r="S273" s="192"/>
      <c r="T273" s="192" t="s">
        <v>310</v>
      </c>
      <c r="U273" s="190">
        <v>60302</v>
      </c>
      <c r="V273" s="190"/>
      <c r="W273" s="195" t="s">
        <v>356</v>
      </c>
      <c r="X273" s="196" t="str">
        <f>+IFERROR(VLOOKUP($F273,'[2]Chuyển đổi mã'!$A$1:$C$91,3,0),$F273)&amp;AC273</f>
        <v>Big C South323708</v>
      </c>
      <c r="Y273" s="196" t="str">
        <f>IFERROR(VLOOKUP($F273,'[2]Chuyển đổi mã'!$A$1:$C$184,3,0),F273)</f>
        <v>Big C South</v>
      </c>
      <c r="Z273" s="196" t="str">
        <f>VLOOKUP($G273,'[2]Thông tin NPP'!$B:$D,3,0)</f>
        <v>Big C South</v>
      </c>
      <c r="AA273" s="196" t="str">
        <f t="shared" si="55"/>
        <v>Nextar Bro</v>
      </c>
      <c r="AB273" s="196" t="str">
        <f>IFERROR(VLOOKUP(DAY(B273),'[2]Chuyển đổi mã'!$F$1:$G$32,2,0),0)</f>
        <v>W1</v>
      </c>
      <c r="AC273" s="196" t="str">
        <f t="shared" si="56"/>
        <v>323708</v>
      </c>
      <c r="AD273" s="196" t="str">
        <f t="shared" si="57"/>
        <v>NPP</v>
      </c>
      <c r="AE273" s="196" t="str">
        <f t="shared" si="58"/>
        <v>NPP323708</v>
      </c>
      <c r="AF273" s="196">
        <f t="shared" si="59"/>
        <v>0</v>
      </c>
    </row>
    <row r="274" spans="1:32" ht="12.95" customHeight="1">
      <c r="A274" s="190">
        <v>62523</v>
      </c>
      <c r="B274" s="191">
        <v>43560</v>
      </c>
      <c r="C274" s="190" t="s">
        <v>457</v>
      </c>
      <c r="D274" s="190" t="s">
        <v>530</v>
      </c>
      <c r="E274" s="190" t="s">
        <v>346</v>
      </c>
      <c r="F274" s="190" t="s">
        <v>531</v>
      </c>
      <c r="G274" s="192" t="s">
        <v>532</v>
      </c>
      <c r="H274" s="192" t="s">
        <v>296</v>
      </c>
      <c r="I274" s="192" t="s">
        <v>349</v>
      </c>
      <c r="J274" s="192" t="s">
        <v>350</v>
      </c>
      <c r="K274" s="190" t="s">
        <v>351</v>
      </c>
      <c r="L274" s="190" t="s">
        <v>352</v>
      </c>
      <c r="M274" s="192" t="s">
        <v>353</v>
      </c>
      <c r="N274" s="193">
        <v>50</v>
      </c>
      <c r="O274" s="193">
        <v>119700.35</v>
      </c>
      <c r="P274" s="194">
        <v>5985017.5</v>
      </c>
      <c r="Q274" s="194">
        <v>598501.75</v>
      </c>
      <c r="R274" s="194">
        <v>6583519.25</v>
      </c>
      <c r="S274" s="192" t="s">
        <v>354</v>
      </c>
      <c r="T274" s="192" t="s">
        <v>355</v>
      </c>
      <c r="U274" s="190">
        <v>60301</v>
      </c>
      <c r="V274" s="190"/>
      <c r="W274" s="195" t="s">
        <v>356</v>
      </c>
      <c r="X274" s="196" t="str">
        <f>+IFERROR(VLOOKUP($F274,'[2]Chuyển đổi mã'!$A$1:$C$91,3,0),$F274)&amp;AC274</f>
        <v>Big C South320463</v>
      </c>
      <c r="Y274" s="196" t="str">
        <f>IFERROR(VLOOKUP($F274,'[2]Chuyển đổi mã'!$A$1:$C$184,3,0),F274)</f>
        <v>Big C South</v>
      </c>
      <c r="Z274" s="196" t="str">
        <f>VLOOKUP($G274,'[2]Thông tin NPP'!$B:$D,3,0)</f>
        <v>Big C South</v>
      </c>
      <c r="AA274" s="196" t="str">
        <f t="shared" si="55"/>
        <v>Na 8,5g</v>
      </c>
      <c r="AB274" s="196" t="str">
        <f>IFERROR(VLOOKUP(DAY(B274),'[2]Chuyển đổi mã'!$F$1:$G$32,2,0),0)</f>
        <v>W1</v>
      </c>
      <c r="AC274" s="196" t="str">
        <f t="shared" si="56"/>
        <v>320463</v>
      </c>
      <c r="AD274" s="196" t="str">
        <f t="shared" si="57"/>
        <v>NPP</v>
      </c>
      <c r="AE274" s="196" t="str">
        <f t="shared" si="58"/>
        <v>NPP320463</v>
      </c>
      <c r="AF274" s="196">
        <f t="shared" si="59"/>
        <v>0</v>
      </c>
    </row>
    <row r="275" spans="1:32" ht="12.95" customHeight="1">
      <c r="A275" s="190">
        <v>62523</v>
      </c>
      <c r="B275" s="191">
        <v>43560</v>
      </c>
      <c r="C275" s="190" t="s">
        <v>457</v>
      </c>
      <c r="D275" s="190" t="s">
        <v>530</v>
      </c>
      <c r="E275" s="190" t="s">
        <v>346</v>
      </c>
      <c r="F275" s="190" t="s">
        <v>531</v>
      </c>
      <c r="G275" s="192" t="s">
        <v>532</v>
      </c>
      <c r="H275" s="192" t="s">
        <v>296</v>
      </c>
      <c r="I275" s="192" t="s">
        <v>349</v>
      </c>
      <c r="J275" s="192" t="s">
        <v>350</v>
      </c>
      <c r="K275" s="190" t="s">
        <v>351</v>
      </c>
      <c r="L275" s="190" t="s">
        <v>387</v>
      </c>
      <c r="M275" s="192" t="s">
        <v>388</v>
      </c>
      <c r="N275" s="193">
        <v>2</v>
      </c>
      <c r="O275" s="193">
        <v>355455</v>
      </c>
      <c r="P275" s="194">
        <v>710910</v>
      </c>
      <c r="Q275" s="194">
        <v>71091</v>
      </c>
      <c r="R275" s="194">
        <v>782001</v>
      </c>
      <c r="S275" s="192"/>
      <c r="T275" s="192" t="s">
        <v>310</v>
      </c>
      <c r="U275" s="190">
        <v>60301</v>
      </c>
      <c r="V275" s="190"/>
      <c r="W275" s="195" t="s">
        <v>356</v>
      </c>
      <c r="X275" s="196" t="str">
        <f>+IFERROR(VLOOKUP($F275,'[2]Chuyển đổi mã'!$A$1:$C$91,3,0),$F275)&amp;AC275</f>
        <v>Big C South323620</v>
      </c>
      <c r="Y275" s="196" t="str">
        <f>IFERROR(VLOOKUP($F275,'[2]Chuyển đổi mã'!$A$1:$C$184,3,0),F275)</f>
        <v>Big C South</v>
      </c>
      <c r="Z275" s="196" t="str">
        <f>VLOOKUP($G275,'[2]Thông tin NPP'!$B:$D,3,0)</f>
        <v>Big C South</v>
      </c>
      <c r="AA275" s="196" t="str">
        <f t="shared" si="55"/>
        <v>Ahh 16g</v>
      </c>
      <c r="AB275" s="196" t="str">
        <f>IFERROR(VLOOKUP(DAY(B275),'[2]Chuyển đổi mã'!$F$1:$G$32,2,0),0)</f>
        <v>W1</v>
      </c>
      <c r="AC275" s="196" t="str">
        <f t="shared" si="56"/>
        <v>323620</v>
      </c>
      <c r="AD275" s="196" t="str">
        <f t="shared" si="57"/>
        <v>NPP</v>
      </c>
      <c r="AE275" s="196" t="str">
        <f t="shared" si="58"/>
        <v>NPP323620</v>
      </c>
      <c r="AF275" s="196">
        <f t="shared" si="59"/>
        <v>0</v>
      </c>
    </row>
    <row r="276" spans="1:32" ht="12.95" customHeight="1">
      <c r="A276" s="190">
        <v>62523</v>
      </c>
      <c r="B276" s="191">
        <v>43560</v>
      </c>
      <c r="C276" s="190" t="s">
        <v>457</v>
      </c>
      <c r="D276" s="190" t="s">
        <v>530</v>
      </c>
      <c r="E276" s="190" t="s">
        <v>346</v>
      </c>
      <c r="F276" s="190" t="s">
        <v>531</v>
      </c>
      <c r="G276" s="192" t="s">
        <v>532</v>
      </c>
      <c r="H276" s="192" t="s">
        <v>296</v>
      </c>
      <c r="I276" s="192" t="s">
        <v>349</v>
      </c>
      <c r="J276" s="192" t="s">
        <v>350</v>
      </c>
      <c r="K276" s="190" t="s">
        <v>351</v>
      </c>
      <c r="L276" s="190" t="s">
        <v>359</v>
      </c>
      <c r="M276" s="192" t="s">
        <v>360</v>
      </c>
      <c r="N276" s="193">
        <v>2</v>
      </c>
      <c r="O276" s="193">
        <v>313636</v>
      </c>
      <c r="P276" s="194">
        <v>627272</v>
      </c>
      <c r="Q276" s="194">
        <v>62727.199999999997</v>
      </c>
      <c r="R276" s="194">
        <v>689999.2</v>
      </c>
      <c r="S276" s="192"/>
      <c r="T276" s="192" t="s">
        <v>310</v>
      </c>
      <c r="U276" s="190">
        <v>60301</v>
      </c>
      <c r="V276" s="190"/>
      <c r="W276" s="195" t="s">
        <v>356</v>
      </c>
      <c r="X276" s="196" t="str">
        <f>+IFERROR(VLOOKUP($F276,'[2]Chuyển đổi mã'!$A$1:$C$91,3,0),$F276)&amp;AC276</f>
        <v>Big C South320445</v>
      </c>
      <c r="Y276" s="196" t="str">
        <f>IFERROR(VLOOKUP($F276,'[2]Chuyển đổi mã'!$A$1:$C$184,3,0),F276)</f>
        <v>Big C South</v>
      </c>
      <c r="Z276" s="196" t="str">
        <f>VLOOKUP($G276,'[2]Thông tin NPP'!$B:$D,3,0)</f>
        <v>Big C South</v>
      </c>
      <c r="AA276" s="196" t="str">
        <f t="shared" si="55"/>
        <v>Na 58g</v>
      </c>
      <c r="AB276" s="196" t="str">
        <f>IFERROR(VLOOKUP(DAY(B276),'[2]Chuyển đổi mã'!$F$1:$G$32,2,0),0)</f>
        <v>W1</v>
      </c>
      <c r="AC276" s="196" t="str">
        <f t="shared" si="56"/>
        <v>320445</v>
      </c>
      <c r="AD276" s="196" t="str">
        <f t="shared" si="57"/>
        <v>NPP</v>
      </c>
      <c r="AE276" s="196" t="str">
        <f t="shared" si="58"/>
        <v>NPP320445</v>
      </c>
      <c r="AF276" s="196">
        <f t="shared" si="59"/>
        <v>0</v>
      </c>
    </row>
    <row r="277" spans="1:32" ht="12.95" customHeight="1">
      <c r="A277" s="190">
        <v>62523</v>
      </c>
      <c r="B277" s="191">
        <v>43560</v>
      </c>
      <c r="C277" s="190" t="s">
        <v>457</v>
      </c>
      <c r="D277" s="190" t="s">
        <v>530</v>
      </c>
      <c r="E277" s="190" t="s">
        <v>346</v>
      </c>
      <c r="F277" s="190" t="s">
        <v>531</v>
      </c>
      <c r="G277" s="192" t="s">
        <v>532</v>
      </c>
      <c r="H277" s="192" t="s">
        <v>296</v>
      </c>
      <c r="I277" s="192" t="s">
        <v>349</v>
      </c>
      <c r="J277" s="192" t="s">
        <v>350</v>
      </c>
      <c r="K277" s="190" t="s">
        <v>351</v>
      </c>
      <c r="L277" s="190" t="s">
        <v>363</v>
      </c>
      <c r="M277" s="192" t="s">
        <v>364</v>
      </c>
      <c r="N277" s="193">
        <v>1</v>
      </c>
      <c r="O277" s="193">
        <v>334545</v>
      </c>
      <c r="P277" s="194">
        <v>334545</v>
      </c>
      <c r="Q277" s="194">
        <v>33454.5</v>
      </c>
      <c r="R277" s="194">
        <v>367999.5</v>
      </c>
      <c r="S277" s="192"/>
      <c r="T277" s="192" t="s">
        <v>310</v>
      </c>
      <c r="U277" s="190">
        <v>60301</v>
      </c>
      <c r="V277" s="190"/>
      <c r="W277" s="195" t="s">
        <v>356</v>
      </c>
      <c r="X277" s="196" t="str">
        <f>+IFERROR(VLOOKUP($F277,'[2]Chuyển đổi mã'!$A$1:$C$91,3,0),$F277)&amp;AC277</f>
        <v>Big C South323708</v>
      </c>
      <c r="Y277" s="196" t="str">
        <f>IFERROR(VLOOKUP($F277,'[2]Chuyển đổi mã'!$A$1:$C$184,3,0),F277)</f>
        <v>Big C South</v>
      </c>
      <c r="Z277" s="196" t="str">
        <f>VLOOKUP($G277,'[2]Thông tin NPP'!$B:$D,3,0)</f>
        <v>Big C South</v>
      </c>
      <c r="AA277" s="196" t="str">
        <f t="shared" si="55"/>
        <v>Nextar Bro</v>
      </c>
      <c r="AB277" s="196" t="str">
        <f>IFERROR(VLOOKUP(DAY(B277),'[2]Chuyển đổi mã'!$F$1:$G$32,2,0),0)</f>
        <v>W1</v>
      </c>
      <c r="AC277" s="196" t="str">
        <f t="shared" si="56"/>
        <v>323708</v>
      </c>
      <c r="AD277" s="196" t="str">
        <f t="shared" si="57"/>
        <v>NPP</v>
      </c>
      <c r="AE277" s="196" t="str">
        <f t="shared" si="58"/>
        <v>NPP323708</v>
      </c>
      <c r="AF277" s="196">
        <f t="shared" si="59"/>
        <v>0</v>
      </c>
    </row>
    <row r="278" spans="1:32" ht="12.95" hidden="1" customHeight="1">
      <c r="A278" s="190">
        <v>62524</v>
      </c>
      <c r="B278" s="191">
        <v>43560</v>
      </c>
      <c r="C278" s="190" t="s">
        <v>457</v>
      </c>
      <c r="D278" s="190" t="s">
        <v>533</v>
      </c>
      <c r="E278" s="190" t="s">
        <v>346</v>
      </c>
      <c r="F278" s="190" t="s">
        <v>534</v>
      </c>
      <c r="G278" s="192" t="s">
        <v>535</v>
      </c>
      <c r="H278" s="192" t="s">
        <v>296</v>
      </c>
      <c r="I278" s="192" t="s">
        <v>395</v>
      </c>
      <c r="J278" s="192" t="s">
        <v>350</v>
      </c>
      <c r="K278" s="190" t="s">
        <v>351</v>
      </c>
      <c r="L278" s="190" t="s">
        <v>352</v>
      </c>
      <c r="M278" s="192" t="s">
        <v>353</v>
      </c>
      <c r="N278" s="193">
        <v>5</v>
      </c>
      <c r="O278" s="193">
        <v>119700.35</v>
      </c>
      <c r="P278" s="194">
        <v>598501.75</v>
      </c>
      <c r="Q278" s="194">
        <v>59850.175000000003</v>
      </c>
      <c r="R278" s="194">
        <v>658351.92500000005</v>
      </c>
      <c r="S278" s="192" t="s">
        <v>354</v>
      </c>
      <c r="T278" s="192" t="s">
        <v>355</v>
      </c>
      <c r="U278" s="190">
        <v>60299</v>
      </c>
      <c r="V278" s="190"/>
      <c r="W278" s="195" t="s">
        <v>356</v>
      </c>
      <c r="X278" s="196" t="str">
        <f>+IFERROR(VLOOKUP($F278,'[2]Chuyển đổi mã'!$A$1:$C$91,3,0),$F278)&amp;AC278</f>
        <v>Big C North320463</v>
      </c>
      <c r="Y278" s="196" t="str">
        <f>IFERROR(VLOOKUP($F278,'[2]Chuyển đổi mã'!$A$1:$C$184,3,0),F278)</f>
        <v>Big C North</v>
      </c>
      <c r="Z278" s="196" t="str">
        <f>VLOOKUP($G278,'[2]Thông tin NPP'!$B:$D,3,0)</f>
        <v>BIG C North</v>
      </c>
      <c r="AA278" s="196" t="str">
        <f t="shared" si="55"/>
        <v>Na 8,5g</v>
      </c>
      <c r="AB278" s="196" t="str">
        <f>IFERROR(VLOOKUP(DAY(B278),'[2]Chuyển đổi mã'!$F$1:$G$32,2,0),0)</f>
        <v>W1</v>
      </c>
      <c r="AC278" s="196" t="str">
        <f t="shared" si="56"/>
        <v>320463</v>
      </c>
      <c r="AD278" s="196" t="str">
        <f t="shared" si="57"/>
        <v>NPP</v>
      </c>
      <c r="AE278" s="196" t="str">
        <f t="shared" si="58"/>
        <v>NPP320463</v>
      </c>
      <c r="AF278" s="196">
        <f t="shared" si="59"/>
        <v>0</v>
      </c>
    </row>
    <row r="279" spans="1:32" ht="12.95" hidden="1" customHeight="1">
      <c r="A279" s="190">
        <v>62524</v>
      </c>
      <c r="B279" s="191">
        <v>43560</v>
      </c>
      <c r="C279" s="190" t="s">
        <v>457</v>
      </c>
      <c r="D279" s="190" t="s">
        <v>533</v>
      </c>
      <c r="E279" s="190" t="s">
        <v>346</v>
      </c>
      <c r="F279" s="190" t="s">
        <v>534</v>
      </c>
      <c r="G279" s="192" t="s">
        <v>535</v>
      </c>
      <c r="H279" s="192" t="s">
        <v>296</v>
      </c>
      <c r="I279" s="192" t="s">
        <v>395</v>
      </c>
      <c r="J279" s="192" t="s">
        <v>350</v>
      </c>
      <c r="K279" s="190" t="s">
        <v>351</v>
      </c>
      <c r="L279" s="190" t="s">
        <v>357</v>
      </c>
      <c r="M279" s="192" t="s">
        <v>358</v>
      </c>
      <c r="N279" s="193">
        <v>10</v>
      </c>
      <c r="O279" s="193">
        <v>213273</v>
      </c>
      <c r="P279" s="194">
        <v>2132730</v>
      </c>
      <c r="Q279" s="194">
        <v>213273</v>
      </c>
      <c r="R279" s="194">
        <v>2346003</v>
      </c>
      <c r="S279" s="192"/>
      <c r="T279" s="192" t="s">
        <v>310</v>
      </c>
      <c r="U279" s="190">
        <v>60299</v>
      </c>
      <c r="V279" s="190"/>
      <c r="W279" s="195" t="s">
        <v>356</v>
      </c>
      <c r="X279" s="196" t="str">
        <f>+IFERROR(VLOOKUP($F279,'[2]Chuyển đổi mã'!$A$1:$C$91,3,0),$F279)&amp;AC279</f>
        <v>Big C North323555</v>
      </c>
      <c r="Y279" s="196" t="str">
        <f>IFERROR(VLOOKUP($F279,'[2]Chuyển đổi mã'!$A$1:$C$184,3,0),F279)</f>
        <v>Big C North</v>
      </c>
      <c r="Z279" s="196" t="str">
        <f>VLOOKUP($G279,'[2]Thông tin NPP'!$B:$D,3,0)</f>
        <v>BIG C North</v>
      </c>
      <c r="AA279" s="196" t="str">
        <f t="shared" si="55"/>
        <v>Na 17g - M</v>
      </c>
      <c r="AB279" s="196" t="str">
        <f>IFERROR(VLOOKUP(DAY(B279),'[2]Chuyển đổi mã'!$F$1:$G$32,2,0),0)</f>
        <v>W1</v>
      </c>
      <c r="AC279" s="196" t="str">
        <f t="shared" si="56"/>
        <v>323555</v>
      </c>
      <c r="AD279" s="196" t="str">
        <f t="shared" si="57"/>
        <v>NPP</v>
      </c>
      <c r="AE279" s="196" t="str">
        <f t="shared" si="58"/>
        <v>NPP323555</v>
      </c>
      <c r="AF279" s="196">
        <f t="shared" si="59"/>
        <v>0</v>
      </c>
    </row>
    <row r="280" spans="1:32" ht="12.95" hidden="1" customHeight="1">
      <c r="A280" s="190">
        <v>62524</v>
      </c>
      <c r="B280" s="191">
        <v>43560</v>
      </c>
      <c r="C280" s="190" t="s">
        <v>457</v>
      </c>
      <c r="D280" s="190" t="s">
        <v>533</v>
      </c>
      <c r="E280" s="190" t="s">
        <v>346</v>
      </c>
      <c r="F280" s="190" t="s">
        <v>534</v>
      </c>
      <c r="G280" s="192" t="s">
        <v>535</v>
      </c>
      <c r="H280" s="192" t="s">
        <v>296</v>
      </c>
      <c r="I280" s="192" t="s">
        <v>395</v>
      </c>
      <c r="J280" s="192" t="s">
        <v>350</v>
      </c>
      <c r="K280" s="190" t="s">
        <v>351</v>
      </c>
      <c r="L280" s="190" t="s">
        <v>359</v>
      </c>
      <c r="M280" s="192" t="s">
        <v>360</v>
      </c>
      <c r="N280" s="193">
        <v>2</v>
      </c>
      <c r="O280" s="193">
        <v>313636</v>
      </c>
      <c r="P280" s="194">
        <v>627272</v>
      </c>
      <c r="Q280" s="194">
        <v>62727.199999999997</v>
      </c>
      <c r="R280" s="194">
        <v>689999.2</v>
      </c>
      <c r="S280" s="192"/>
      <c r="T280" s="192" t="s">
        <v>310</v>
      </c>
      <c r="U280" s="190">
        <v>60299</v>
      </c>
      <c r="V280" s="190"/>
      <c r="W280" s="195" t="s">
        <v>356</v>
      </c>
      <c r="X280" s="196" t="str">
        <f>+IFERROR(VLOOKUP($F280,'[2]Chuyển đổi mã'!$A$1:$C$91,3,0),$F280)&amp;AC280</f>
        <v>Big C North320445</v>
      </c>
      <c r="Y280" s="196" t="str">
        <f>IFERROR(VLOOKUP($F280,'[2]Chuyển đổi mã'!$A$1:$C$184,3,0),F280)</f>
        <v>Big C North</v>
      </c>
      <c r="Z280" s="196" t="str">
        <f>VLOOKUP($G280,'[2]Thông tin NPP'!$B:$D,3,0)</f>
        <v>BIG C North</v>
      </c>
      <c r="AA280" s="196" t="str">
        <f t="shared" si="55"/>
        <v>Na 58g</v>
      </c>
      <c r="AB280" s="196" t="str">
        <f>IFERROR(VLOOKUP(DAY(B280),'[2]Chuyển đổi mã'!$F$1:$G$32,2,0),0)</f>
        <v>W1</v>
      </c>
      <c r="AC280" s="196" t="str">
        <f t="shared" si="56"/>
        <v>320445</v>
      </c>
      <c r="AD280" s="196" t="str">
        <f t="shared" si="57"/>
        <v>NPP</v>
      </c>
      <c r="AE280" s="196" t="str">
        <f t="shared" si="58"/>
        <v>NPP320445</v>
      </c>
      <c r="AF280" s="196">
        <f t="shared" si="59"/>
        <v>0</v>
      </c>
    </row>
    <row r="281" spans="1:32" ht="12.95" hidden="1" customHeight="1">
      <c r="A281" s="190">
        <v>62524</v>
      </c>
      <c r="B281" s="191">
        <v>43560</v>
      </c>
      <c r="C281" s="190" t="s">
        <v>457</v>
      </c>
      <c r="D281" s="190" t="s">
        <v>533</v>
      </c>
      <c r="E281" s="190" t="s">
        <v>346</v>
      </c>
      <c r="F281" s="190" t="s">
        <v>534</v>
      </c>
      <c r="G281" s="192" t="s">
        <v>535</v>
      </c>
      <c r="H281" s="192" t="s">
        <v>296</v>
      </c>
      <c r="I281" s="192" t="s">
        <v>395</v>
      </c>
      <c r="J281" s="192" t="s">
        <v>350</v>
      </c>
      <c r="K281" s="190" t="s">
        <v>351</v>
      </c>
      <c r="L281" s="190" t="s">
        <v>361</v>
      </c>
      <c r="M281" s="192" t="s">
        <v>362</v>
      </c>
      <c r="N281" s="193">
        <v>1</v>
      </c>
      <c r="O281" s="193">
        <v>313636</v>
      </c>
      <c r="P281" s="194">
        <v>313636</v>
      </c>
      <c r="Q281" s="194">
        <v>31363.599999999999</v>
      </c>
      <c r="R281" s="194">
        <v>344999.6</v>
      </c>
      <c r="S281" s="192"/>
      <c r="T281" s="192" t="s">
        <v>310</v>
      </c>
      <c r="U281" s="190">
        <v>60299</v>
      </c>
      <c r="V281" s="190"/>
      <c r="W281" s="195" t="s">
        <v>356</v>
      </c>
      <c r="X281" s="196" t="str">
        <f>+IFERROR(VLOOKUP($F281,'[2]Chuyển đổi mã'!$A$1:$C$91,3,0),$F281)&amp;AC281</f>
        <v>Big C North331017</v>
      </c>
      <c r="Y281" s="196" t="str">
        <f>IFERROR(VLOOKUP($F281,'[2]Chuyển đổi mã'!$A$1:$C$184,3,0),F281)</f>
        <v>Big C North</v>
      </c>
      <c r="Z281" s="196" t="str">
        <f>VLOOKUP($G281,'[2]Thông tin NPP'!$B:$D,3,0)</f>
        <v>BIG C North</v>
      </c>
      <c r="AA281" s="196" t="str">
        <f t="shared" si="55"/>
        <v>Richoco Wf</v>
      </c>
      <c r="AB281" s="196" t="str">
        <f>IFERROR(VLOOKUP(DAY(B281),'[2]Chuyển đổi mã'!$F$1:$G$32,2,0),0)</f>
        <v>W1</v>
      </c>
      <c r="AC281" s="196" t="str">
        <f t="shared" si="56"/>
        <v>331017</v>
      </c>
      <c r="AD281" s="196" t="str">
        <f t="shared" si="57"/>
        <v>NPP</v>
      </c>
      <c r="AE281" s="196" t="str">
        <f t="shared" si="58"/>
        <v>NPP331017</v>
      </c>
      <c r="AF281" s="196">
        <f t="shared" si="59"/>
        <v>0</v>
      </c>
    </row>
    <row r="282" spans="1:32" ht="12.95" hidden="1" customHeight="1">
      <c r="A282" s="190">
        <v>62524</v>
      </c>
      <c r="B282" s="191">
        <v>43560</v>
      </c>
      <c r="C282" s="190" t="s">
        <v>457</v>
      </c>
      <c r="D282" s="190" t="s">
        <v>533</v>
      </c>
      <c r="E282" s="190" t="s">
        <v>346</v>
      </c>
      <c r="F282" s="190" t="s">
        <v>534</v>
      </c>
      <c r="G282" s="192" t="s">
        <v>535</v>
      </c>
      <c r="H282" s="192" t="s">
        <v>296</v>
      </c>
      <c r="I282" s="192" t="s">
        <v>395</v>
      </c>
      <c r="J282" s="192" t="s">
        <v>350</v>
      </c>
      <c r="K282" s="190" t="s">
        <v>351</v>
      </c>
      <c r="L282" s="190" t="s">
        <v>363</v>
      </c>
      <c r="M282" s="192" t="s">
        <v>364</v>
      </c>
      <c r="N282" s="193">
        <v>2</v>
      </c>
      <c r="O282" s="193">
        <v>334545</v>
      </c>
      <c r="P282" s="194">
        <v>669090</v>
      </c>
      <c r="Q282" s="194">
        <v>66909</v>
      </c>
      <c r="R282" s="194">
        <v>735999</v>
      </c>
      <c r="S282" s="192"/>
      <c r="T282" s="192" t="s">
        <v>310</v>
      </c>
      <c r="U282" s="190">
        <v>60299</v>
      </c>
      <c r="V282" s="190"/>
      <c r="W282" s="195" t="s">
        <v>356</v>
      </c>
      <c r="X282" s="196" t="str">
        <f>+IFERROR(VLOOKUP($F282,'[2]Chuyển đổi mã'!$A$1:$C$91,3,0),$F282)&amp;AC282</f>
        <v>Big C North323708</v>
      </c>
      <c r="Y282" s="196" t="str">
        <f>IFERROR(VLOOKUP($F282,'[2]Chuyển đổi mã'!$A$1:$C$184,3,0),F282)</f>
        <v>Big C North</v>
      </c>
      <c r="Z282" s="196" t="str">
        <f>VLOOKUP($G282,'[2]Thông tin NPP'!$B:$D,3,0)</f>
        <v>BIG C North</v>
      </c>
      <c r="AA282" s="196" t="str">
        <f t="shared" si="55"/>
        <v>Nextar Bro</v>
      </c>
      <c r="AB282" s="196" t="str">
        <f>IFERROR(VLOOKUP(DAY(B282),'[2]Chuyển đổi mã'!$F$1:$G$32,2,0),0)</f>
        <v>W1</v>
      </c>
      <c r="AC282" s="196" t="str">
        <f t="shared" si="56"/>
        <v>323708</v>
      </c>
      <c r="AD282" s="196" t="str">
        <f t="shared" si="57"/>
        <v>NPP</v>
      </c>
      <c r="AE282" s="196" t="str">
        <f t="shared" si="58"/>
        <v>NPP323708</v>
      </c>
      <c r="AF282" s="196">
        <f t="shared" si="59"/>
        <v>0</v>
      </c>
    </row>
    <row r="283" spans="1:32" ht="12.95" hidden="1" customHeight="1">
      <c r="A283" s="190">
        <v>62525</v>
      </c>
      <c r="B283" s="191">
        <v>43560</v>
      </c>
      <c r="C283" s="190" t="s">
        <v>457</v>
      </c>
      <c r="D283" s="190" t="s">
        <v>536</v>
      </c>
      <c r="E283" s="190" t="s">
        <v>346</v>
      </c>
      <c r="F283" s="190" t="s">
        <v>537</v>
      </c>
      <c r="G283" s="192" t="s">
        <v>538</v>
      </c>
      <c r="H283" s="192" t="s">
        <v>296</v>
      </c>
      <c r="I283" s="192" t="s">
        <v>395</v>
      </c>
      <c r="J283" s="192" t="s">
        <v>350</v>
      </c>
      <c r="K283" s="190" t="s">
        <v>351</v>
      </c>
      <c r="L283" s="190" t="s">
        <v>352</v>
      </c>
      <c r="M283" s="192" t="s">
        <v>353</v>
      </c>
      <c r="N283" s="193">
        <v>10</v>
      </c>
      <c r="O283" s="193">
        <v>119700.35</v>
      </c>
      <c r="P283" s="194">
        <v>1197003.5</v>
      </c>
      <c r="Q283" s="194">
        <v>119700.35</v>
      </c>
      <c r="R283" s="194">
        <v>1316703.8500000001</v>
      </c>
      <c r="S283" s="192" t="s">
        <v>354</v>
      </c>
      <c r="T283" s="192" t="s">
        <v>355</v>
      </c>
      <c r="U283" s="190">
        <v>60300</v>
      </c>
      <c r="V283" s="190"/>
      <c r="W283" s="195" t="s">
        <v>356</v>
      </c>
      <c r="X283" s="196" t="str">
        <f>+IFERROR(VLOOKUP($F283,'[2]Chuyển đổi mã'!$A$1:$C$91,3,0),$F283)&amp;AC283</f>
        <v>Big C North320463</v>
      </c>
      <c r="Y283" s="196" t="str">
        <f>IFERROR(VLOOKUP($F283,'[2]Chuyển đổi mã'!$A$1:$C$184,3,0),F283)</f>
        <v>Big C North</v>
      </c>
      <c r="Z283" s="196" t="str">
        <f>VLOOKUP($G283,'[2]Thông tin NPP'!$B:$D,3,0)</f>
        <v>BIG C North</v>
      </c>
      <c r="AA283" s="196" t="str">
        <f t="shared" si="55"/>
        <v>Na 8,5g</v>
      </c>
      <c r="AB283" s="196" t="str">
        <f>IFERROR(VLOOKUP(DAY(B283),'[2]Chuyển đổi mã'!$F$1:$G$32,2,0),0)</f>
        <v>W1</v>
      </c>
      <c r="AC283" s="196" t="str">
        <f t="shared" si="56"/>
        <v>320463</v>
      </c>
      <c r="AD283" s="196" t="str">
        <f t="shared" si="57"/>
        <v>NPP</v>
      </c>
      <c r="AE283" s="196" t="str">
        <f t="shared" si="58"/>
        <v>NPP320463</v>
      </c>
      <c r="AF283" s="196">
        <f t="shared" si="59"/>
        <v>0</v>
      </c>
    </row>
    <row r="284" spans="1:32" ht="12.95" hidden="1" customHeight="1">
      <c r="A284" s="190">
        <v>62525</v>
      </c>
      <c r="B284" s="191">
        <v>43560</v>
      </c>
      <c r="C284" s="190" t="s">
        <v>457</v>
      </c>
      <c r="D284" s="190" t="s">
        <v>536</v>
      </c>
      <c r="E284" s="190" t="s">
        <v>346</v>
      </c>
      <c r="F284" s="190" t="s">
        <v>537</v>
      </c>
      <c r="G284" s="192" t="s">
        <v>538</v>
      </c>
      <c r="H284" s="192" t="s">
        <v>296</v>
      </c>
      <c r="I284" s="192" t="s">
        <v>395</v>
      </c>
      <c r="J284" s="192" t="s">
        <v>350</v>
      </c>
      <c r="K284" s="190" t="s">
        <v>351</v>
      </c>
      <c r="L284" s="190" t="s">
        <v>357</v>
      </c>
      <c r="M284" s="192" t="s">
        <v>358</v>
      </c>
      <c r="N284" s="193">
        <v>5</v>
      </c>
      <c r="O284" s="193">
        <v>213273</v>
      </c>
      <c r="P284" s="194">
        <v>1066365</v>
      </c>
      <c r="Q284" s="194">
        <v>106636.5</v>
      </c>
      <c r="R284" s="194">
        <v>1173001.5</v>
      </c>
      <c r="S284" s="192"/>
      <c r="T284" s="192" t="s">
        <v>310</v>
      </c>
      <c r="U284" s="190">
        <v>60300</v>
      </c>
      <c r="V284" s="190"/>
      <c r="W284" s="195" t="s">
        <v>356</v>
      </c>
      <c r="X284" s="196" t="str">
        <f>+IFERROR(VLOOKUP($F284,'[2]Chuyển đổi mã'!$A$1:$C$91,3,0),$F284)&amp;AC284</f>
        <v>Big C North323555</v>
      </c>
      <c r="Y284" s="196" t="str">
        <f>IFERROR(VLOOKUP($F284,'[2]Chuyển đổi mã'!$A$1:$C$184,3,0),F284)</f>
        <v>Big C North</v>
      </c>
      <c r="Z284" s="196" t="str">
        <f>VLOOKUP($G284,'[2]Thông tin NPP'!$B:$D,3,0)</f>
        <v>BIG C North</v>
      </c>
      <c r="AA284" s="196" t="str">
        <f t="shared" si="55"/>
        <v>Na 17g - M</v>
      </c>
      <c r="AB284" s="196" t="str">
        <f>IFERROR(VLOOKUP(DAY(B284),'[2]Chuyển đổi mã'!$F$1:$G$32,2,0),0)</f>
        <v>W1</v>
      </c>
      <c r="AC284" s="196" t="str">
        <f t="shared" si="56"/>
        <v>323555</v>
      </c>
      <c r="AD284" s="196" t="str">
        <f t="shared" si="57"/>
        <v>NPP</v>
      </c>
      <c r="AE284" s="196" t="str">
        <f t="shared" si="58"/>
        <v>NPP323555</v>
      </c>
      <c r="AF284" s="196">
        <f t="shared" si="59"/>
        <v>0</v>
      </c>
    </row>
    <row r="285" spans="1:32" ht="12.95" hidden="1" customHeight="1">
      <c r="A285" s="190">
        <v>62525</v>
      </c>
      <c r="B285" s="191">
        <v>43560</v>
      </c>
      <c r="C285" s="190" t="s">
        <v>457</v>
      </c>
      <c r="D285" s="190" t="s">
        <v>536</v>
      </c>
      <c r="E285" s="190" t="s">
        <v>346</v>
      </c>
      <c r="F285" s="190" t="s">
        <v>537</v>
      </c>
      <c r="G285" s="192" t="s">
        <v>538</v>
      </c>
      <c r="H285" s="192" t="s">
        <v>296</v>
      </c>
      <c r="I285" s="192" t="s">
        <v>395</v>
      </c>
      <c r="J285" s="192" t="s">
        <v>350</v>
      </c>
      <c r="K285" s="190" t="s">
        <v>351</v>
      </c>
      <c r="L285" s="190" t="s">
        <v>359</v>
      </c>
      <c r="M285" s="192" t="s">
        <v>360</v>
      </c>
      <c r="N285" s="193">
        <v>5</v>
      </c>
      <c r="O285" s="193">
        <v>313636</v>
      </c>
      <c r="P285" s="194">
        <v>1568180</v>
      </c>
      <c r="Q285" s="194">
        <v>156818</v>
      </c>
      <c r="R285" s="194">
        <v>1724998</v>
      </c>
      <c r="S285" s="192"/>
      <c r="T285" s="192" t="s">
        <v>310</v>
      </c>
      <c r="U285" s="190">
        <v>60300</v>
      </c>
      <c r="V285" s="190"/>
      <c r="W285" s="195" t="s">
        <v>356</v>
      </c>
      <c r="X285" s="196" t="str">
        <f>+IFERROR(VLOOKUP($F285,'[2]Chuyển đổi mã'!$A$1:$C$91,3,0),$F285)&amp;AC285</f>
        <v>Big C North320445</v>
      </c>
      <c r="Y285" s="196" t="str">
        <f>IFERROR(VLOOKUP($F285,'[2]Chuyển đổi mã'!$A$1:$C$184,3,0),F285)</f>
        <v>Big C North</v>
      </c>
      <c r="Z285" s="196" t="str">
        <f>VLOOKUP($G285,'[2]Thông tin NPP'!$B:$D,3,0)</f>
        <v>BIG C North</v>
      </c>
      <c r="AA285" s="196" t="str">
        <f t="shared" si="55"/>
        <v>Na 58g</v>
      </c>
      <c r="AB285" s="196" t="str">
        <f>IFERROR(VLOOKUP(DAY(B285),'[2]Chuyển đổi mã'!$F$1:$G$32,2,0),0)</f>
        <v>W1</v>
      </c>
      <c r="AC285" s="196" t="str">
        <f t="shared" si="56"/>
        <v>320445</v>
      </c>
      <c r="AD285" s="196" t="str">
        <f t="shared" si="57"/>
        <v>NPP</v>
      </c>
      <c r="AE285" s="196" t="str">
        <f t="shared" si="58"/>
        <v>NPP320445</v>
      </c>
      <c r="AF285" s="196">
        <f t="shared" si="59"/>
        <v>0</v>
      </c>
    </row>
    <row r="286" spans="1:32" ht="12.95" hidden="1" customHeight="1">
      <c r="A286" s="190">
        <v>62525</v>
      </c>
      <c r="B286" s="191">
        <v>43560</v>
      </c>
      <c r="C286" s="190" t="s">
        <v>457</v>
      </c>
      <c r="D286" s="190" t="s">
        <v>536</v>
      </c>
      <c r="E286" s="190" t="s">
        <v>346</v>
      </c>
      <c r="F286" s="190" t="s">
        <v>537</v>
      </c>
      <c r="G286" s="192" t="s">
        <v>538</v>
      </c>
      <c r="H286" s="192" t="s">
        <v>296</v>
      </c>
      <c r="I286" s="192" t="s">
        <v>395</v>
      </c>
      <c r="J286" s="192" t="s">
        <v>350</v>
      </c>
      <c r="K286" s="190" t="s">
        <v>351</v>
      </c>
      <c r="L286" s="190" t="s">
        <v>361</v>
      </c>
      <c r="M286" s="192" t="s">
        <v>362</v>
      </c>
      <c r="N286" s="193">
        <v>3</v>
      </c>
      <c r="O286" s="193">
        <v>313636</v>
      </c>
      <c r="P286" s="194">
        <v>940908</v>
      </c>
      <c r="Q286" s="194">
        <v>94090.8</v>
      </c>
      <c r="R286" s="194">
        <v>1034998.8</v>
      </c>
      <c r="S286" s="192"/>
      <c r="T286" s="192" t="s">
        <v>310</v>
      </c>
      <c r="U286" s="190">
        <v>60300</v>
      </c>
      <c r="V286" s="190"/>
      <c r="W286" s="195" t="s">
        <v>356</v>
      </c>
      <c r="X286" s="196" t="str">
        <f>+IFERROR(VLOOKUP($F286,'[2]Chuyển đổi mã'!$A$1:$C$91,3,0),$F286)&amp;AC286</f>
        <v>Big C North331017</v>
      </c>
      <c r="Y286" s="196" t="str">
        <f>IFERROR(VLOOKUP($F286,'[2]Chuyển đổi mã'!$A$1:$C$184,3,0),F286)</f>
        <v>Big C North</v>
      </c>
      <c r="Z286" s="196" t="str">
        <f>VLOOKUP($G286,'[2]Thông tin NPP'!$B:$D,3,0)</f>
        <v>BIG C North</v>
      </c>
      <c r="AA286" s="196" t="str">
        <f t="shared" si="55"/>
        <v>Richoco Wf</v>
      </c>
      <c r="AB286" s="196" t="str">
        <f>IFERROR(VLOOKUP(DAY(B286),'[2]Chuyển đổi mã'!$F$1:$G$32,2,0),0)</f>
        <v>W1</v>
      </c>
      <c r="AC286" s="196" t="str">
        <f t="shared" si="56"/>
        <v>331017</v>
      </c>
      <c r="AD286" s="196" t="str">
        <f t="shared" si="57"/>
        <v>NPP</v>
      </c>
      <c r="AE286" s="196" t="str">
        <f t="shared" si="58"/>
        <v>NPP331017</v>
      </c>
      <c r="AF286" s="196">
        <f t="shared" si="59"/>
        <v>0</v>
      </c>
    </row>
    <row r="287" spans="1:32" ht="12.95" hidden="1" customHeight="1">
      <c r="A287" s="190">
        <v>62525</v>
      </c>
      <c r="B287" s="191">
        <v>43560</v>
      </c>
      <c r="C287" s="190" t="s">
        <v>457</v>
      </c>
      <c r="D287" s="190" t="s">
        <v>536</v>
      </c>
      <c r="E287" s="190" t="s">
        <v>346</v>
      </c>
      <c r="F287" s="190" t="s">
        <v>537</v>
      </c>
      <c r="G287" s="192" t="s">
        <v>538</v>
      </c>
      <c r="H287" s="192" t="s">
        <v>296</v>
      </c>
      <c r="I287" s="192" t="s">
        <v>395</v>
      </c>
      <c r="J287" s="192" t="s">
        <v>350</v>
      </c>
      <c r="K287" s="190" t="s">
        <v>351</v>
      </c>
      <c r="L287" s="190" t="s">
        <v>363</v>
      </c>
      <c r="M287" s="192" t="s">
        <v>364</v>
      </c>
      <c r="N287" s="193">
        <v>3</v>
      </c>
      <c r="O287" s="193">
        <v>334545</v>
      </c>
      <c r="P287" s="194">
        <v>1003635</v>
      </c>
      <c r="Q287" s="194">
        <v>100363.5</v>
      </c>
      <c r="R287" s="194">
        <v>1103998.5</v>
      </c>
      <c r="S287" s="192"/>
      <c r="T287" s="192" t="s">
        <v>310</v>
      </c>
      <c r="U287" s="190">
        <v>60300</v>
      </c>
      <c r="V287" s="190"/>
      <c r="W287" s="195" t="s">
        <v>356</v>
      </c>
      <c r="X287" s="196" t="str">
        <f>+IFERROR(VLOOKUP($F287,'[2]Chuyển đổi mã'!$A$1:$C$91,3,0),$F287)&amp;AC287</f>
        <v>Big C North323708</v>
      </c>
      <c r="Y287" s="196" t="str">
        <f>IFERROR(VLOOKUP($F287,'[2]Chuyển đổi mã'!$A$1:$C$184,3,0),F287)</f>
        <v>Big C North</v>
      </c>
      <c r="Z287" s="196" t="str">
        <f>VLOOKUP($G287,'[2]Thông tin NPP'!$B:$D,3,0)</f>
        <v>BIG C North</v>
      </c>
      <c r="AA287" s="196" t="str">
        <f t="shared" si="55"/>
        <v>Nextar Bro</v>
      </c>
      <c r="AB287" s="196" t="str">
        <f>IFERROR(VLOOKUP(DAY(B287),'[2]Chuyển đổi mã'!$F$1:$G$32,2,0),0)</f>
        <v>W1</v>
      </c>
      <c r="AC287" s="196" t="str">
        <f t="shared" si="56"/>
        <v>323708</v>
      </c>
      <c r="AD287" s="196" t="str">
        <f t="shared" si="57"/>
        <v>NPP</v>
      </c>
      <c r="AE287" s="196" t="str">
        <f t="shared" si="58"/>
        <v>NPP323708</v>
      </c>
      <c r="AF287" s="196">
        <f t="shared" si="59"/>
        <v>0</v>
      </c>
    </row>
    <row r="288" spans="1:32" ht="12.95" customHeight="1">
      <c r="A288" s="190">
        <v>62526</v>
      </c>
      <c r="B288" s="191">
        <v>43560</v>
      </c>
      <c r="C288" s="190" t="s">
        <v>457</v>
      </c>
      <c r="D288" s="190" t="s">
        <v>539</v>
      </c>
      <c r="E288" s="190" t="s">
        <v>346</v>
      </c>
      <c r="F288" s="190" t="s">
        <v>459</v>
      </c>
      <c r="G288" s="192" t="s">
        <v>460</v>
      </c>
      <c r="H288" s="192" t="s">
        <v>296</v>
      </c>
      <c r="I288" s="192" t="s">
        <v>349</v>
      </c>
      <c r="J288" s="192" t="s">
        <v>350</v>
      </c>
      <c r="K288" s="190" t="s">
        <v>351</v>
      </c>
      <c r="L288" s="190" t="s">
        <v>352</v>
      </c>
      <c r="M288" s="192" t="s">
        <v>353</v>
      </c>
      <c r="N288" s="193">
        <v>10</v>
      </c>
      <c r="O288" s="193">
        <v>155455</v>
      </c>
      <c r="P288" s="194">
        <v>1554550</v>
      </c>
      <c r="Q288" s="194">
        <v>155455</v>
      </c>
      <c r="R288" s="194">
        <v>1710005</v>
      </c>
      <c r="S288" s="192"/>
      <c r="T288" s="192" t="s">
        <v>310</v>
      </c>
      <c r="U288" s="190">
        <v>60298</v>
      </c>
      <c r="V288" s="190"/>
      <c r="W288" s="195" t="s">
        <v>356</v>
      </c>
      <c r="X288" s="196" t="str">
        <f>+IFERROR(VLOOKUP($F288,'[2]Chuyển đổi mã'!$A$1:$C$91,3,0),$F288)&amp;AC288</f>
        <v>Lotte South320463</v>
      </c>
      <c r="Y288" s="196" t="str">
        <f>IFERROR(VLOOKUP($F288,'[2]Chuyển đổi mã'!$A$1:$C$184,3,0),F288)</f>
        <v>Lotte South</v>
      </c>
      <c r="Z288" s="196" t="str">
        <f>VLOOKUP($G288,'[2]Thông tin NPP'!$B:$D,3,0)</f>
        <v>Lotte South</v>
      </c>
      <c r="AA288" s="196" t="str">
        <f t="shared" si="55"/>
        <v>Na 8,5g</v>
      </c>
      <c r="AB288" s="196" t="str">
        <f>IFERROR(VLOOKUP(DAY(B288),'[2]Chuyển đổi mã'!$F$1:$G$32,2,0),0)</f>
        <v>W1</v>
      </c>
      <c r="AC288" s="196" t="str">
        <f t="shared" si="56"/>
        <v>320463</v>
      </c>
      <c r="AD288" s="196" t="str">
        <f t="shared" si="57"/>
        <v>NPP</v>
      </c>
      <c r="AE288" s="196" t="str">
        <f t="shared" si="58"/>
        <v>NPP320463</v>
      </c>
      <c r="AF288" s="196">
        <f t="shared" si="59"/>
        <v>0</v>
      </c>
    </row>
    <row r="289" spans="1:32" ht="12.95" customHeight="1">
      <c r="A289" s="190">
        <v>62526</v>
      </c>
      <c r="B289" s="191">
        <v>43560</v>
      </c>
      <c r="C289" s="190" t="s">
        <v>457</v>
      </c>
      <c r="D289" s="190" t="s">
        <v>539</v>
      </c>
      <c r="E289" s="190" t="s">
        <v>346</v>
      </c>
      <c r="F289" s="190" t="s">
        <v>459</v>
      </c>
      <c r="G289" s="192" t="s">
        <v>460</v>
      </c>
      <c r="H289" s="192" t="s">
        <v>296</v>
      </c>
      <c r="I289" s="192" t="s">
        <v>349</v>
      </c>
      <c r="J289" s="192" t="s">
        <v>350</v>
      </c>
      <c r="K289" s="190" t="s">
        <v>351</v>
      </c>
      <c r="L289" s="190" t="s">
        <v>387</v>
      </c>
      <c r="M289" s="192" t="s">
        <v>388</v>
      </c>
      <c r="N289" s="193">
        <v>5</v>
      </c>
      <c r="O289" s="193">
        <v>340000</v>
      </c>
      <c r="P289" s="194">
        <v>1700000</v>
      </c>
      <c r="Q289" s="194">
        <v>170000</v>
      </c>
      <c r="R289" s="194">
        <v>1870000</v>
      </c>
      <c r="S289" s="192"/>
      <c r="T289" s="192" t="s">
        <v>310</v>
      </c>
      <c r="U289" s="190">
        <v>60298</v>
      </c>
      <c r="V289" s="190"/>
      <c r="W289" s="195" t="s">
        <v>356</v>
      </c>
      <c r="X289" s="196" t="str">
        <f>+IFERROR(VLOOKUP($F289,'[2]Chuyển đổi mã'!$A$1:$C$91,3,0),$F289)&amp;AC289</f>
        <v>Lotte South323620</v>
      </c>
      <c r="Y289" s="196" t="str">
        <f>IFERROR(VLOOKUP($F289,'[2]Chuyển đổi mã'!$A$1:$C$184,3,0),F289)</f>
        <v>Lotte South</v>
      </c>
      <c r="Z289" s="196" t="str">
        <f>VLOOKUP($G289,'[2]Thông tin NPP'!$B:$D,3,0)</f>
        <v>Lotte South</v>
      </c>
      <c r="AA289" s="196" t="str">
        <f t="shared" si="55"/>
        <v>Ahh 16g</v>
      </c>
      <c r="AB289" s="196" t="str">
        <f>IFERROR(VLOOKUP(DAY(B289),'[2]Chuyển đổi mã'!$F$1:$G$32,2,0),0)</f>
        <v>W1</v>
      </c>
      <c r="AC289" s="196" t="str">
        <f t="shared" si="56"/>
        <v>323620</v>
      </c>
      <c r="AD289" s="196" t="str">
        <f t="shared" si="57"/>
        <v>NPP</v>
      </c>
      <c r="AE289" s="196" t="str">
        <f t="shared" si="58"/>
        <v>NPP323620</v>
      </c>
      <c r="AF289" s="196">
        <f t="shared" si="59"/>
        <v>0</v>
      </c>
    </row>
    <row r="290" spans="1:32" ht="12.95" customHeight="1">
      <c r="A290" s="190">
        <v>62526</v>
      </c>
      <c r="B290" s="191">
        <v>43560</v>
      </c>
      <c r="C290" s="190" t="s">
        <v>457</v>
      </c>
      <c r="D290" s="190" t="s">
        <v>539</v>
      </c>
      <c r="E290" s="190" t="s">
        <v>346</v>
      </c>
      <c r="F290" s="190" t="s">
        <v>459</v>
      </c>
      <c r="G290" s="192" t="s">
        <v>460</v>
      </c>
      <c r="H290" s="192" t="s">
        <v>296</v>
      </c>
      <c r="I290" s="192" t="s">
        <v>349</v>
      </c>
      <c r="J290" s="192" t="s">
        <v>350</v>
      </c>
      <c r="K290" s="190" t="s">
        <v>351</v>
      </c>
      <c r="L290" s="190" t="s">
        <v>378</v>
      </c>
      <c r="M290" s="192" t="s">
        <v>379</v>
      </c>
      <c r="N290" s="193">
        <v>4</v>
      </c>
      <c r="O290" s="193">
        <v>213273</v>
      </c>
      <c r="P290" s="194">
        <v>853092</v>
      </c>
      <c r="Q290" s="194">
        <v>85309.2</v>
      </c>
      <c r="R290" s="194">
        <v>938401.2</v>
      </c>
      <c r="S290" s="192"/>
      <c r="T290" s="192" t="s">
        <v>310</v>
      </c>
      <c r="U290" s="190">
        <v>60298</v>
      </c>
      <c r="V290" s="190"/>
      <c r="W290" s="195" t="s">
        <v>356</v>
      </c>
      <c r="X290" s="196" t="str">
        <f>+IFERROR(VLOOKUP($F290,'[2]Chuyển đổi mã'!$A$1:$C$91,3,0),$F290)&amp;AC290</f>
        <v>Lotte South321238</v>
      </c>
      <c r="Y290" s="196" t="str">
        <f>IFERROR(VLOOKUP($F290,'[2]Chuyển đổi mã'!$A$1:$C$184,3,0),F290)</f>
        <v>Lotte South</v>
      </c>
      <c r="Z290" s="196" t="str">
        <f>VLOOKUP($G290,'[2]Thông tin NPP'!$B:$D,3,0)</f>
        <v>Lotte South</v>
      </c>
      <c r="AA290" s="196" t="str">
        <f t="shared" si="55"/>
        <v>Richoco Wf</v>
      </c>
      <c r="AB290" s="196" t="str">
        <f>IFERROR(VLOOKUP(DAY(B290),'[2]Chuyển đổi mã'!$F$1:$G$32,2,0),0)</f>
        <v>W1</v>
      </c>
      <c r="AC290" s="196" t="str">
        <f t="shared" si="56"/>
        <v>321238</v>
      </c>
      <c r="AD290" s="196" t="str">
        <f t="shared" si="57"/>
        <v>NPP</v>
      </c>
      <c r="AE290" s="196" t="str">
        <f t="shared" si="58"/>
        <v>NPP321238</v>
      </c>
      <c r="AF290" s="196">
        <f t="shared" si="59"/>
        <v>0</v>
      </c>
    </row>
    <row r="291" spans="1:32" ht="12.95" customHeight="1">
      <c r="A291" s="190">
        <v>62526</v>
      </c>
      <c r="B291" s="191">
        <v>43560</v>
      </c>
      <c r="C291" s="190" t="s">
        <v>457</v>
      </c>
      <c r="D291" s="190" t="s">
        <v>539</v>
      </c>
      <c r="E291" s="190" t="s">
        <v>346</v>
      </c>
      <c r="F291" s="190" t="s">
        <v>459</v>
      </c>
      <c r="G291" s="192" t="s">
        <v>460</v>
      </c>
      <c r="H291" s="192" t="s">
        <v>296</v>
      </c>
      <c r="I291" s="192" t="s">
        <v>349</v>
      </c>
      <c r="J291" s="192" t="s">
        <v>350</v>
      </c>
      <c r="K291" s="190" t="s">
        <v>351</v>
      </c>
      <c r="L291" s="190" t="s">
        <v>359</v>
      </c>
      <c r="M291" s="192" t="s">
        <v>360</v>
      </c>
      <c r="N291" s="193">
        <v>2</v>
      </c>
      <c r="O291" s="193">
        <v>300000</v>
      </c>
      <c r="P291" s="194">
        <v>600000</v>
      </c>
      <c r="Q291" s="194">
        <v>60000</v>
      </c>
      <c r="R291" s="194">
        <v>660000</v>
      </c>
      <c r="S291" s="192"/>
      <c r="T291" s="192" t="s">
        <v>310</v>
      </c>
      <c r="U291" s="190">
        <v>60298</v>
      </c>
      <c r="V291" s="190"/>
      <c r="W291" s="195" t="s">
        <v>356</v>
      </c>
      <c r="X291" s="196" t="str">
        <f>+IFERROR(VLOOKUP($F291,'[2]Chuyển đổi mã'!$A$1:$C$91,3,0),$F291)&amp;AC291</f>
        <v>Lotte South320445</v>
      </c>
      <c r="Y291" s="196" t="str">
        <f>IFERROR(VLOOKUP($F291,'[2]Chuyển đổi mã'!$A$1:$C$184,3,0),F291)</f>
        <v>Lotte South</v>
      </c>
      <c r="Z291" s="196" t="str">
        <f>VLOOKUP($G291,'[2]Thông tin NPP'!$B:$D,3,0)</f>
        <v>Lotte South</v>
      </c>
      <c r="AA291" s="196" t="str">
        <f t="shared" si="55"/>
        <v>Na 58g</v>
      </c>
      <c r="AB291" s="196" t="str">
        <f>IFERROR(VLOOKUP(DAY(B291),'[2]Chuyển đổi mã'!$F$1:$G$32,2,0),0)</f>
        <v>W1</v>
      </c>
      <c r="AC291" s="196" t="str">
        <f t="shared" si="56"/>
        <v>320445</v>
      </c>
      <c r="AD291" s="196" t="str">
        <f t="shared" si="57"/>
        <v>NPP</v>
      </c>
      <c r="AE291" s="196" t="str">
        <f t="shared" si="58"/>
        <v>NPP320445</v>
      </c>
      <c r="AF291" s="196">
        <f t="shared" si="59"/>
        <v>0</v>
      </c>
    </row>
    <row r="292" spans="1:32" ht="12.95" customHeight="1">
      <c r="A292" s="190">
        <v>62526</v>
      </c>
      <c r="B292" s="191">
        <v>43560</v>
      </c>
      <c r="C292" s="190" t="s">
        <v>457</v>
      </c>
      <c r="D292" s="190" t="s">
        <v>539</v>
      </c>
      <c r="E292" s="190" t="s">
        <v>346</v>
      </c>
      <c r="F292" s="190" t="s">
        <v>459</v>
      </c>
      <c r="G292" s="192" t="s">
        <v>460</v>
      </c>
      <c r="H292" s="192" t="s">
        <v>296</v>
      </c>
      <c r="I292" s="192" t="s">
        <v>349</v>
      </c>
      <c r="J292" s="192" t="s">
        <v>350</v>
      </c>
      <c r="K292" s="190" t="s">
        <v>351</v>
      </c>
      <c r="L292" s="190" t="s">
        <v>357</v>
      </c>
      <c r="M292" s="192" t="s">
        <v>358</v>
      </c>
      <c r="N292" s="193">
        <v>10</v>
      </c>
      <c r="O292" s="193">
        <v>213273</v>
      </c>
      <c r="P292" s="194">
        <v>2132730</v>
      </c>
      <c r="Q292" s="194">
        <v>213273</v>
      </c>
      <c r="R292" s="194">
        <v>2346003</v>
      </c>
      <c r="S292" s="192"/>
      <c r="T292" s="192" t="s">
        <v>310</v>
      </c>
      <c r="U292" s="190">
        <v>60298</v>
      </c>
      <c r="V292" s="190"/>
      <c r="W292" s="195" t="s">
        <v>356</v>
      </c>
      <c r="X292" s="196" t="str">
        <f>+IFERROR(VLOOKUP($F292,'[2]Chuyển đổi mã'!$A$1:$C$91,3,0),$F292)&amp;AC292</f>
        <v>Lotte South323555</v>
      </c>
      <c r="Y292" s="196" t="str">
        <f>IFERROR(VLOOKUP($F292,'[2]Chuyển đổi mã'!$A$1:$C$184,3,0),F292)</f>
        <v>Lotte South</v>
      </c>
      <c r="Z292" s="196" t="str">
        <f>VLOOKUP($G292,'[2]Thông tin NPP'!$B:$D,3,0)</f>
        <v>Lotte South</v>
      </c>
      <c r="AA292" s="196" t="str">
        <f t="shared" si="55"/>
        <v>Na 17g - M</v>
      </c>
      <c r="AB292" s="196" t="str">
        <f>IFERROR(VLOOKUP(DAY(B292),'[2]Chuyển đổi mã'!$F$1:$G$32,2,0),0)</f>
        <v>W1</v>
      </c>
      <c r="AC292" s="196" t="str">
        <f t="shared" si="56"/>
        <v>323555</v>
      </c>
      <c r="AD292" s="196" t="str">
        <f t="shared" si="57"/>
        <v>NPP</v>
      </c>
      <c r="AE292" s="196" t="str">
        <f t="shared" si="58"/>
        <v>NPP323555</v>
      </c>
      <c r="AF292" s="196">
        <f t="shared" si="59"/>
        <v>0</v>
      </c>
    </row>
    <row r="293" spans="1:32" ht="12.95" customHeight="1">
      <c r="A293" s="190">
        <v>62526</v>
      </c>
      <c r="B293" s="191">
        <v>43560</v>
      </c>
      <c r="C293" s="190" t="s">
        <v>457</v>
      </c>
      <c r="D293" s="190" t="s">
        <v>539</v>
      </c>
      <c r="E293" s="190" t="s">
        <v>346</v>
      </c>
      <c r="F293" s="190" t="s">
        <v>459</v>
      </c>
      <c r="G293" s="192" t="s">
        <v>460</v>
      </c>
      <c r="H293" s="192" t="s">
        <v>296</v>
      </c>
      <c r="I293" s="192" t="s">
        <v>349</v>
      </c>
      <c r="J293" s="192" t="s">
        <v>350</v>
      </c>
      <c r="K293" s="190" t="s">
        <v>351</v>
      </c>
      <c r="L293" s="190" t="s">
        <v>363</v>
      </c>
      <c r="M293" s="192" t="s">
        <v>364</v>
      </c>
      <c r="N293" s="193">
        <v>2</v>
      </c>
      <c r="O293" s="193">
        <v>320000</v>
      </c>
      <c r="P293" s="194">
        <v>640000</v>
      </c>
      <c r="Q293" s="194">
        <v>64000</v>
      </c>
      <c r="R293" s="194">
        <v>704000</v>
      </c>
      <c r="S293" s="192"/>
      <c r="T293" s="192" t="s">
        <v>310</v>
      </c>
      <c r="U293" s="190">
        <v>60298</v>
      </c>
      <c r="V293" s="190"/>
      <c r="W293" s="195" t="s">
        <v>356</v>
      </c>
      <c r="X293" s="196" t="str">
        <f>+IFERROR(VLOOKUP($F293,'[2]Chuyển đổi mã'!$A$1:$C$91,3,0),$F293)&amp;AC293</f>
        <v>Lotte South323708</v>
      </c>
      <c r="Y293" s="196" t="str">
        <f>IFERROR(VLOOKUP($F293,'[2]Chuyển đổi mã'!$A$1:$C$184,3,0),F293)</f>
        <v>Lotte South</v>
      </c>
      <c r="Z293" s="196" t="str">
        <f>VLOOKUP($G293,'[2]Thông tin NPP'!$B:$D,3,0)</f>
        <v>Lotte South</v>
      </c>
      <c r="AA293" s="196" t="str">
        <f t="shared" si="55"/>
        <v>Nextar Bro</v>
      </c>
      <c r="AB293" s="196" t="str">
        <f>IFERROR(VLOOKUP(DAY(B293),'[2]Chuyển đổi mã'!$F$1:$G$32,2,0),0)</f>
        <v>W1</v>
      </c>
      <c r="AC293" s="196" t="str">
        <f t="shared" si="56"/>
        <v>323708</v>
      </c>
      <c r="AD293" s="196" t="str">
        <f t="shared" si="57"/>
        <v>NPP</v>
      </c>
      <c r="AE293" s="196" t="str">
        <f t="shared" si="58"/>
        <v>NPP323708</v>
      </c>
      <c r="AF293" s="196">
        <f t="shared" si="59"/>
        <v>0</v>
      </c>
    </row>
    <row r="294" spans="1:32" ht="12.95" customHeight="1">
      <c r="A294" s="190">
        <v>62563</v>
      </c>
      <c r="B294" s="191">
        <v>43563</v>
      </c>
      <c r="C294" s="190" t="s">
        <v>457</v>
      </c>
      <c r="D294" s="190" t="s">
        <v>540</v>
      </c>
      <c r="E294" s="190" t="s">
        <v>346</v>
      </c>
      <c r="F294" s="190" t="s">
        <v>541</v>
      </c>
      <c r="G294" s="192" t="s">
        <v>542</v>
      </c>
      <c r="H294" s="192" t="s">
        <v>296</v>
      </c>
      <c r="I294" s="192" t="s">
        <v>349</v>
      </c>
      <c r="J294" s="192" t="s">
        <v>350</v>
      </c>
      <c r="K294" s="190" t="s">
        <v>351</v>
      </c>
      <c r="L294" s="190" t="s">
        <v>352</v>
      </c>
      <c r="M294" s="192" t="s">
        <v>353</v>
      </c>
      <c r="N294" s="193">
        <v>15</v>
      </c>
      <c r="O294" s="193">
        <v>119700.35</v>
      </c>
      <c r="P294" s="194">
        <v>1795505.25</v>
      </c>
      <c r="Q294" s="194">
        <v>179550.52499999999</v>
      </c>
      <c r="R294" s="194">
        <v>1975055.7749999999</v>
      </c>
      <c r="S294" s="192" t="s">
        <v>354</v>
      </c>
      <c r="T294" s="192" t="s">
        <v>355</v>
      </c>
      <c r="U294" s="190">
        <v>60334</v>
      </c>
      <c r="V294" s="190"/>
      <c r="W294" s="195" t="s">
        <v>356</v>
      </c>
      <c r="X294" s="196" t="str">
        <f>+IFERROR(VLOOKUP($F294,'[2]Chuyển đổi mã'!$A$1:$C$91,3,0),$F294)&amp;AC294</f>
        <v>Big C South320463</v>
      </c>
      <c r="Y294" s="196" t="str">
        <f>IFERROR(VLOOKUP($F294,'[2]Chuyển đổi mã'!$A$1:$C$184,3,0),F294)</f>
        <v>Big C South</v>
      </c>
      <c r="Z294" s="196" t="str">
        <f>VLOOKUP($G294,'[2]Thông tin NPP'!$B:$D,3,0)</f>
        <v>Big C South</v>
      </c>
      <c r="AA294" s="196" t="str">
        <f t="shared" ref="AA294:AA305" si="60">LEFT($M294,10)</f>
        <v>Na 8,5g</v>
      </c>
      <c r="AB294" s="196" t="str">
        <f>IFERROR(VLOOKUP(DAY(B294),'[2]Chuyển đổi mã'!$F$1:$G$32,2,0),0)</f>
        <v>W2</v>
      </c>
      <c r="AC294" s="196" t="str">
        <f t="shared" ref="AC294:AC305" si="61">LEFT(L294,6)</f>
        <v>320463</v>
      </c>
      <c r="AD294" s="196" t="str">
        <f t="shared" ref="AD294:AD305" si="62">LEFT(F294,3)</f>
        <v>NPP</v>
      </c>
      <c r="AE294" s="196" t="str">
        <f t="shared" ref="AE294:AE305" si="63">AD294&amp;AC294</f>
        <v>NPP320463</v>
      </c>
      <c r="AF294" s="196">
        <f t="shared" ref="AF294:AF305" si="64">IF(RIGHT(L294,1)="P","P",0)</f>
        <v>0</v>
      </c>
    </row>
    <row r="295" spans="1:32" ht="12.95" customHeight="1">
      <c r="A295" s="190">
        <v>62563</v>
      </c>
      <c r="B295" s="191">
        <v>43563</v>
      </c>
      <c r="C295" s="190" t="s">
        <v>457</v>
      </c>
      <c r="D295" s="190" t="s">
        <v>540</v>
      </c>
      <c r="E295" s="190" t="s">
        <v>346</v>
      </c>
      <c r="F295" s="190" t="s">
        <v>541</v>
      </c>
      <c r="G295" s="192" t="s">
        <v>542</v>
      </c>
      <c r="H295" s="192" t="s">
        <v>296</v>
      </c>
      <c r="I295" s="192" t="s">
        <v>349</v>
      </c>
      <c r="J295" s="192" t="s">
        <v>350</v>
      </c>
      <c r="K295" s="190" t="s">
        <v>351</v>
      </c>
      <c r="L295" s="190" t="s">
        <v>357</v>
      </c>
      <c r="M295" s="192" t="s">
        <v>358</v>
      </c>
      <c r="N295" s="193">
        <v>8</v>
      </c>
      <c r="O295" s="193">
        <v>213273</v>
      </c>
      <c r="P295" s="194">
        <v>1706184</v>
      </c>
      <c r="Q295" s="194">
        <v>170618.4</v>
      </c>
      <c r="R295" s="194">
        <v>1876802.4</v>
      </c>
      <c r="S295" s="192"/>
      <c r="T295" s="192" t="s">
        <v>310</v>
      </c>
      <c r="U295" s="190">
        <v>60334</v>
      </c>
      <c r="V295" s="190"/>
      <c r="W295" s="195" t="s">
        <v>356</v>
      </c>
      <c r="X295" s="196" t="str">
        <f>+IFERROR(VLOOKUP($F295,'[2]Chuyển đổi mã'!$A$1:$C$91,3,0),$F295)&amp;AC295</f>
        <v>Big C South323555</v>
      </c>
      <c r="Y295" s="196" t="str">
        <f>IFERROR(VLOOKUP($F295,'[2]Chuyển đổi mã'!$A$1:$C$184,3,0),F295)</f>
        <v>Big C South</v>
      </c>
      <c r="Z295" s="196" t="str">
        <f>VLOOKUP($G295,'[2]Thông tin NPP'!$B:$D,3,0)</f>
        <v>Big C South</v>
      </c>
      <c r="AA295" s="196" t="str">
        <f t="shared" si="60"/>
        <v>Na 17g - M</v>
      </c>
      <c r="AB295" s="196" t="str">
        <f>IFERROR(VLOOKUP(DAY(B295),'[2]Chuyển đổi mã'!$F$1:$G$32,2,0),0)</f>
        <v>W2</v>
      </c>
      <c r="AC295" s="196" t="str">
        <f t="shared" si="61"/>
        <v>323555</v>
      </c>
      <c r="AD295" s="196" t="str">
        <f t="shared" si="62"/>
        <v>NPP</v>
      </c>
      <c r="AE295" s="196" t="str">
        <f t="shared" si="63"/>
        <v>NPP323555</v>
      </c>
      <c r="AF295" s="196">
        <f t="shared" si="64"/>
        <v>0</v>
      </c>
    </row>
    <row r="296" spans="1:32" ht="12.95" customHeight="1">
      <c r="A296" s="190">
        <v>62563</v>
      </c>
      <c r="B296" s="191">
        <v>43563</v>
      </c>
      <c r="C296" s="190" t="s">
        <v>457</v>
      </c>
      <c r="D296" s="190" t="s">
        <v>540</v>
      </c>
      <c r="E296" s="190" t="s">
        <v>346</v>
      </c>
      <c r="F296" s="190" t="s">
        <v>541</v>
      </c>
      <c r="G296" s="192" t="s">
        <v>542</v>
      </c>
      <c r="H296" s="192" t="s">
        <v>296</v>
      </c>
      <c r="I296" s="192" t="s">
        <v>349</v>
      </c>
      <c r="J296" s="192" t="s">
        <v>350</v>
      </c>
      <c r="K296" s="190" t="s">
        <v>351</v>
      </c>
      <c r="L296" s="190" t="s">
        <v>359</v>
      </c>
      <c r="M296" s="192" t="s">
        <v>360</v>
      </c>
      <c r="N296" s="193">
        <v>4</v>
      </c>
      <c r="O296" s="193">
        <v>313636</v>
      </c>
      <c r="P296" s="194">
        <v>1254544</v>
      </c>
      <c r="Q296" s="194">
        <v>125454.39999999999</v>
      </c>
      <c r="R296" s="194">
        <v>1379998.4</v>
      </c>
      <c r="S296" s="192"/>
      <c r="T296" s="192" t="s">
        <v>310</v>
      </c>
      <c r="U296" s="190">
        <v>60334</v>
      </c>
      <c r="V296" s="190"/>
      <c r="W296" s="195" t="s">
        <v>356</v>
      </c>
      <c r="X296" s="196" t="str">
        <f>+IFERROR(VLOOKUP($F296,'[2]Chuyển đổi mã'!$A$1:$C$91,3,0),$F296)&amp;AC296</f>
        <v>Big C South320445</v>
      </c>
      <c r="Y296" s="196" t="str">
        <f>IFERROR(VLOOKUP($F296,'[2]Chuyển đổi mã'!$A$1:$C$184,3,0),F296)</f>
        <v>Big C South</v>
      </c>
      <c r="Z296" s="196" t="str">
        <f>VLOOKUP($G296,'[2]Thông tin NPP'!$B:$D,3,0)</f>
        <v>Big C South</v>
      </c>
      <c r="AA296" s="196" t="str">
        <f t="shared" si="60"/>
        <v>Na 58g</v>
      </c>
      <c r="AB296" s="196" t="str">
        <f>IFERROR(VLOOKUP(DAY(B296),'[2]Chuyển đổi mã'!$F$1:$G$32,2,0),0)</f>
        <v>W2</v>
      </c>
      <c r="AC296" s="196" t="str">
        <f t="shared" si="61"/>
        <v>320445</v>
      </c>
      <c r="AD296" s="196" t="str">
        <f t="shared" si="62"/>
        <v>NPP</v>
      </c>
      <c r="AE296" s="196" t="str">
        <f t="shared" si="63"/>
        <v>NPP320445</v>
      </c>
      <c r="AF296" s="196">
        <f t="shared" si="64"/>
        <v>0</v>
      </c>
    </row>
    <row r="297" spans="1:32" ht="12.95" customHeight="1">
      <c r="A297" s="190">
        <v>62563</v>
      </c>
      <c r="B297" s="191">
        <v>43563</v>
      </c>
      <c r="C297" s="190" t="s">
        <v>457</v>
      </c>
      <c r="D297" s="190" t="s">
        <v>540</v>
      </c>
      <c r="E297" s="190" t="s">
        <v>346</v>
      </c>
      <c r="F297" s="190" t="s">
        <v>541</v>
      </c>
      <c r="G297" s="192" t="s">
        <v>542</v>
      </c>
      <c r="H297" s="192" t="s">
        <v>296</v>
      </c>
      <c r="I297" s="192" t="s">
        <v>349</v>
      </c>
      <c r="J297" s="192" t="s">
        <v>350</v>
      </c>
      <c r="K297" s="190" t="s">
        <v>351</v>
      </c>
      <c r="L297" s="190" t="s">
        <v>361</v>
      </c>
      <c r="M297" s="192" t="s">
        <v>362</v>
      </c>
      <c r="N297" s="193">
        <v>1</v>
      </c>
      <c r="O297" s="193">
        <v>313636</v>
      </c>
      <c r="P297" s="194">
        <v>313636</v>
      </c>
      <c r="Q297" s="194">
        <v>31363.599999999999</v>
      </c>
      <c r="R297" s="194">
        <v>344999.6</v>
      </c>
      <c r="S297" s="192"/>
      <c r="T297" s="192" t="s">
        <v>310</v>
      </c>
      <c r="U297" s="190">
        <v>60334</v>
      </c>
      <c r="V297" s="190"/>
      <c r="W297" s="195" t="s">
        <v>356</v>
      </c>
      <c r="X297" s="196" t="str">
        <f>+IFERROR(VLOOKUP($F297,'[2]Chuyển đổi mã'!$A$1:$C$91,3,0),$F297)&amp;AC297</f>
        <v>Big C South331017</v>
      </c>
      <c r="Y297" s="196" t="str">
        <f>IFERROR(VLOOKUP($F297,'[2]Chuyển đổi mã'!$A$1:$C$184,3,0),F297)</f>
        <v>Big C South</v>
      </c>
      <c r="Z297" s="196" t="str">
        <f>VLOOKUP($G297,'[2]Thông tin NPP'!$B:$D,3,0)</f>
        <v>Big C South</v>
      </c>
      <c r="AA297" s="196" t="str">
        <f t="shared" si="60"/>
        <v>Richoco Wf</v>
      </c>
      <c r="AB297" s="196" t="str">
        <f>IFERROR(VLOOKUP(DAY(B297),'[2]Chuyển đổi mã'!$F$1:$G$32,2,0),0)</f>
        <v>W2</v>
      </c>
      <c r="AC297" s="196" t="str">
        <f t="shared" si="61"/>
        <v>331017</v>
      </c>
      <c r="AD297" s="196" t="str">
        <f t="shared" si="62"/>
        <v>NPP</v>
      </c>
      <c r="AE297" s="196" t="str">
        <f t="shared" si="63"/>
        <v>NPP331017</v>
      </c>
      <c r="AF297" s="196">
        <f t="shared" si="64"/>
        <v>0</v>
      </c>
    </row>
    <row r="298" spans="1:32" ht="12.95" customHeight="1">
      <c r="A298" s="190">
        <v>62564</v>
      </c>
      <c r="B298" s="191">
        <v>43563</v>
      </c>
      <c r="C298" s="190" t="s">
        <v>457</v>
      </c>
      <c r="D298" s="190" t="s">
        <v>543</v>
      </c>
      <c r="E298" s="190" t="s">
        <v>346</v>
      </c>
      <c r="F298" s="190" t="s">
        <v>459</v>
      </c>
      <c r="G298" s="192" t="s">
        <v>460</v>
      </c>
      <c r="H298" s="192" t="s">
        <v>296</v>
      </c>
      <c r="I298" s="192" t="s">
        <v>349</v>
      </c>
      <c r="J298" s="192" t="s">
        <v>350</v>
      </c>
      <c r="K298" s="190" t="s">
        <v>351</v>
      </c>
      <c r="L298" s="190" t="s">
        <v>352</v>
      </c>
      <c r="M298" s="192" t="s">
        <v>353</v>
      </c>
      <c r="N298" s="193">
        <v>350</v>
      </c>
      <c r="O298" s="193">
        <v>115036.7</v>
      </c>
      <c r="P298" s="194">
        <v>40262845</v>
      </c>
      <c r="Q298" s="194">
        <v>4026284.5</v>
      </c>
      <c r="R298" s="194">
        <v>44289129.5</v>
      </c>
      <c r="S298" s="192" t="s">
        <v>544</v>
      </c>
      <c r="T298" s="192" t="s">
        <v>545</v>
      </c>
      <c r="U298" s="190">
        <v>60348</v>
      </c>
      <c r="V298" s="190"/>
      <c r="W298" s="195" t="s">
        <v>356</v>
      </c>
      <c r="X298" s="196" t="str">
        <f>+IFERROR(VLOOKUP($F298,'[2]Chuyển đổi mã'!$A$1:$C$91,3,0),$F298)&amp;AC298</f>
        <v>Lotte South320463</v>
      </c>
      <c r="Y298" s="196" t="str">
        <f>IFERROR(VLOOKUP($F298,'[2]Chuyển đổi mã'!$A$1:$C$184,3,0),F298)</f>
        <v>Lotte South</v>
      </c>
      <c r="Z298" s="196" t="str">
        <f>VLOOKUP($G298,'[2]Thông tin NPP'!$B:$D,3,0)</f>
        <v>Lotte South</v>
      </c>
      <c r="AA298" s="196" t="str">
        <f t="shared" si="60"/>
        <v>Na 8,5g</v>
      </c>
      <c r="AB298" s="196" t="str">
        <f>IFERROR(VLOOKUP(DAY(B298),'[2]Chuyển đổi mã'!$F$1:$G$32,2,0),0)</f>
        <v>W2</v>
      </c>
      <c r="AC298" s="196" t="str">
        <f t="shared" si="61"/>
        <v>320463</v>
      </c>
      <c r="AD298" s="196" t="str">
        <f t="shared" si="62"/>
        <v>NPP</v>
      </c>
      <c r="AE298" s="196" t="str">
        <f t="shared" si="63"/>
        <v>NPP320463</v>
      </c>
      <c r="AF298" s="196">
        <f t="shared" si="64"/>
        <v>0</v>
      </c>
    </row>
    <row r="299" spans="1:32" ht="12.95" customHeight="1">
      <c r="A299" s="190">
        <v>62564</v>
      </c>
      <c r="B299" s="191">
        <v>43563</v>
      </c>
      <c r="C299" s="190" t="s">
        <v>457</v>
      </c>
      <c r="D299" s="190" t="s">
        <v>543</v>
      </c>
      <c r="E299" s="190" t="s">
        <v>346</v>
      </c>
      <c r="F299" s="190" t="s">
        <v>459</v>
      </c>
      <c r="G299" s="192" t="s">
        <v>460</v>
      </c>
      <c r="H299" s="192" t="s">
        <v>296</v>
      </c>
      <c r="I299" s="192" t="s">
        <v>349</v>
      </c>
      <c r="J299" s="192" t="s">
        <v>350</v>
      </c>
      <c r="K299" s="190" t="s">
        <v>351</v>
      </c>
      <c r="L299" s="190" t="s">
        <v>381</v>
      </c>
      <c r="M299" s="192" t="s">
        <v>382</v>
      </c>
      <c r="N299" s="193">
        <v>5</v>
      </c>
      <c r="O299" s="193">
        <v>300000</v>
      </c>
      <c r="P299" s="194">
        <v>1500000</v>
      </c>
      <c r="Q299" s="194">
        <v>150000</v>
      </c>
      <c r="R299" s="194">
        <v>1650000</v>
      </c>
      <c r="S299" s="192"/>
      <c r="T299" s="192" t="s">
        <v>310</v>
      </c>
      <c r="U299" s="190">
        <v>60348</v>
      </c>
      <c r="V299" s="190"/>
      <c r="W299" s="195" t="s">
        <v>356</v>
      </c>
      <c r="X299" s="196" t="str">
        <f>+IFERROR(VLOOKUP($F299,'[2]Chuyển đổi mã'!$A$1:$C$91,3,0),$F299)&amp;AC299</f>
        <v>Lotte South320429</v>
      </c>
      <c r="Y299" s="196" t="str">
        <f>IFERROR(VLOOKUP($F299,'[2]Chuyển đổi mã'!$A$1:$C$184,3,0),F299)</f>
        <v>Lotte South</v>
      </c>
      <c r="Z299" s="196" t="str">
        <f>VLOOKUP($G299,'[2]Thông tin NPP'!$B:$D,3,0)</f>
        <v>Lotte South</v>
      </c>
      <c r="AA299" s="196" t="str">
        <f t="shared" si="60"/>
        <v>Tin Can 35</v>
      </c>
      <c r="AB299" s="196" t="str">
        <f>IFERROR(VLOOKUP(DAY(B299),'[2]Chuyển đổi mã'!$F$1:$G$32,2,0),0)</f>
        <v>W2</v>
      </c>
      <c r="AC299" s="196" t="str">
        <f t="shared" si="61"/>
        <v>320429</v>
      </c>
      <c r="AD299" s="196" t="str">
        <f t="shared" si="62"/>
        <v>NPP</v>
      </c>
      <c r="AE299" s="196" t="str">
        <f t="shared" si="63"/>
        <v>NPP320429</v>
      </c>
      <c r="AF299" s="196">
        <f t="shared" si="64"/>
        <v>0</v>
      </c>
    </row>
    <row r="300" spans="1:32" ht="12.95" customHeight="1">
      <c r="A300" s="190">
        <v>62564</v>
      </c>
      <c r="B300" s="191">
        <v>43563</v>
      </c>
      <c r="C300" s="190" t="s">
        <v>457</v>
      </c>
      <c r="D300" s="190" t="s">
        <v>543</v>
      </c>
      <c r="E300" s="190" t="s">
        <v>346</v>
      </c>
      <c r="F300" s="190" t="s">
        <v>459</v>
      </c>
      <c r="G300" s="192" t="s">
        <v>460</v>
      </c>
      <c r="H300" s="192" t="s">
        <v>296</v>
      </c>
      <c r="I300" s="192" t="s">
        <v>349</v>
      </c>
      <c r="J300" s="192" t="s">
        <v>350</v>
      </c>
      <c r="K300" s="190" t="s">
        <v>351</v>
      </c>
      <c r="L300" s="190" t="s">
        <v>387</v>
      </c>
      <c r="M300" s="192" t="s">
        <v>388</v>
      </c>
      <c r="N300" s="193">
        <v>10</v>
      </c>
      <c r="O300" s="193">
        <v>340000</v>
      </c>
      <c r="P300" s="194">
        <v>3400000</v>
      </c>
      <c r="Q300" s="194">
        <v>340000</v>
      </c>
      <c r="R300" s="194">
        <v>3740000</v>
      </c>
      <c r="S300" s="192"/>
      <c r="T300" s="192" t="s">
        <v>310</v>
      </c>
      <c r="U300" s="190">
        <v>60348</v>
      </c>
      <c r="V300" s="190"/>
      <c r="W300" s="195" t="s">
        <v>356</v>
      </c>
      <c r="X300" s="196" t="str">
        <f>+IFERROR(VLOOKUP($F300,'[2]Chuyển đổi mã'!$A$1:$C$91,3,0),$F300)&amp;AC300</f>
        <v>Lotte South323620</v>
      </c>
      <c r="Y300" s="196" t="str">
        <f>IFERROR(VLOOKUP($F300,'[2]Chuyển đổi mã'!$A$1:$C$184,3,0),F300)</f>
        <v>Lotte South</v>
      </c>
      <c r="Z300" s="196" t="str">
        <f>VLOOKUP($G300,'[2]Thông tin NPP'!$B:$D,3,0)</f>
        <v>Lotte South</v>
      </c>
      <c r="AA300" s="196" t="str">
        <f t="shared" si="60"/>
        <v>Ahh 16g</v>
      </c>
      <c r="AB300" s="196" t="str">
        <f>IFERROR(VLOOKUP(DAY(B300),'[2]Chuyển đổi mã'!$F$1:$G$32,2,0),0)</f>
        <v>W2</v>
      </c>
      <c r="AC300" s="196" t="str">
        <f t="shared" si="61"/>
        <v>323620</v>
      </c>
      <c r="AD300" s="196" t="str">
        <f t="shared" si="62"/>
        <v>NPP</v>
      </c>
      <c r="AE300" s="196" t="str">
        <f t="shared" si="63"/>
        <v>NPP323620</v>
      </c>
      <c r="AF300" s="196">
        <f t="shared" si="64"/>
        <v>0</v>
      </c>
    </row>
    <row r="301" spans="1:32" ht="12.95" customHeight="1">
      <c r="A301" s="190">
        <v>62564</v>
      </c>
      <c r="B301" s="191">
        <v>43563</v>
      </c>
      <c r="C301" s="190" t="s">
        <v>457</v>
      </c>
      <c r="D301" s="190" t="s">
        <v>543</v>
      </c>
      <c r="E301" s="190" t="s">
        <v>346</v>
      </c>
      <c r="F301" s="190" t="s">
        <v>459</v>
      </c>
      <c r="G301" s="192" t="s">
        <v>460</v>
      </c>
      <c r="H301" s="192" t="s">
        <v>296</v>
      </c>
      <c r="I301" s="192" t="s">
        <v>349</v>
      </c>
      <c r="J301" s="192" t="s">
        <v>350</v>
      </c>
      <c r="K301" s="190" t="s">
        <v>351</v>
      </c>
      <c r="L301" s="190" t="s">
        <v>359</v>
      </c>
      <c r="M301" s="192" t="s">
        <v>360</v>
      </c>
      <c r="N301" s="193">
        <v>2</v>
      </c>
      <c r="O301" s="193">
        <v>300000</v>
      </c>
      <c r="P301" s="194">
        <v>600000</v>
      </c>
      <c r="Q301" s="194">
        <v>60000</v>
      </c>
      <c r="R301" s="194">
        <v>660000</v>
      </c>
      <c r="S301" s="192"/>
      <c r="T301" s="192" t="s">
        <v>310</v>
      </c>
      <c r="U301" s="190">
        <v>60348</v>
      </c>
      <c r="V301" s="190"/>
      <c r="W301" s="195" t="s">
        <v>356</v>
      </c>
      <c r="X301" s="196" t="str">
        <f>+IFERROR(VLOOKUP($F301,'[2]Chuyển đổi mã'!$A$1:$C$91,3,0),$F301)&amp;AC301</f>
        <v>Lotte South320445</v>
      </c>
      <c r="Y301" s="196" t="str">
        <f>IFERROR(VLOOKUP($F301,'[2]Chuyển đổi mã'!$A$1:$C$184,3,0),F301)</f>
        <v>Lotte South</v>
      </c>
      <c r="Z301" s="196" t="str">
        <f>VLOOKUP($G301,'[2]Thông tin NPP'!$B:$D,3,0)</f>
        <v>Lotte South</v>
      </c>
      <c r="AA301" s="196" t="str">
        <f t="shared" si="60"/>
        <v>Na 58g</v>
      </c>
      <c r="AB301" s="196" t="str">
        <f>IFERROR(VLOOKUP(DAY(B301),'[2]Chuyển đổi mã'!$F$1:$G$32,2,0),0)</f>
        <v>W2</v>
      </c>
      <c r="AC301" s="196" t="str">
        <f t="shared" si="61"/>
        <v>320445</v>
      </c>
      <c r="AD301" s="196" t="str">
        <f t="shared" si="62"/>
        <v>NPP</v>
      </c>
      <c r="AE301" s="196" t="str">
        <f t="shared" si="63"/>
        <v>NPP320445</v>
      </c>
      <c r="AF301" s="196">
        <f t="shared" si="64"/>
        <v>0</v>
      </c>
    </row>
    <row r="302" spans="1:32" ht="12.95" customHeight="1">
      <c r="A302" s="190">
        <v>62564</v>
      </c>
      <c r="B302" s="191">
        <v>43563</v>
      </c>
      <c r="C302" s="190" t="s">
        <v>457</v>
      </c>
      <c r="D302" s="190" t="s">
        <v>543</v>
      </c>
      <c r="E302" s="190" t="s">
        <v>346</v>
      </c>
      <c r="F302" s="190" t="s">
        <v>459</v>
      </c>
      <c r="G302" s="192" t="s">
        <v>460</v>
      </c>
      <c r="H302" s="192" t="s">
        <v>296</v>
      </c>
      <c r="I302" s="192" t="s">
        <v>349</v>
      </c>
      <c r="J302" s="192" t="s">
        <v>350</v>
      </c>
      <c r="K302" s="190" t="s">
        <v>351</v>
      </c>
      <c r="L302" s="190" t="s">
        <v>357</v>
      </c>
      <c r="M302" s="192" t="s">
        <v>358</v>
      </c>
      <c r="N302" s="193">
        <v>10</v>
      </c>
      <c r="O302" s="193">
        <v>213273</v>
      </c>
      <c r="P302" s="194">
        <v>2132730</v>
      </c>
      <c r="Q302" s="194">
        <v>213273</v>
      </c>
      <c r="R302" s="194">
        <v>2346003</v>
      </c>
      <c r="S302" s="192"/>
      <c r="T302" s="192" t="s">
        <v>310</v>
      </c>
      <c r="U302" s="190">
        <v>60348</v>
      </c>
      <c r="V302" s="190"/>
      <c r="W302" s="195" t="s">
        <v>356</v>
      </c>
      <c r="X302" s="196" t="str">
        <f>+IFERROR(VLOOKUP($F302,'[2]Chuyển đổi mã'!$A$1:$C$91,3,0),$F302)&amp;AC302</f>
        <v>Lotte South323555</v>
      </c>
      <c r="Y302" s="196" t="str">
        <f>IFERROR(VLOOKUP($F302,'[2]Chuyển đổi mã'!$A$1:$C$184,3,0),F302)</f>
        <v>Lotte South</v>
      </c>
      <c r="Z302" s="196" t="str">
        <f>VLOOKUP($G302,'[2]Thông tin NPP'!$B:$D,3,0)</f>
        <v>Lotte South</v>
      </c>
      <c r="AA302" s="196" t="str">
        <f t="shared" si="60"/>
        <v>Na 17g - M</v>
      </c>
      <c r="AB302" s="196" t="str">
        <f>IFERROR(VLOOKUP(DAY(B302),'[2]Chuyển đổi mã'!$F$1:$G$32,2,0),0)</f>
        <v>W2</v>
      </c>
      <c r="AC302" s="196" t="str">
        <f t="shared" si="61"/>
        <v>323555</v>
      </c>
      <c r="AD302" s="196" t="str">
        <f t="shared" si="62"/>
        <v>NPP</v>
      </c>
      <c r="AE302" s="196" t="str">
        <f t="shared" si="63"/>
        <v>NPP323555</v>
      </c>
      <c r="AF302" s="196">
        <f t="shared" si="64"/>
        <v>0</v>
      </c>
    </row>
    <row r="303" spans="1:32" ht="12.95" customHeight="1">
      <c r="A303" s="190">
        <v>62564</v>
      </c>
      <c r="B303" s="191">
        <v>43563</v>
      </c>
      <c r="C303" s="190" t="s">
        <v>457</v>
      </c>
      <c r="D303" s="190" t="s">
        <v>543</v>
      </c>
      <c r="E303" s="190" t="s">
        <v>346</v>
      </c>
      <c r="F303" s="190" t="s">
        <v>459</v>
      </c>
      <c r="G303" s="192" t="s">
        <v>460</v>
      </c>
      <c r="H303" s="192" t="s">
        <v>296</v>
      </c>
      <c r="I303" s="192" t="s">
        <v>349</v>
      </c>
      <c r="J303" s="192" t="s">
        <v>350</v>
      </c>
      <c r="K303" s="190" t="s">
        <v>351</v>
      </c>
      <c r="L303" s="190" t="s">
        <v>363</v>
      </c>
      <c r="M303" s="192" t="s">
        <v>364</v>
      </c>
      <c r="N303" s="193">
        <v>2</v>
      </c>
      <c r="O303" s="193">
        <v>320000</v>
      </c>
      <c r="P303" s="194">
        <v>640000</v>
      </c>
      <c r="Q303" s="194">
        <v>64000</v>
      </c>
      <c r="R303" s="194">
        <v>704000</v>
      </c>
      <c r="S303" s="192"/>
      <c r="T303" s="192" t="s">
        <v>310</v>
      </c>
      <c r="U303" s="190">
        <v>60348</v>
      </c>
      <c r="V303" s="190"/>
      <c r="W303" s="195" t="s">
        <v>356</v>
      </c>
      <c r="X303" s="196" t="str">
        <f>+IFERROR(VLOOKUP($F303,'[2]Chuyển đổi mã'!$A$1:$C$91,3,0),$F303)&amp;AC303</f>
        <v>Lotte South323708</v>
      </c>
      <c r="Y303" s="196" t="str">
        <f>IFERROR(VLOOKUP($F303,'[2]Chuyển đổi mã'!$A$1:$C$184,3,0),F303)</f>
        <v>Lotte South</v>
      </c>
      <c r="Z303" s="196" t="str">
        <f>VLOOKUP($G303,'[2]Thông tin NPP'!$B:$D,3,0)</f>
        <v>Lotte South</v>
      </c>
      <c r="AA303" s="196" t="str">
        <f t="shared" si="60"/>
        <v>Nextar Bro</v>
      </c>
      <c r="AB303" s="196" t="str">
        <f>IFERROR(VLOOKUP(DAY(B303),'[2]Chuyển đổi mã'!$F$1:$G$32,2,0),0)</f>
        <v>W2</v>
      </c>
      <c r="AC303" s="196" t="str">
        <f t="shared" si="61"/>
        <v>323708</v>
      </c>
      <c r="AD303" s="196" t="str">
        <f t="shared" si="62"/>
        <v>NPP</v>
      </c>
      <c r="AE303" s="196" t="str">
        <f t="shared" si="63"/>
        <v>NPP323708</v>
      </c>
      <c r="AF303" s="196">
        <f t="shared" si="64"/>
        <v>0</v>
      </c>
    </row>
    <row r="304" spans="1:32" ht="12.95" hidden="1" customHeight="1">
      <c r="A304" s="190">
        <v>62565</v>
      </c>
      <c r="B304" s="191">
        <v>43563</v>
      </c>
      <c r="C304" s="190" t="s">
        <v>457</v>
      </c>
      <c r="D304" s="190" t="s">
        <v>546</v>
      </c>
      <c r="E304" s="190" t="s">
        <v>346</v>
      </c>
      <c r="F304" s="190" t="s">
        <v>389</v>
      </c>
      <c r="G304" s="192" t="s">
        <v>390</v>
      </c>
      <c r="H304" s="192" t="s">
        <v>296</v>
      </c>
      <c r="I304" s="192" t="s">
        <v>391</v>
      </c>
      <c r="J304" s="192" t="s">
        <v>350</v>
      </c>
      <c r="K304" s="190" t="s">
        <v>351</v>
      </c>
      <c r="L304" s="190" t="s">
        <v>387</v>
      </c>
      <c r="M304" s="192" t="s">
        <v>388</v>
      </c>
      <c r="N304" s="193">
        <v>50</v>
      </c>
      <c r="O304" s="193">
        <v>309400</v>
      </c>
      <c r="P304" s="194">
        <v>15470000</v>
      </c>
      <c r="Q304" s="194">
        <v>1547000</v>
      </c>
      <c r="R304" s="194">
        <v>17017000</v>
      </c>
      <c r="S304" s="192"/>
      <c r="T304" s="192" t="s">
        <v>310</v>
      </c>
      <c r="U304" s="190">
        <v>60349</v>
      </c>
      <c r="V304" s="190" t="s">
        <v>547</v>
      </c>
      <c r="W304" s="195" t="s">
        <v>356</v>
      </c>
      <c r="X304" s="196" t="str">
        <f>+IFERROR(VLOOKUP($F304,'[2]Chuyển đổi mã'!$A$1:$C$91,3,0),$F304)&amp;AC304</f>
        <v>NPP00000468323620</v>
      </c>
      <c r="Y304" s="196" t="str">
        <f>IFERROR(VLOOKUP($F304,'[2]Chuyển đổi mã'!$A$1:$C$184,3,0),F304)</f>
        <v>NPP00000468</v>
      </c>
      <c r="Z304" s="196" t="e">
        <f>VLOOKUP($G304,'[2]Thông tin NPP'!$B:$D,3,0)</f>
        <v>#N/A</v>
      </c>
      <c r="AA304" s="196" t="str">
        <f t="shared" si="60"/>
        <v>Ahh 16g</v>
      </c>
      <c r="AB304" s="196" t="str">
        <f>IFERROR(VLOOKUP(DAY(B304),'[2]Chuyển đổi mã'!$F$1:$G$32,2,0),0)</f>
        <v>W2</v>
      </c>
      <c r="AC304" s="196" t="str">
        <f t="shared" si="61"/>
        <v>323620</v>
      </c>
      <c r="AD304" s="196" t="str">
        <f t="shared" si="62"/>
        <v>NPP</v>
      </c>
      <c r="AE304" s="196" t="str">
        <f t="shared" si="63"/>
        <v>NPP323620</v>
      </c>
      <c r="AF304" s="196">
        <f t="shared" si="64"/>
        <v>0</v>
      </c>
    </row>
    <row r="305" spans="1:32" ht="12.95" hidden="1" customHeight="1">
      <c r="A305" s="190">
        <v>62565</v>
      </c>
      <c r="B305" s="191">
        <v>43563</v>
      </c>
      <c r="C305" s="190" t="s">
        <v>457</v>
      </c>
      <c r="D305" s="190" t="s">
        <v>546</v>
      </c>
      <c r="E305" s="190" t="s">
        <v>346</v>
      </c>
      <c r="F305" s="190" t="s">
        <v>389</v>
      </c>
      <c r="G305" s="192" t="s">
        <v>390</v>
      </c>
      <c r="H305" s="192" t="s">
        <v>296</v>
      </c>
      <c r="I305" s="192" t="s">
        <v>391</v>
      </c>
      <c r="J305" s="192" t="s">
        <v>350</v>
      </c>
      <c r="K305" s="190" t="s">
        <v>351</v>
      </c>
      <c r="L305" s="190" t="s">
        <v>357</v>
      </c>
      <c r="M305" s="192" t="s">
        <v>358</v>
      </c>
      <c r="N305" s="193">
        <v>400</v>
      </c>
      <c r="O305" s="193">
        <v>185640</v>
      </c>
      <c r="P305" s="194">
        <v>74256000</v>
      </c>
      <c r="Q305" s="194">
        <v>7425600</v>
      </c>
      <c r="R305" s="194">
        <v>81681600</v>
      </c>
      <c r="S305" s="192"/>
      <c r="T305" s="192" t="s">
        <v>310</v>
      </c>
      <c r="U305" s="190">
        <v>60349</v>
      </c>
      <c r="V305" s="190" t="s">
        <v>547</v>
      </c>
      <c r="W305" s="195" t="s">
        <v>356</v>
      </c>
      <c r="X305" s="196" t="str">
        <f>+IFERROR(VLOOKUP($F305,'[2]Chuyển đổi mã'!$A$1:$C$91,3,0),$F305)&amp;AC305</f>
        <v>NPP00000468323555</v>
      </c>
      <c r="Y305" s="196" t="str">
        <f>IFERROR(VLOOKUP($F305,'[2]Chuyển đổi mã'!$A$1:$C$184,3,0),F305)</f>
        <v>NPP00000468</v>
      </c>
      <c r="Z305" s="196" t="e">
        <f>VLOOKUP($G305,'[2]Thông tin NPP'!$B:$D,3,0)</f>
        <v>#N/A</v>
      </c>
      <c r="AA305" s="196" t="str">
        <f t="shared" si="60"/>
        <v>Na 17g - M</v>
      </c>
      <c r="AB305" s="196" t="str">
        <f>IFERROR(VLOOKUP(DAY(B305),'[2]Chuyển đổi mã'!$F$1:$G$32,2,0),0)</f>
        <v>W2</v>
      </c>
      <c r="AC305" s="196" t="str">
        <f t="shared" si="61"/>
        <v>323555</v>
      </c>
      <c r="AD305" s="196" t="str">
        <f t="shared" si="62"/>
        <v>NPP</v>
      </c>
      <c r="AE305" s="196" t="str">
        <f t="shared" si="63"/>
        <v>NPP323555</v>
      </c>
      <c r="AF305" s="196">
        <f t="shared" si="64"/>
        <v>0</v>
      </c>
    </row>
    <row r="306" spans="1:32" ht="12.95" hidden="1" customHeight="1">
      <c r="A306" s="190">
        <v>62581</v>
      </c>
      <c r="B306" s="191">
        <v>43564</v>
      </c>
      <c r="C306" s="190" t="s">
        <v>457</v>
      </c>
      <c r="D306" s="190" t="s">
        <v>548</v>
      </c>
      <c r="E306" s="190" t="s">
        <v>346</v>
      </c>
      <c r="F306" s="190" t="s">
        <v>454</v>
      </c>
      <c r="G306" s="192" t="s">
        <v>455</v>
      </c>
      <c r="H306" s="192" t="s">
        <v>296</v>
      </c>
      <c r="I306" s="192" t="s">
        <v>395</v>
      </c>
      <c r="J306" s="192" t="s">
        <v>350</v>
      </c>
      <c r="K306" s="190" t="s">
        <v>351</v>
      </c>
      <c r="L306" s="190" t="s">
        <v>352</v>
      </c>
      <c r="M306" s="192" t="s">
        <v>353</v>
      </c>
      <c r="N306" s="193">
        <v>10</v>
      </c>
      <c r="O306" s="193">
        <v>115036.7</v>
      </c>
      <c r="P306" s="194">
        <v>1150367</v>
      </c>
      <c r="Q306" s="194">
        <v>115036.7</v>
      </c>
      <c r="R306" s="194">
        <v>1265403.7</v>
      </c>
      <c r="S306" s="192" t="s">
        <v>544</v>
      </c>
      <c r="T306" s="192" t="s">
        <v>545</v>
      </c>
      <c r="U306" s="190">
        <v>60367</v>
      </c>
      <c r="V306" s="190"/>
      <c r="W306" s="195" t="s">
        <v>356</v>
      </c>
      <c r="X306" s="196" t="str">
        <f>+IFERROR(VLOOKUP($F306,'[2]Chuyển đổi mã'!$A$1:$C$91,3,0),$F306)&amp;AC306</f>
        <v>Lotte North320463</v>
      </c>
      <c r="Y306" s="196" t="str">
        <f>IFERROR(VLOOKUP($F306,'[2]Chuyển đổi mã'!$A$1:$C$184,3,0),F306)</f>
        <v>Lotte North</v>
      </c>
      <c r="Z306" s="196" t="str">
        <f>VLOOKUP($G306,'[2]Thông tin NPP'!$B:$D,3,0)</f>
        <v>Lotte North</v>
      </c>
      <c r="AA306" s="196" t="str">
        <f t="shared" ref="AA306:AA325" si="65">LEFT($M306,10)</f>
        <v>Na 8,5g</v>
      </c>
      <c r="AB306" s="196" t="str">
        <f>IFERROR(VLOOKUP(DAY(B306),'[2]Chuyển đổi mã'!$F$1:$G$32,2,0),0)</f>
        <v>W2</v>
      </c>
      <c r="AC306" s="196" t="str">
        <f t="shared" ref="AC306:AC325" si="66">LEFT(L306,6)</f>
        <v>320463</v>
      </c>
      <c r="AD306" s="196" t="str">
        <f t="shared" ref="AD306:AD325" si="67">LEFT(F306,3)</f>
        <v>NPP</v>
      </c>
      <c r="AE306" s="196" t="str">
        <f t="shared" ref="AE306:AE325" si="68">AD306&amp;AC306</f>
        <v>NPP320463</v>
      </c>
      <c r="AF306" s="196">
        <f t="shared" ref="AF306:AF325" si="69">IF(RIGHT(L306,1)="P","P",0)</f>
        <v>0</v>
      </c>
    </row>
    <row r="307" spans="1:32" ht="12.95" hidden="1" customHeight="1">
      <c r="A307" s="190">
        <v>62581</v>
      </c>
      <c r="B307" s="191">
        <v>43564</v>
      </c>
      <c r="C307" s="190" t="s">
        <v>457</v>
      </c>
      <c r="D307" s="190" t="s">
        <v>548</v>
      </c>
      <c r="E307" s="190" t="s">
        <v>346</v>
      </c>
      <c r="F307" s="190" t="s">
        <v>454</v>
      </c>
      <c r="G307" s="192" t="s">
        <v>455</v>
      </c>
      <c r="H307" s="192" t="s">
        <v>296</v>
      </c>
      <c r="I307" s="192" t="s">
        <v>395</v>
      </c>
      <c r="J307" s="192" t="s">
        <v>350</v>
      </c>
      <c r="K307" s="190" t="s">
        <v>351</v>
      </c>
      <c r="L307" s="190" t="s">
        <v>381</v>
      </c>
      <c r="M307" s="192" t="s">
        <v>382</v>
      </c>
      <c r="N307" s="193">
        <v>2</v>
      </c>
      <c r="O307" s="193">
        <v>300000</v>
      </c>
      <c r="P307" s="194">
        <v>600000</v>
      </c>
      <c r="Q307" s="194">
        <v>60000</v>
      </c>
      <c r="R307" s="194">
        <v>660000</v>
      </c>
      <c r="S307" s="192"/>
      <c r="T307" s="192" t="s">
        <v>310</v>
      </c>
      <c r="U307" s="190">
        <v>60367</v>
      </c>
      <c r="V307" s="190"/>
      <c r="W307" s="195" t="s">
        <v>356</v>
      </c>
      <c r="X307" s="196" t="str">
        <f>+IFERROR(VLOOKUP($F307,'[2]Chuyển đổi mã'!$A$1:$C$91,3,0),$F307)&amp;AC307</f>
        <v>Lotte North320429</v>
      </c>
      <c r="Y307" s="196" t="str">
        <f>IFERROR(VLOOKUP($F307,'[2]Chuyển đổi mã'!$A$1:$C$184,3,0),F307)</f>
        <v>Lotte North</v>
      </c>
      <c r="Z307" s="196" t="str">
        <f>VLOOKUP($G307,'[2]Thông tin NPP'!$B:$D,3,0)</f>
        <v>Lotte North</v>
      </c>
      <c r="AA307" s="196" t="str">
        <f t="shared" si="65"/>
        <v>Tin Can 35</v>
      </c>
      <c r="AB307" s="196" t="str">
        <f>IFERROR(VLOOKUP(DAY(B307),'[2]Chuyển đổi mã'!$F$1:$G$32,2,0),0)</f>
        <v>W2</v>
      </c>
      <c r="AC307" s="196" t="str">
        <f t="shared" si="66"/>
        <v>320429</v>
      </c>
      <c r="AD307" s="196" t="str">
        <f t="shared" si="67"/>
        <v>NPP</v>
      </c>
      <c r="AE307" s="196" t="str">
        <f t="shared" si="68"/>
        <v>NPP320429</v>
      </c>
      <c r="AF307" s="196">
        <f t="shared" si="69"/>
        <v>0</v>
      </c>
    </row>
    <row r="308" spans="1:32" ht="12.95" hidden="1" customHeight="1">
      <c r="A308" s="190">
        <v>62581</v>
      </c>
      <c r="B308" s="191">
        <v>43564</v>
      </c>
      <c r="C308" s="190" t="s">
        <v>457</v>
      </c>
      <c r="D308" s="190" t="s">
        <v>548</v>
      </c>
      <c r="E308" s="190" t="s">
        <v>346</v>
      </c>
      <c r="F308" s="190" t="s">
        <v>454</v>
      </c>
      <c r="G308" s="192" t="s">
        <v>455</v>
      </c>
      <c r="H308" s="192" t="s">
        <v>296</v>
      </c>
      <c r="I308" s="192" t="s">
        <v>395</v>
      </c>
      <c r="J308" s="192" t="s">
        <v>350</v>
      </c>
      <c r="K308" s="190" t="s">
        <v>351</v>
      </c>
      <c r="L308" s="190" t="s">
        <v>378</v>
      </c>
      <c r="M308" s="192" t="s">
        <v>379</v>
      </c>
      <c r="N308" s="193">
        <v>2</v>
      </c>
      <c r="O308" s="193">
        <v>213273</v>
      </c>
      <c r="P308" s="194">
        <v>426546</v>
      </c>
      <c r="Q308" s="194">
        <v>42654.6</v>
      </c>
      <c r="R308" s="194">
        <v>469200.6</v>
      </c>
      <c r="S308" s="192"/>
      <c r="T308" s="192" t="s">
        <v>310</v>
      </c>
      <c r="U308" s="190">
        <v>60367</v>
      </c>
      <c r="V308" s="190"/>
      <c r="W308" s="195" t="s">
        <v>356</v>
      </c>
      <c r="X308" s="196" t="str">
        <f>+IFERROR(VLOOKUP($F308,'[2]Chuyển đổi mã'!$A$1:$C$91,3,0),$F308)&amp;AC308</f>
        <v>Lotte North321238</v>
      </c>
      <c r="Y308" s="196" t="str">
        <f>IFERROR(VLOOKUP($F308,'[2]Chuyển đổi mã'!$A$1:$C$184,3,0),F308)</f>
        <v>Lotte North</v>
      </c>
      <c r="Z308" s="196" t="str">
        <f>VLOOKUP($G308,'[2]Thông tin NPP'!$B:$D,3,0)</f>
        <v>Lotte North</v>
      </c>
      <c r="AA308" s="196" t="str">
        <f t="shared" si="65"/>
        <v>Richoco Wf</v>
      </c>
      <c r="AB308" s="196" t="str">
        <f>IFERROR(VLOOKUP(DAY(B308),'[2]Chuyển đổi mã'!$F$1:$G$32,2,0),0)</f>
        <v>W2</v>
      </c>
      <c r="AC308" s="196" t="str">
        <f t="shared" si="66"/>
        <v>321238</v>
      </c>
      <c r="AD308" s="196" t="str">
        <f t="shared" si="67"/>
        <v>NPP</v>
      </c>
      <c r="AE308" s="196" t="str">
        <f t="shared" si="68"/>
        <v>NPP321238</v>
      </c>
      <c r="AF308" s="196">
        <f t="shared" si="69"/>
        <v>0</v>
      </c>
    </row>
    <row r="309" spans="1:32" ht="12.95" hidden="1" customHeight="1">
      <c r="A309" s="190">
        <v>62581</v>
      </c>
      <c r="B309" s="191">
        <v>43564</v>
      </c>
      <c r="C309" s="190" t="s">
        <v>457</v>
      </c>
      <c r="D309" s="190" t="s">
        <v>548</v>
      </c>
      <c r="E309" s="190" t="s">
        <v>346</v>
      </c>
      <c r="F309" s="190" t="s">
        <v>454</v>
      </c>
      <c r="G309" s="192" t="s">
        <v>455</v>
      </c>
      <c r="H309" s="192" t="s">
        <v>296</v>
      </c>
      <c r="I309" s="192" t="s">
        <v>395</v>
      </c>
      <c r="J309" s="192" t="s">
        <v>350</v>
      </c>
      <c r="K309" s="190" t="s">
        <v>351</v>
      </c>
      <c r="L309" s="190" t="s">
        <v>361</v>
      </c>
      <c r="M309" s="192" t="s">
        <v>362</v>
      </c>
      <c r="N309" s="193">
        <v>2</v>
      </c>
      <c r="O309" s="193">
        <v>300000</v>
      </c>
      <c r="P309" s="194">
        <v>600000</v>
      </c>
      <c r="Q309" s="194">
        <v>60000</v>
      </c>
      <c r="R309" s="194">
        <v>660000</v>
      </c>
      <c r="S309" s="192"/>
      <c r="T309" s="192" t="s">
        <v>310</v>
      </c>
      <c r="U309" s="190">
        <v>60367</v>
      </c>
      <c r="V309" s="190"/>
      <c r="W309" s="195" t="s">
        <v>356</v>
      </c>
      <c r="X309" s="196" t="str">
        <f>+IFERROR(VLOOKUP($F309,'[2]Chuyển đổi mã'!$A$1:$C$91,3,0),$F309)&amp;AC309</f>
        <v>Lotte North331017</v>
      </c>
      <c r="Y309" s="196" t="str">
        <f>IFERROR(VLOOKUP($F309,'[2]Chuyển đổi mã'!$A$1:$C$184,3,0),F309)</f>
        <v>Lotte North</v>
      </c>
      <c r="Z309" s="196" t="str">
        <f>VLOOKUP($G309,'[2]Thông tin NPP'!$B:$D,3,0)</f>
        <v>Lotte North</v>
      </c>
      <c r="AA309" s="196" t="str">
        <f t="shared" si="65"/>
        <v>Richoco Wf</v>
      </c>
      <c r="AB309" s="196" t="str">
        <f>IFERROR(VLOOKUP(DAY(B309),'[2]Chuyển đổi mã'!$F$1:$G$32,2,0),0)</f>
        <v>W2</v>
      </c>
      <c r="AC309" s="196" t="str">
        <f t="shared" si="66"/>
        <v>331017</v>
      </c>
      <c r="AD309" s="196" t="str">
        <f t="shared" si="67"/>
        <v>NPP</v>
      </c>
      <c r="AE309" s="196" t="str">
        <f t="shared" si="68"/>
        <v>NPP331017</v>
      </c>
      <c r="AF309" s="196">
        <f t="shared" si="69"/>
        <v>0</v>
      </c>
    </row>
    <row r="310" spans="1:32" ht="12.95" hidden="1" customHeight="1">
      <c r="A310" s="190">
        <v>62581</v>
      </c>
      <c r="B310" s="191">
        <v>43564</v>
      </c>
      <c r="C310" s="190" t="s">
        <v>457</v>
      </c>
      <c r="D310" s="190" t="s">
        <v>548</v>
      </c>
      <c r="E310" s="190" t="s">
        <v>346</v>
      </c>
      <c r="F310" s="190" t="s">
        <v>454</v>
      </c>
      <c r="G310" s="192" t="s">
        <v>455</v>
      </c>
      <c r="H310" s="192" t="s">
        <v>296</v>
      </c>
      <c r="I310" s="192" t="s">
        <v>395</v>
      </c>
      <c r="J310" s="192" t="s">
        <v>350</v>
      </c>
      <c r="K310" s="190" t="s">
        <v>351</v>
      </c>
      <c r="L310" s="190" t="s">
        <v>359</v>
      </c>
      <c r="M310" s="192" t="s">
        <v>360</v>
      </c>
      <c r="N310" s="193">
        <v>2</v>
      </c>
      <c r="O310" s="193">
        <v>300000</v>
      </c>
      <c r="P310" s="194">
        <v>600000</v>
      </c>
      <c r="Q310" s="194">
        <v>60000</v>
      </c>
      <c r="R310" s="194">
        <v>660000</v>
      </c>
      <c r="S310" s="192"/>
      <c r="T310" s="192" t="s">
        <v>310</v>
      </c>
      <c r="U310" s="190">
        <v>60367</v>
      </c>
      <c r="V310" s="190"/>
      <c r="W310" s="195" t="s">
        <v>356</v>
      </c>
      <c r="X310" s="196" t="str">
        <f>+IFERROR(VLOOKUP($F310,'[2]Chuyển đổi mã'!$A$1:$C$91,3,0),$F310)&amp;AC310</f>
        <v>Lotte North320445</v>
      </c>
      <c r="Y310" s="196" t="str">
        <f>IFERROR(VLOOKUP($F310,'[2]Chuyển đổi mã'!$A$1:$C$184,3,0),F310)</f>
        <v>Lotte North</v>
      </c>
      <c r="Z310" s="196" t="str">
        <f>VLOOKUP($G310,'[2]Thông tin NPP'!$B:$D,3,0)</f>
        <v>Lotte North</v>
      </c>
      <c r="AA310" s="196" t="str">
        <f t="shared" si="65"/>
        <v>Na 58g</v>
      </c>
      <c r="AB310" s="196" t="str">
        <f>IFERROR(VLOOKUP(DAY(B310),'[2]Chuyển đổi mã'!$F$1:$G$32,2,0),0)</f>
        <v>W2</v>
      </c>
      <c r="AC310" s="196" t="str">
        <f t="shared" si="66"/>
        <v>320445</v>
      </c>
      <c r="AD310" s="196" t="str">
        <f t="shared" si="67"/>
        <v>NPP</v>
      </c>
      <c r="AE310" s="196" t="str">
        <f t="shared" si="68"/>
        <v>NPP320445</v>
      </c>
      <c r="AF310" s="196">
        <f t="shared" si="69"/>
        <v>0</v>
      </c>
    </row>
    <row r="311" spans="1:32" ht="12.95" hidden="1" customHeight="1">
      <c r="A311" s="190">
        <v>62581</v>
      </c>
      <c r="B311" s="191">
        <v>43564</v>
      </c>
      <c r="C311" s="190" t="s">
        <v>457</v>
      </c>
      <c r="D311" s="190" t="s">
        <v>548</v>
      </c>
      <c r="E311" s="190" t="s">
        <v>346</v>
      </c>
      <c r="F311" s="190" t="s">
        <v>454</v>
      </c>
      <c r="G311" s="192" t="s">
        <v>455</v>
      </c>
      <c r="H311" s="192" t="s">
        <v>296</v>
      </c>
      <c r="I311" s="192" t="s">
        <v>395</v>
      </c>
      <c r="J311" s="192" t="s">
        <v>350</v>
      </c>
      <c r="K311" s="190" t="s">
        <v>351</v>
      </c>
      <c r="L311" s="190" t="s">
        <v>357</v>
      </c>
      <c r="M311" s="192" t="s">
        <v>358</v>
      </c>
      <c r="N311" s="193">
        <v>2</v>
      </c>
      <c r="O311" s="193">
        <v>213273</v>
      </c>
      <c r="P311" s="194">
        <v>426546</v>
      </c>
      <c r="Q311" s="194">
        <v>42654.6</v>
      </c>
      <c r="R311" s="194">
        <v>469200.6</v>
      </c>
      <c r="S311" s="192"/>
      <c r="T311" s="192" t="s">
        <v>310</v>
      </c>
      <c r="U311" s="190">
        <v>60367</v>
      </c>
      <c r="V311" s="190"/>
      <c r="W311" s="195" t="s">
        <v>356</v>
      </c>
      <c r="X311" s="196" t="str">
        <f>+IFERROR(VLOOKUP($F311,'[2]Chuyển đổi mã'!$A$1:$C$91,3,0),$F311)&amp;AC311</f>
        <v>Lotte North323555</v>
      </c>
      <c r="Y311" s="196" t="str">
        <f>IFERROR(VLOOKUP($F311,'[2]Chuyển đổi mã'!$A$1:$C$184,3,0),F311)</f>
        <v>Lotte North</v>
      </c>
      <c r="Z311" s="196" t="str">
        <f>VLOOKUP($G311,'[2]Thông tin NPP'!$B:$D,3,0)</f>
        <v>Lotte North</v>
      </c>
      <c r="AA311" s="196" t="str">
        <f t="shared" si="65"/>
        <v>Na 17g - M</v>
      </c>
      <c r="AB311" s="196" t="str">
        <f>IFERROR(VLOOKUP(DAY(B311),'[2]Chuyển đổi mã'!$F$1:$G$32,2,0),0)</f>
        <v>W2</v>
      </c>
      <c r="AC311" s="196" t="str">
        <f t="shared" si="66"/>
        <v>323555</v>
      </c>
      <c r="AD311" s="196" t="str">
        <f t="shared" si="67"/>
        <v>NPP</v>
      </c>
      <c r="AE311" s="196" t="str">
        <f t="shared" si="68"/>
        <v>NPP323555</v>
      </c>
      <c r="AF311" s="196">
        <f t="shared" si="69"/>
        <v>0</v>
      </c>
    </row>
    <row r="312" spans="1:32" ht="12.95" hidden="1" customHeight="1">
      <c r="A312" s="190">
        <v>62581</v>
      </c>
      <c r="B312" s="191">
        <v>43564</v>
      </c>
      <c r="C312" s="190" t="s">
        <v>457</v>
      </c>
      <c r="D312" s="190" t="s">
        <v>548</v>
      </c>
      <c r="E312" s="190" t="s">
        <v>346</v>
      </c>
      <c r="F312" s="190" t="s">
        <v>454</v>
      </c>
      <c r="G312" s="192" t="s">
        <v>455</v>
      </c>
      <c r="H312" s="192" t="s">
        <v>296</v>
      </c>
      <c r="I312" s="192" t="s">
        <v>395</v>
      </c>
      <c r="J312" s="192" t="s">
        <v>350</v>
      </c>
      <c r="K312" s="190" t="s">
        <v>351</v>
      </c>
      <c r="L312" s="190" t="s">
        <v>363</v>
      </c>
      <c r="M312" s="192" t="s">
        <v>364</v>
      </c>
      <c r="N312" s="193">
        <v>2</v>
      </c>
      <c r="O312" s="193">
        <v>320000</v>
      </c>
      <c r="P312" s="194">
        <v>640000</v>
      </c>
      <c r="Q312" s="194">
        <v>64000</v>
      </c>
      <c r="R312" s="194">
        <v>704000</v>
      </c>
      <c r="S312" s="192"/>
      <c r="T312" s="192" t="s">
        <v>310</v>
      </c>
      <c r="U312" s="190">
        <v>60367</v>
      </c>
      <c r="V312" s="190"/>
      <c r="W312" s="195" t="s">
        <v>356</v>
      </c>
      <c r="X312" s="196" t="str">
        <f>+IFERROR(VLOOKUP($F312,'[2]Chuyển đổi mã'!$A$1:$C$91,3,0),$F312)&amp;AC312</f>
        <v>Lotte North323708</v>
      </c>
      <c r="Y312" s="196" t="str">
        <f>IFERROR(VLOOKUP($F312,'[2]Chuyển đổi mã'!$A$1:$C$184,3,0),F312)</f>
        <v>Lotte North</v>
      </c>
      <c r="Z312" s="196" t="str">
        <f>VLOOKUP($G312,'[2]Thông tin NPP'!$B:$D,3,0)</f>
        <v>Lotte North</v>
      </c>
      <c r="AA312" s="196" t="str">
        <f t="shared" si="65"/>
        <v>Nextar Bro</v>
      </c>
      <c r="AB312" s="196" t="str">
        <f>IFERROR(VLOOKUP(DAY(B312),'[2]Chuyển đổi mã'!$F$1:$G$32,2,0),0)</f>
        <v>W2</v>
      </c>
      <c r="AC312" s="196" t="str">
        <f t="shared" si="66"/>
        <v>323708</v>
      </c>
      <c r="AD312" s="196" t="str">
        <f t="shared" si="67"/>
        <v>NPP</v>
      </c>
      <c r="AE312" s="196" t="str">
        <f t="shared" si="68"/>
        <v>NPP323708</v>
      </c>
      <c r="AF312" s="196">
        <f t="shared" si="69"/>
        <v>0</v>
      </c>
    </row>
    <row r="313" spans="1:32" ht="12.95" customHeight="1">
      <c r="A313" s="190">
        <v>62582</v>
      </c>
      <c r="B313" s="191">
        <v>43564</v>
      </c>
      <c r="C313" s="190" t="s">
        <v>457</v>
      </c>
      <c r="D313" s="190" t="s">
        <v>549</v>
      </c>
      <c r="E313" s="190" t="s">
        <v>346</v>
      </c>
      <c r="F313" s="190" t="s">
        <v>550</v>
      </c>
      <c r="G313" s="192" t="s">
        <v>551</v>
      </c>
      <c r="H313" s="192" t="s">
        <v>296</v>
      </c>
      <c r="I313" s="192" t="s">
        <v>349</v>
      </c>
      <c r="J313" s="192" t="s">
        <v>350</v>
      </c>
      <c r="K313" s="190" t="s">
        <v>351</v>
      </c>
      <c r="L313" s="190" t="s">
        <v>352</v>
      </c>
      <c r="M313" s="192" t="s">
        <v>353</v>
      </c>
      <c r="N313" s="193">
        <v>45</v>
      </c>
      <c r="O313" s="193">
        <v>115036.7</v>
      </c>
      <c r="P313" s="194">
        <v>5176651.5</v>
      </c>
      <c r="Q313" s="194">
        <v>517665.15</v>
      </c>
      <c r="R313" s="194">
        <v>5694316.6500000004</v>
      </c>
      <c r="S313" s="192" t="s">
        <v>544</v>
      </c>
      <c r="T313" s="192" t="s">
        <v>545</v>
      </c>
      <c r="U313" s="190">
        <v>60368</v>
      </c>
      <c r="V313" s="190"/>
      <c r="W313" s="195" t="s">
        <v>356</v>
      </c>
      <c r="X313" s="196" t="str">
        <f>+IFERROR(VLOOKUP($F313,'[2]Chuyển đổi mã'!$A$1:$C$91,3,0),$F313)&amp;AC313</f>
        <v>Lotte South320463</v>
      </c>
      <c r="Y313" s="196" t="str">
        <f>IFERROR(VLOOKUP($F313,'[2]Chuyển đổi mã'!$A$1:$C$184,3,0),F313)</f>
        <v>Lotte South</v>
      </c>
      <c r="Z313" s="196" t="str">
        <f>VLOOKUP($G313,'[2]Thông tin NPP'!$B:$D,3,0)</f>
        <v>Lotte South</v>
      </c>
      <c r="AA313" s="196" t="str">
        <f t="shared" si="65"/>
        <v>Na 8,5g</v>
      </c>
      <c r="AB313" s="196" t="str">
        <f>IFERROR(VLOOKUP(DAY(B313),'[2]Chuyển đổi mã'!$F$1:$G$32,2,0),0)</f>
        <v>W2</v>
      </c>
      <c r="AC313" s="196" t="str">
        <f t="shared" si="66"/>
        <v>320463</v>
      </c>
      <c r="AD313" s="196" t="str">
        <f t="shared" si="67"/>
        <v>NPP</v>
      </c>
      <c r="AE313" s="196" t="str">
        <f t="shared" si="68"/>
        <v>NPP320463</v>
      </c>
      <c r="AF313" s="196">
        <f t="shared" si="69"/>
        <v>0</v>
      </c>
    </row>
    <row r="314" spans="1:32" ht="12.95" customHeight="1">
      <c r="A314" s="190">
        <v>62582</v>
      </c>
      <c r="B314" s="191">
        <v>43564</v>
      </c>
      <c r="C314" s="190" t="s">
        <v>457</v>
      </c>
      <c r="D314" s="190" t="s">
        <v>549</v>
      </c>
      <c r="E314" s="190" t="s">
        <v>346</v>
      </c>
      <c r="F314" s="190" t="s">
        <v>550</v>
      </c>
      <c r="G314" s="192" t="s">
        <v>551</v>
      </c>
      <c r="H314" s="192" t="s">
        <v>296</v>
      </c>
      <c r="I314" s="192" t="s">
        <v>349</v>
      </c>
      <c r="J314" s="192" t="s">
        <v>350</v>
      </c>
      <c r="K314" s="190" t="s">
        <v>351</v>
      </c>
      <c r="L314" s="190" t="s">
        <v>387</v>
      </c>
      <c r="M314" s="192" t="s">
        <v>388</v>
      </c>
      <c r="N314" s="193">
        <v>1</v>
      </c>
      <c r="O314" s="193">
        <v>340000</v>
      </c>
      <c r="P314" s="194">
        <v>340000</v>
      </c>
      <c r="Q314" s="194">
        <v>34000</v>
      </c>
      <c r="R314" s="194">
        <v>374000</v>
      </c>
      <c r="S314" s="192"/>
      <c r="T314" s="192" t="s">
        <v>310</v>
      </c>
      <c r="U314" s="190">
        <v>60368</v>
      </c>
      <c r="V314" s="190"/>
      <c r="W314" s="195" t="s">
        <v>356</v>
      </c>
      <c r="X314" s="196" t="str">
        <f>+IFERROR(VLOOKUP($F314,'[2]Chuyển đổi mã'!$A$1:$C$91,3,0),$F314)&amp;AC314</f>
        <v>Lotte South323620</v>
      </c>
      <c r="Y314" s="196" t="str">
        <f>IFERROR(VLOOKUP($F314,'[2]Chuyển đổi mã'!$A$1:$C$184,3,0),F314)</f>
        <v>Lotte South</v>
      </c>
      <c r="Z314" s="196" t="str">
        <f>VLOOKUP($G314,'[2]Thông tin NPP'!$B:$D,3,0)</f>
        <v>Lotte South</v>
      </c>
      <c r="AA314" s="196" t="str">
        <f t="shared" si="65"/>
        <v>Ahh 16g</v>
      </c>
      <c r="AB314" s="196" t="str">
        <f>IFERROR(VLOOKUP(DAY(B314),'[2]Chuyển đổi mã'!$F$1:$G$32,2,0),0)</f>
        <v>W2</v>
      </c>
      <c r="AC314" s="196" t="str">
        <f t="shared" si="66"/>
        <v>323620</v>
      </c>
      <c r="AD314" s="196" t="str">
        <f t="shared" si="67"/>
        <v>NPP</v>
      </c>
      <c r="AE314" s="196" t="str">
        <f t="shared" si="68"/>
        <v>NPP323620</v>
      </c>
      <c r="AF314" s="196">
        <f t="shared" si="69"/>
        <v>0</v>
      </c>
    </row>
    <row r="315" spans="1:32" ht="12.95" customHeight="1">
      <c r="A315" s="190">
        <v>62582</v>
      </c>
      <c r="B315" s="191">
        <v>43564</v>
      </c>
      <c r="C315" s="190" t="s">
        <v>457</v>
      </c>
      <c r="D315" s="190" t="s">
        <v>549</v>
      </c>
      <c r="E315" s="190" t="s">
        <v>346</v>
      </c>
      <c r="F315" s="190" t="s">
        <v>550</v>
      </c>
      <c r="G315" s="192" t="s">
        <v>551</v>
      </c>
      <c r="H315" s="192" t="s">
        <v>296</v>
      </c>
      <c r="I315" s="192" t="s">
        <v>349</v>
      </c>
      <c r="J315" s="192" t="s">
        <v>350</v>
      </c>
      <c r="K315" s="190" t="s">
        <v>351</v>
      </c>
      <c r="L315" s="190" t="s">
        <v>361</v>
      </c>
      <c r="M315" s="192" t="s">
        <v>362</v>
      </c>
      <c r="N315" s="193">
        <v>2</v>
      </c>
      <c r="O315" s="193">
        <v>300000</v>
      </c>
      <c r="P315" s="194">
        <v>600000</v>
      </c>
      <c r="Q315" s="194">
        <v>60000</v>
      </c>
      <c r="R315" s="194">
        <v>660000</v>
      </c>
      <c r="S315" s="192"/>
      <c r="T315" s="192" t="s">
        <v>310</v>
      </c>
      <c r="U315" s="190">
        <v>60368</v>
      </c>
      <c r="V315" s="190"/>
      <c r="W315" s="195" t="s">
        <v>356</v>
      </c>
      <c r="X315" s="196" t="str">
        <f>+IFERROR(VLOOKUP($F315,'[2]Chuyển đổi mã'!$A$1:$C$91,3,0),$F315)&amp;AC315</f>
        <v>Lotte South331017</v>
      </c>
      <c r="Y315" s="196" t="str">
        <f>IFERROR(VLOOKUP($F315,'[2]Chuyển đổi mã'!$A$1:$C$184,3,0),F315)</f>
        <v>Lotte South</v>
      </c>
      <c r="Z315" s="196" t="str">
        <f>VLOOKUP($G315,'[2]Thông tin NPP'!$B:$D,3,0)</f>
        <v>Lotte South</v>
      </c>
      <c r="AA315" s="196" t="str">
        <f t="shared" si="65"/>
        <v>Richoco Wf</v>
      </c>
      <c r="AB315" s="196" t="str">
        <f>IFERROR(VLOOKUP(DAY(B315),'[2]Chuyển đổi mã'!$F$1:$G$32,2,0),0)</f>
        <v>W2</v>
      </c>
      <c r="AC315" s="196" t="str">
        <f t="shared" si="66"/>
        <v>331017</v>
      </c>
      <c r="AD315" s="196" t="str">
        <f t="shared" si="67"/>
        <v>NPP</v>
      </c>
      <c r="AE315" s="196" t="str">
        <f t="shared" si="68"/>
        <v>NPP331017</v>
      </c>
      <c r="AF315" s="196">
        <f t="shared" si="69"/>
        <v>0</v>
      </c>
    </row>
    <row r="316" spans="1:32" ht="12.95" customHeight="1">
      <c r="A316" s="190">
        <v>62583</v>
      </c>
      <c r="B316" s="191">
        <v>43564</v>
      </c>
      <c r="C316" s="190" t="s">
        <v>457</v>
      </c>
      <c r="D316" s="190" t="s">
        <v>552</v>
      </c>
      <c r="E316" s="190" t="s">
        <v>346</v>
      </c>
      <c r="F316" s="190" t="s">
        <v>553</v>
      </c>
      <c r="G316" s="192" t="s">
        <v>554</v>
      </c>
      <c r="H316" s="192" t="s">
        <v>296</v>
      </c>
      <c r="I316" s="192" t="s">
        <v>349</v>
      </c>
      <c r="J316" s="192" t="s">
        <v>350</v>
      </c>
      <c r="K316" s="190" t="s">
        <v>351</v>
      </c>
      <c r="L316" s="190" t="s">
        <v>352</v>
      </c>
      <c r="M316" s="192" t="s">
        <v>353</v>
      </c>
      <c r="N316" s="193">
        <v>10</v>
      </c>
      <c r="O316" s="193">
        <v>115036.7</v>
      </c>
      <c r="P316" s="194">
        <v>1150367</v>
      </c>
      <c r="Q316" s="194">
        <v>115036.7</v>
      </c>
      <c r="R316" s="194">
        <v>1265403.7</v>
      </c>
      <c r="S316" s="192" t="s">
        <v>544</v>
      </c>
      <c r="T316" s="192" t="s">
        <v>545</v>
      </c>
      <c r="U316" s="190">
        <v>60369</v>
      </c>
      <c r="V316" s="190"/>
      <c r="W316" s="195" t="s">
        <v>356</v>
      </c>
      <c r="X316" s="196" t="str">
        <f>+IFERROR(VLOOKUP($F316,'[2]Chuyển đổi mã'!$A$1:$C$91,3,0),$F316)&amp;AC316</f>
        <v>Lotte South320463</v>
      </c>
      <c r="Y316" s="196" t="str">
        <f>IFERROR(VLOOKUP($F316,'[2]Chuyển đổi mã'!$A$1:$C$184,3,0),F316)</f>
        <v>Lotte South</v>
      </c>
      <c r="Z316" s="196" t="str">
        <f>VLOOKUP($G316,'[2]Thông tin NPP'!$B:$D,3,0)</f>
        <v>Lotte South</v>
      </c>
      <c r="AA316" s="196" t="str">
        <f t="shared" si="65"/>
        <v>Na 8,5g</v>
      </c>
      <c r="AB316" s="196" t="str">
        <f>IFERROR(VLOOKUP(DAY(B316),'[2]Chuyển đổi mã'!$F$1:$G$32,2,0),0)</f>
        <v>W2</v>
      </c>
      <c r="AC316" s="196" t="str">
        <f t="shared" si="66"/>
        <v>320463</v>
      </c>
      <c r="AD316" s="196" t="str">
        <f t="shared" si="67"/>
        <v>NPP</v>
      </c>
      <c r="AE316" s="196" t="str">
        <f t="shared" si="68"/>
        <v>NPP320463</v>
      </c>
      <c r="AF316" s="196">
        <f t="shared" si="69"/>
        <v>0</v>
      </c>
    </row>
    <row r="317" spans="1:32" ht="12.95" customHeight="1">
      <c r="A317" s="190">
        <v>62583</v>
      </c>
      <c r="B317" s="191">
        <v>43564</v>
      </c>
      <c r="C317" s="190" t="s">
        <v>457</v>
      </c>
      <c r="D317" s="190" t="s">
        <v>552</v>
      </c>
      <c r="E317" s="190" t="s">
        <v>346</v>
      </c>
      <c r="F317" s="190" t="s">
        <v>553</v>
      </c>
      <c r="G317" s="192" t="s">
        <v>554</v>
      </c>
      <c r="H317" s="192" t="s">
        <v>296</v>
      </c>
      <c r="I317" s="192" t="s">
        <v>349</v>
      </c>
      <c r="J317" s="192" t="s">
        <v>350</v>
      </c>
      <c r="K317" s="190" t="s">
        <v>351</v>
      </c>
      <c r="L317" s="190" t="s">
        <v>387</v>
      </c>
      <c r="M317" s="192" t="s">
        <v>388</v>
      </c>
      <c r="N317" s="193">
        <v>10</v>
      </c>
      <c r="O317" s="193">
        <v>340000</v>
      </c>
      <c r="P317" s="194">
        <v>3400000</v>
      </c>
      <c r="Q317" s="194">
        <v>340000</v>
      </c>
      <c r="R317" s="194">
        <v>3740000</v>
      </c>
      <c r="S317" s="192"/>
      <c r="T317" s="192" t="s">
        <v>310</v>
      </c>
      <c r="U317" s="190">
        <v>60369</v>
      </c>
      <c r="V317" s="190"/>
      <c r="W317" s="195" t="s">
        <v>356</v>
      </c>
      <c r="X317" s="196" t="str">
        <f>+IFERROR(VLOOKUP($F317,'[2]Chuyển đổi mã'!$A$1:$C$91,3,0),$F317)&amp;AC317</f>
        <v>Lotte South323620</v>
      </c>
      <c r="Y317" s="196" t="str">
        <f>IFERROR(VLOOKUP($F317,'[2]Chuyển đổi mã'!$A$1:$C$184,3,0),F317)</f>
        <v>Lotte South</v>
      </c>
      <c r="Z317" s="196" t="str">
        <f>VLOOKUP($G317,'[2]Thông tin NPP'!$B:$D,3,0)</f>
        <v>Lotte South</v>
      </c>
      <c r="AA317" s="196" t="str">
        <f t="shared" si="65"/>
        <v>Ahh 16g</v>
      </c>
      <c r="AB317" s="196" t="str">
        <f>IFERROR(VLOOKUP(DAY(B317),'[2]Chuyển đổi mã'!$F$1:$G$32,2,0),0)</f>
        <v>W2</v>
      </c>
      <c r="AC317" s="196" t="str">
        <f t="shared" si="66"/>
        <v>323620</v>
      </c>
      <c r="AD317" s="196" t="str">
        <f t="shared" si="67"/>
        <v>NPP</v>
      </c>
      <c r="AE317" s="196" t="str">
        <f t="shared" si="68"/>
        <v>NPP323620</v>
      </c>
      <c r="AF317" s="196">
        <f t="shared" si="69"/>
        <v>0</v>
      </c>
    </row>
    <row r="318" spans="1:32" ht="12.95" customHeight="1">
      <c r="A318" s="190">
        <v>62583</v>
      </c>
      <c r="B318" s="191">
        <v>43564</v>
      </c>
      <c r="C318" s="190" t="s">
        <v>457</v>
      </c>
      <c r="D318" s="190" t="s">
        <v>552</v>
      </c>
      <c r="E318" s="190" t="s">
        <v>346</v>
      </c>
      <c r="F318" s="190" t="s">
        <v>553</v>
      </c>
      <c r="G318" s="192" t="s">
        <v>554</v>
      </c>
      <c r="H318" s="192" t="s">
        <v>296</v>
      </c>
      <c r="I318" s="192" t="s">
        <v>349</v>
      </c>
      <c r="J318" s="192" t="s">
        <v>350</v>
      </c>
      <c r="K318" s="190" t="s">
        <v>351</v>
      </c>
      <c r="L318" s="190" t="s">
        <v>361</v>
      </c>
      <c r="M318" s="192" t="s">
        <v>362</v>
      </c>
      <c r="N318" s="193">
        <v>1</v>
      </c>
      <c r="O318" s="193">
        <v>300000</v>
      </c>
      <c r="P318" s="194">
        <v>300000</v>
      </c>
      <c r="Q318" s="194">
        <v>30000</v>
      </c>
      <c r="R318" s="194">
        <v>330000</v>
      </c>
      <c r="S318" s="192"/>
      <c r="T318" s="192" t="s">
        <v>310</v>
      </c>
      <c r="U318" s="190">
        <v>60369</v>
      </c>
      <c r="V318" s="190"/>
      <c r="W318" s="195" t="s">
        <v>356</v>
      </c>
      <c r="X318" s="196" t="str">
        <f>+IFERROR(VLOOKUP($F318,'[2]Chuyển đổi mã'!$A$1:$C$91,3,0),$F318)&amp;AC318</f>
        <v>Lotte South331017</v>
      </c>
      <c r="Y318" s="196" t="str">
        <f>IFERROR(VLOOKUP($F318,'[2]Chuyển đổi mã'!$A$1:$C$184,3,0),F318)</f>
        <v>Lotte South</v>
      </c>
      <c r="Z318" s="196" t="str">
        <f>VLOOKUP($G318,'[2]Thông tin NPP'!$B:$D,3,0)</f>
        <v>Lotte South</v>
      </c>
      <c r="AA318" s="196" t="str">
        <f t="shared" si="65"/>
        <v>Richoco Wf</v>
      </c>
      <c r="AB318" s="196" t="str">
        <f>IFERROR(VLOOKUP(DAY(B318),'[2]Chuyển đổi mã'!$F$1:$G$32,2,0),0)</f>
        <v>W2</v>
      </c>
      <c r="AC318" s="196" t="str">
        <f t="shared" si="66"/>
        <v>331017</v>
      </c>
      <c r="AD318" s="196" t="str">
        <f t="shared" si="67"/>
        <v>NPP</v>
      </c>
      <c r="AE318" s="196" t="str">
        <f t="shared" si="68"/>
        <v>NPP331017</v>
      </c>
      <c r="AF318" s="196">
        <f t="shared" si="69"/>
        <v>0</v>
      </c>
    </row>
    <row r="319" spans="1:32" ht="12.95" customHeight="1">
      <c r="A319" s="190">
        <v>62583</v>
      </c>
      <c r="B319" s="191">
        <v>43564</v>
      </c>
      <c r="C319" s="190" t="s">
        <v>457</v>
      </c>
      <c r="D319" s="190" t="s">
        <v>552</v>
      </c>
      <c r="E319" s="190" t="s">
        <v>346</v>
      </c>
      <c r="F319" s="190" t="s">
        <v>553</v>
      </c>
      <c r="G319" s="192" t="s">
        <v>554</v>
      </c>
      <c r="H319" s="192" t="s">
        <v>296</v>
      </c>
      <c r="I319" s="192" t="s">
        <v>349</v>
      </c>
      <c r="J319" s="192" t="s">
        <v>350</v>
      </c>
      <c r="K319" s="190" t="s">
        <v>351</v>
      </c>
      <c r="L319" s="190" t="s">
        <v>359</v>
      </c>
      <c r="M319" s="192" t="s">
        <v>360</v>
      </c>
      <c r="N319" s="193">
        <v>1</v>
      </c>
      <c r="O319" s="193">
        <v>300000</v>
      </c>
      <c r="P319" s="194">
        <v>300000</v>
      </c>
      <c r="Q319" s="194">
        <v>30000</v>
      </c>
      <c r="R319" s="194">
        <v>330000</v>
      </c>
      <c r="S319" s="192"/>
      <c r="T319" s="192" t="s">
        <v>310</v>
      </c>
      <c r="U319" s="190">
        <v>60369</v>
      </c>
      <c r="V319" s="190"/>
      <c r="W319" s="195" t="s">
        <v>356</v>
      </c>
      <c r="X319" s="196" t="str">
        <f>+IFERROR(VLOOKUP($F319,'[2]Chuyển đổi mã'!$A$1:$C$91,3,0),$F319)&amp;AC319</f>
        <v>Lotte South320445</v>
      </c>
      <c r="Y319" s="196" t="str">
        <f>IFERROR(VLOOKUP($F319,'[2]Chuyển đổi mã'!$A$1:$C$184,3,0),F319)</f>
        <v>Lotte South</v>
      </c>
      <c r="Z319" s="196" t="str">
        <f>VLOOKUP($G319,'[2]Thông tin NPP'!$B:$D,3,0)</f>
        <v>Lotte South</v>
      </c>
      <c r="AA319" s="196" t="str">
        <f t="shared" si="65"/>
        <v>Na 58g</v>
      </c>
      <c r="AB319" s="196" t="str">
        <f>IFERROR(VLOOKUP(DAY(B319),'[2]Chuyển đổi mã'!$F$1:$G$32,2,0),0)</f>
        <v>W2</v>
      </c>
      <c r="AC319" s="196" t="str">
        <f t="shared" si="66"/>
        <v>320445</v>
      </c>
      <c r="AD319" s="196" t="str">
        <f t="shared" si="67"/>
        <v>NPP</v>
      </c>
      <c r="AE319" s="196" t="str">
        <f t="shared" si="68"/>
        <v>NPP320445</v>
      </c>
      <c r="AF319" s="196">
        <f t="shared" si="69"/>
        <v>0</v>
      </c>
    </row>
    <row r="320" spans="1:32" ht="12.95" customHeight="1">
      <c r="A320" s="190">
        <v>62583</v>
      </c>
      <c r="B320" s="191">
        <v>43564</v>
      </c>
      <c r="C320" s="190" t="s">
        <v>457</v>
      </c>
      <c r="D320" s="190" t="s">
        <v>552</v>
      </c>
      <c r="E320" s="190" t="s">
        <v>346</v>
      </c>
      <c r="F320" s="190" t="s">
        <v>553</v>
      </c>
      <c r="G320" s="192" t="s">
        <v>554</v>
      </c>
      <c r="H320" s="192" t="s">
        <v>296</v>
      </c>
      <c r="I320" s="192" t="s">
        <v>349</v>
      </c>
      <c r="J320" s="192" t="s">
        <v>350</v>
      </c>
      <c r="K320" s="190" t="s">
        <v>351</v>
      </c>
      <c r="L320" s="190" t="s">
        <v>363</v>
      </c>
      <c r="M320" s="192" t="s">
        <v>364</v>
      </c>
      <c r="N320" s="193">
        <v>3</v>
      </c>
      <c r="O320" s="193">
        <v>320000</v>
      </c>
      <c r="P320" s="194">
        <v>960000</v>
      </c>
      <c r="Q320" s="194">
        <v>96000</v>
      </c>
      <c r="R320" s="194">
        <v>1056000</v>
      </c>
      <c r="S320" s="192"/>
      <c r="T320" s="192" t="s">
        <v>310</v>
      </c>
      <c r="U320" s="190">
        <v>60369</v>
      </c>
      <c r="V320" s="190"/>
      <c r="W320" s="195" t="s">
        <v>356</v>
      </c>
      <c r="X320" s="196" t="str">
        <f>+IFERROR(VLOOKUP($F320,'[2]Chuyển đổi mã'!$A$1:$C$91,3,0),$F320)&amp;AC320</f>
        <v>Lotte South323708</v>
      </c>
      <c r="Y320" s="196" t="str">
        <f>IFERROR(VLOOKUP($F320,'[2]Chuyển đổi mã'!$A$1:$C$184,3,0),F320)</f>
        <v>Lotte South</v>
      </c>
      <c r="Z320" s="196" t="str">
        <f>VLOOKUP($G320,'[2]Thông tin NPP'!$B:$D,3,0)</f>
        <v>Lotte South</v>
      </c>
      <c r="AA320" s="196" t="str">
        <f t="shared" si="65"/>
        <v>Nextar Bro</v>
      </c>
      <c r="AB320" s="196" t="str">
        <f>IFERROR(VLOOKUP(DAY(B320),'[2]Chuyển đổi mã'!$F$1:$G$32,2,0),0)</f>
        <v>W2</v>
      </c>
      <c r="AC320" s="196" t="str">
        <f t="shared" si="66"/>
        <v>323708</v>
      </c>
      <c r="AD320" s="196" t="str">
        <f t="shared" si="67"/>
        <v>NPP</v>
      </c>
      <c r="AE320" s="196" t="str">
        <f t="shared" si="68"/>
        <v>NPP323708</v>
      </c>
      <c r="AF320" s="196">
        <f t="shared" si="69"/>
        <v>0</v>
      </c>
    </row>
    <row r="321" spans="1:32" ht="12.95" customHeight="1">
      <c r="A321" s="190">
        <v>62585</v>
      </c>
      <c r="B321" s="191">
        <v>43564</v>
      </c>
      <c r="C321" s="190" t="s">
        <v>457</v>
      </c>
      <c r="D321" s="190" t="s">
        <v>555</v>
      </c>
      <c r="E321" s="190" t="s">
        <v>346</v>
      </c>
      <c r="F321" s="190" t="s">
        <v>556</v>
      </c>
      <c r="G321" s="192" t="s">
        <v>557</v>
      </c>
      <c r="H321" s="192" t="s">
        <v>296</v>
      </c>
      <c r="I321" s="192" t="s">
        <v>349</v>
      </c>
      <c r="J321" s="192" t="s">
        <v>350</v>
      </c>
      <c r="K321" s="190" t="s">
        <v>351</v>
      </c>
      <c r="L321" s="190" t="s">
        <v>352</v>
      </c>
      <c r="M321" s="192" t="s">
        <v>353</v>
      </c>
      <c r="N321" s="193">
        <v>120</v>
      </c>
      <c r="O321" s="193">
        <v>115036.7</v>
      </c>
      <c r="P321" s="194">
        <v>13804404</v>
      </c>
      <c r="Q321" s="194">
        <v>1380440.4</v>
      </c>
      <c r="R321" s="194">
        <v>15184844.4</v>
      </c>
      <c r="S321" s="192" t="s">
        <v>544</v>
      </c>
      <c r="T321" s="192" t="s">
        <v>545</v>
      </c>
      <c r="U321" s="190">
        <v>60370</v>
      </c>
      <c r="V321" s="190"/>
      <c r="W321" s="195" t="s">
        <v>356</v>
      </c>
      <c r="X321" s="196" t="str">
        <f>+IFERROR(VLOOKUP($F321,'[2]Chuyển đổi mã'!$A$1:$C$91,3,0),$F321)&amp;AC321</f>
        <v>Lotte South320463</v>
      </c>
      <c r="Y321" s="196" t="str">
        <f>IFERROR(VLOOKUP($F321,'[2]Chuyển đổi mã'!$A$1:$C$184,3,0),F321)</f>
        <v>Lotte South</v>
      </c>
      <c r="Z321" s="196" t="str">
        <f>VLOOKUP($G321,'[2]Thông tin NPP'!$B:$D,3,0)</f>
        <v>Lotte South</v>
      </c>
      <c r="AA321" s="196" t="str">
        <f t="shared" si="65"/>
        <v>Na 8,5g</v>
      </c>
      <c r="AB321" s="196" t="str">
        <f>IFERROR(VLOOKUP(DAY(B321),'[2]Chuyển đổi mã'!$F$1:$G$32,2,0),0)</f>
        <v>W2</v>
      </c>
      <c r="AC321" s="196" t="str">
        <f t="shared" si="66"/>
        <v>320463</v>
      </c>
      <c r="AD321" s="196" t="str">
        <f t="shared" si="67"/>
        <v>NPP</v>
      </c>
      <c r="AE321" s="196" t="str">
        <f t="shared" si="68"/>
        <v>NPP320463</v>
      </c>
      <c r="AF321" s="196">
        <f t="shared" si="69"/>
        <v>0</v>
      </c>
    </row>
    <row r="322" spans="1:32" ht="12.95" customHeight="1">
      <c r="A322" s="190">
        <v>62585</v>
      </c>
      <c r="B322" s="191">
        <v>43564</v>
      </c>
      <c r="C322" s="190" t="s">
        <v>457</v>
      </c>
      <c r="D322" s="190" t="s">
        <v>555</v>
      </c>
      <c r="E322" s="190" t="s">
        <v>346</v>
      </c>
      <c r="F322" s="190" t="s">
        <v>556</v>
      </c>
      <c r="G322" s="192" t="s">
        <v>557</v>
      </c>
      <c r="H322" s="192" t="s">
        <v>296</v>
      </c>
      <c r="I322" s="192" t="s">
        <v>349</v>
      </c>
      <c r="J322" s="192" t="s">
        <v>350</v>
      </c>
      <c r="K322" s="190" t="s">
        <v>351</v>
      </c>
      <c r="L322" s="190" t="s">
        <v>387</v>
      </c>
      <c r="M322" s="192" t="s">
        <v>388</v>
      </c>
      <c r="N322" s="193">
        <v>2</v>
      </c>
      <c r="O322" s="193">
        <v>340000</v>
      </c>
      <c r="P322" s="194">
        <v>680000</v>
      </c>
      <c r="Q322" s="194">
        <v>68000</v>
      </c>
      <c r="R322" s="194">
        <v>748000</v>
      </c>
      <c r="S322" s="192"/>
      <c r="T322" s="192" t="s">
        <v>310</v>
      </c>
      <c r="U322" s="190">
        <v>60370</v>
      </c>
      <c r="V322" s="190"/>
      <c r="W322" s="195" t="s">
        <v>356</v>
      </c>
      <c r="X322" s="196" t="str">
        <f>+IFERROR(VLOOKUP($F322,'[2]Chuyển đổi mã'!$A$1:$C$91,3,0),$F322)&amp;AC322</f>
        <v>Lotte South323620</v>
      </c>
      <c r="Y322" s="196" t="str">
        <f>IFERROR(VLOOKUP($F322,'[2]Chuyển đổi mã'!$A$1:$C$184,3,0),F322)</f>
        <v>Lotte South</v>
      </c>
      <c r="Z322" s="196" t="str">
        <f>VLOOKUP($G322,'[2]Thông tin NPP'!$B:$D,3,0)</f>
        <v>Lotte South</v>
      </c>
      <c r="AA322" s="196" t="str">
        <f t="shared" si="65"/>
        <v>Ahh 16g</v>
      </c>
      <c r="AB322" s="196" t="str">
        <f>IFERROR(VLOOKUP(DAY(B322),'[2]Chuyển đổi mã'!$F$1:$G$32,2,0),0)</f>
        <v>W2</v>
      </c>
      <c r="AC322" s="196" t="str">
        <f t="shared" si="66"/>
        <v>323620</v>
      </c>
      <c r="AD322" s="196" t="str">
        <f t="shared" si="67"/>
        <v>NPP</v>
      </c>
      <c r="AE322" s="196" t="str">
        <f t="shared" si="68"/>
        <v>NPP323620</v>
      </c>
      <c r="AF322" s="196">
        <f t="shared" si="69"/>
        <v>0</v>
      </c>
    </row>
    <row r="323" spans="1:32" ht="12.95" customHeight="1">
      <c r="A323" s="190">
        <v>62585</v>
      </c>
      <c r="B323" s="191">
        <v>43564</v>
      </c>
      <c r="C323" s="190" t="s">
        <v>457</v>
      </c>
      <c r="D323" s="190" t="s">
        <v>555</v>
      </c>
      <c r="E323" s="190" t="s">
        <v>346</v>
      </c>
      <c r="F323" s="190" t="s">
        <v>556</v>
      </c>
      <c r="G323" s="192" t="s">
        <v>557</v>
      </c>
      <c r="H323" s="192" t="s">
        <v>296</v>
      </c>
      <c r="I323" s="192" t="s">
        <v>349</v>
      </c>
      <c r="J323" s="192" t="s">
        <v>350</v>
      </c>
      <c r="K323" s="190" t="s">
        <v>351</v>
      </c>
      <c r="L323" s="190" t="s">
        <v>378</v>
      </c>
      <c r="M323" s="192" t="s">
        <v>379</v>
      </c>
      <c r="N323" s="193">
        <v>2</v>
      </c>
      <c r="O323" s="193">
        <v>213273</v>
      </c>
      <c r="P323" s="194">
        <v>426546</v>
      </c>
      <c r="Q323" s="194">
        <v>42654.6</v>
      </c>
      <c r="R323" s="194">
        <v>469200.6</v>
      </c>
      <c r="S323" s="192"/>
      <c r="T323" s="192" t="s">
        <v>310</v>
      </c>
      <c r="U323" s="190">
        <v>60370</v>
      </c>
      <c r="V323" s="190"/>
      <c r="W323" s="195" t="s">
        <v>356</v>
      </c>
      <c r="X323" s="196" t="str">
        <f>+IFERROR(VLOOKUP($F323,'[2]Chuyển đổi mã'!$A$1:$C$91,3,0),$F323)&amp;AC323</f>
        <v>Lotte South321238</v>
      </c>
      <c r="Y323" s="196" t="str">
        <f>IFERROR(VLOOKUP($F323,'[2]Chuyển đổi mã'!$A$1:$C$184,3,0),F323)</f>
        <v>Lotte South</v>
      </c>
      <c r="Z323" s="196" t="str">
        <f>VLOOKUP($G323,'[2]Thông tin NPP'!$B:$D,3,0)</f>
        <v>Lotte South</v>
      </c>
      <c r="AA323" s="196" t="str">
        <f t="shared" si="65"/>
        <v>Richoco Wf</v>
      </c>
      <c r="AB323" s="196" t="str">
        <f>IFERROR(VLOOKUP(DAY(B323),'[2]Chuyển đổi mã'!$F$1:$G$32,2,0),0)</f>
        <v>W2</v>
      </c>
      <c r="AC323" s="196" t="str">
        <f t="shared" si="66"/>
        <v>321238</v>
      </c>
      <c r="AD323" s="196" t="str">
        <f t="shared" si="67"/>
        <v>NPP</v>
      </c>
      <c r="AE323" s="196" t="str">
        <f t="shared" si="68"/>
        <v>NPP321238</v>
      </c>
      <c r="AF323" s="196">
        <f t="shared" si="69"/>
        <v>0</v>
      </c>
    </row>
    <row r="324" spans="1:32" ht="12.95" customHeight="1">
      <c r="A324" s="190">
        <v>62585</v>
      </c>
      <c r="B324" s="191">
        <v>43564</v>
      </c>
      <c r="C324" s="190" t="s">
        <v>457</v>
      </c>
      <c r="D324" s="190" t="s">
        <v>555</v>
      </c>
      <c r="E324" s="190" t="s">
        <v>346</v>
      </c>
      <c r="F324" s="190" t="s">
        <v>556</v>
      </c>
      <c r="G324" s="192" t="s">
        <v>557</v>
      </c>
      <c r="H324" s="192" t="s">
        <v>296</v>
      </c>
      <c r="I324" s="192" t="s">
        <v>349</v>
      </c>
      <c r="J324" s="192" t="s">
        <v>350</v>
      </c>
      <c r="K324" s="190" t="s">
        <v>351</v>
      </c>
      <c r="L324" s="190" t="s">
        <v>361</v>
      </c>
      <c r="M324" s="192" t="s">
        <v>362</v>
      </c>
      <c r="N324" s="193">
        <v>1</v>
      </c>
      <c r="O324" s="193">
        <v>300000</v>
      </c>
      <c r="P324" s="194">
        <v>300000</v>
      </c>
      <c r="Q324" s="194">
        <v>30000</v>
      </c>
      <c r="R324" s="194">
        <v>330000</v>
      </c>
      <c r="S324" s="192"/>
      <c r="T324" s="192" t="s">
        <v>310</v>
      </c>
      <c r="U324" s="190">
        <v>60370</v>
      </c>
      <c r="V324" s="190"/>
      <c r="W324" s="195" t="s">
        <v>356</v>
      </c>
      <c r="X324" s="196" t="str">
        <f>+IFERROR(VLOOKUP($F324,'[2]Chuyển đổi mã'!$A$1:$C$91,3,0),$F324)&amp;AC324</f>
        <v>Lotte South331017</v>
      </c>
      <c r="Y324" s="196" t="str">
        <f>IFERROR(VLOOKUP($F324,'[2]Chuyển đổi mã'!$A$1:$C$184,3,0),F324)</f>
        <v>Lotte South</v>
      </c>
      <c r="Z324" s="196" t="str">
        <f>VLOOKUP($G324,'[2]Thông tin NPP'!$B:$D,3,0)</f>
        <v>Lotte South</v>
      </c>
      <c r="AA324" s="196" t="str">
        <f t="shared" si="65"/>
        <v>Richoco Wf</v>
      </c>
      <c r="AB324" s="196" t="str">
        <f>IFERROR(VLOOKUP(DAY(B324),'[2]Chuyển đổi mã'!$F$1:$G$32,2,0),0)</f>
        <v>W2</v>
      </c>
      <c r="AC324" s="196" t="str">
        <f t="shared" si="66"/>
        <v>331017</v>
      </c>
      <c r="AD324" s="196" t="str">
        <f t="shared" si="67"/>
        <v>NPP</v>
      </c>
      <c r="AE324" s="196" t="str">
        <f t="shared" si="68"/>
        <v>NPP331017</v>
      </c>
      <c r="AF324" s="196">
        <f t="shared" si="69"/>
        <v>0</v>
      </c>
    </row>
    <row r="325" spans="1:32" ht="12.95" customHeight="1">
      <c r="A325" s="190">
        <v>62585</v>
      </c>
      <c r="B325" s="191">
        <v>43564</v>
      </c>
      <c r="C325" s="190" t="s">
        <v>457</v>
      </c>
      <c r="D325" s="190" t="s">
        <v>555</v>
      </c>
      <c r="E325" s="190" t="s">
        <v>346</v>
      </c>
      <c r="F325" s="190" t="s">
        <v>556</v>
      </c>
      <c r="G325" s="192" t="s">
        <v>557</v>
      </c>
      <c r="H325" s="192" t="s">
        <v>296</v>
      </c>
      <c r="I325" s="192" t="s">
        <v>349</v>
      </c>
      <c r="J325" s="192" t="s">
        <v>350</v>
      </c>
      <c r="K325" s="190" t="s">
        <v>351</v>
      </c>
      <c r="L325" s="190" t="s">
        <v>359</v>
      </c>
      <c r="M325" s="192" t="s">
        <v>360</v>
      </c>
      <c r="N325" s="193">
        <v>2</v>
      </c>
      <c r="O325" s="193">
        <v>300000</v>
      </c>
      <c r="P325" s="194">
        <v>600000</v>
      </c>
      <c r="Q325" s="194">
        <v>60000</v>
      </c>
      <c r="R325" s="194">
        <v>660000</v>
      </c>
      <c r="S325" s="192"/>
      <c r="T325" s="192" t="s">
        <v>310</v>
      </c>
      <c r="U325" s="190">
        <v>60370</v>
      </c>
      <c r="V325" s="190"/>
      <c r="W325" s="195" t="s">
        <v>356</v>
      </c>
      <c r="X325" s="196" t="str">
        <f>+IFERROR(VLOOKUP($F325,'[2]Chuyển đổi mã'!$A$1:$C$91,3,0),$F325)&amp;AC325</f>
        <v>Lotte South320445</v>
      </c>
      <c r="Y325" s="196" t="str">
        <f>IFERROR(VLOOKUP($F325,'[2]Chuyển đổi mã'!$A$1:$C$184,3,0),F325)</f>
        <v>Lotte South</v>
      </c>
      <c r="Z325" s="196" t="str">
        <f>VLOOKUP($G325,'[2]Thông tin NPP'!$B:$D,3,0)</f>
        <v>Lotte South</v>
      </c>
      <c r="AA325" s="196" t="str">
        <f t="shared" si="65"/>
        <v>Na 58g</v>
      </c>
      <c r="AB325" s="196" t="str">
        <f>IFERROR(VLOOKUP(DAY(B325),'[2]Chuyển đổi mã'!$F$1:$G$32,2,0),0)</f>
        <v>W2</v>
      </c>
      <c r="AC325" s="196" t="str">
        <f t="shared" si="66"/>
        <v>320445</v>
      </c>
      <c r="AD325" s="196" t="str">
        <f t="shared" si="67"/>
        <v>NPP</v>
      </c>
      <c r="AE325" s="196" t="str">
        <f t="shared" si="68"/>
        <v>NPP320445</v>
      </c>
      <c r="AF325" s="196">
        <f t="shared" si="69"/>
        <v>0</v>
      </c>
    </row>
    <row r="326" spans="1:32" ht="12.95" customHeight="1">
      <c r="A326" s="190">
        <v>62585</v>
      </c>
      <c r="B326" s="191">
        <v>43564</v>
      </c>
      <c r="C326" s="190" t="s">
        <v>457</v>
      </c>
      <c r="D326" s="190" t="s">
        <v>555</v>
      </c>
      <c r="E326" s="190" t="s">
        <v>346</v>
      </c>
      <c r="F326" s="190" t="s">
        <v>556</v>
      </c>
      <c r="G326" s="192" t="s">
        <v>557</v>
      </c>
      <c r="H326" s="192" t="s">
        <v>296</v>
      </c>
      <c r="I326" s="192" t="s">
        <v>349</v>
      </c>
      <c r="J326" s="192" t="s">
        <v>350</v>
      </c>
      <c r="K326" s="190" t="s">
        <v>351</v>
      </c>
      <c r="L326" s="190" t="s">
        <v>363</v>
      </c>
      <c r="M326" s="192" t="s">
        <v>364</v>
      </c>
      <c r="N326" s="193">
        <v>2</v>
      </c>
      <c r="O326" s="193">
        <v>320000</v>
      </c>
      <c r="P326" s="194">
        <v>640000</v>
      </c>
      <c r="Q326" s="194">
        <v>64000</v>
      </c>
      <c r="R326" s="194">
        <v>704000</v>
      </c>
      <c r="S326" s="192"/>
      <c r="T326" s="192" t="s">
        <v>310</v>
      </c>
      <c r="U326" s="190">
        <v>60370</v>
      </c>
      <c r="V326" s="190"/>
      <c r="W326" s="195" t="s">
        <v>356</v>
      </c>
      <c r="X326" s="196" t="str">
        <f>+IFERROR(VLOOKUP($F326,'[2]Chuyển đổi mã'!$A$1:$C$91,3,0),$F326)&amp;AC326</f>
        <v>Lotte South323708</v>
      </c>
      <c r="Y326" s="196" t="str">
        <f>IFERROR(VLOOKUP($F326,'[2]Chuyển đổi mã'!$A$1:$C$184,3,0),F326)</f>
        <v>Lotte South</v>
      </c>
      <c r="Z326" s="196" t="str">
        <f>VLOOKUP($G326,'[2]Thông tin NPP'!$B:$D,3,0)</f>
        <v>Lotte South</v>
      </c>
      <c r="AA326" s="196" t="str">
        <f t="shared" ref="AA326:AA342" si="70">LEFT($M326,10)</f>
        <v>Nextar Bro</v>
      </c>
      <c r="AB326" s="196" t="str">
        <f>IFERROR(VLOOKUP(DAY(B326),'[2]Chuyển đổi mã'!$F$1:$G$32,2,0),0)</f>
        <v>W2</v>
      </c>
      <c r="AC326" s="196" t="str">
        <f t="shared" ref="AC326:AC342" si="71">LEFT(L326,6)</f>
        <v>323708</v>
      </c>
      <c r="AD326" s="196" t="str">
        <f t="shared" ref="AD326:AD342" si="72">LEFT(F326,3)</f>
        <v>NPP</v>
      </c>
      <c r="AE326" s="196" t="str">
        <f t="shared" ref="AE326:AE342" si="73">AD326&amp;AC326</f>
        <v>NPP323708</v>
      </c>
      <c r="AF326" s="196">
        <f t="shared" ref="AF326:AF342" si="74">IF(RIGHT(L326,1)="P","P",0)</f>
        <v>0</v>
      </c>
    </row>
    <row r="327" spans="1:32" ht="12.95" customHeight="1">
      <c r="A327" s="190">
        <v>62586</v>
      </c>
      <c r="B327" s="191">
        <v>43564</v>
      </c>
      <c r="C327" s="190" t="s">
        <v>457</v>
      </c>
      <c r="D327" s="190" t="s">
        <v>558</v>
      </c>
      <c r="E327" s="190" t="s">
        <v>346</v>
      </c>
      <c r="F327" s="190" t="s">
        <v>559</v>
      </c>
      <c r="G327" s="192" t="s">
        <v>560</v>
      </c>
      <c r="H327" s="192" t="s">
        <v>296</v>
      </c>
      <c r="I327" s="192" t="s">
        <v>349</v>
      </c>
      <c r="J327" s="192" t="s">
        <v>350</v>
      </c>
      <c r="K327" s="190" t="s">
        <v>351</v>
      </c>
      <c r="L327" s="190" t="s">
        <v>352</v>
      </c>
      <c r="M327" s="192" t="s">
        <v>353</v>
      </c>
      <c r="N327" s="193">
        <v>200</v>
      </c>
      <c r="O327" s="193">
        <v>115036.7</v>
      </c>
      <c r="P327" s="194">
        <v>23007340</v>
      </c>
      <c r="Q327" s="194">
        <v>2300734</v>
      </c>
      <c r="R327" s="194">
        <v>25308074</v>
      </c>
      <c r="S327" s="192" t="s">
        <v>544</v>
      </c>
      <c r="T327" s="192" t="s">
        <v>545</v>
      </c>
      <c r="U327" s="190">
        <v>60384</v>
      </c>
      <c r="V327" s="190"/>
      <c r="W327" s="195" t="s">
        <v>356</v>
      </c>
      <c r="X327" s="196" t="str">
        <f>+IFERROR(VLOOKUP($F327,'[2]Chuyển đổi mã'!$A$1:$C$91,3,0),$F327)&amp;AC327</f>
        <v>Lotte South320463</v>
      </c>
      <c r="Y327" s="196" t="str">
        <f>IFERROR(VLOOKUP($F327,'[2]Chuyển đổi mã'!$A$1:$C$184,3,0),F327)</f>
        <v>Lotte South</v>
      </c>
      <c r="Z327" s="196" t="str">
        <f>VLOOKUP($G327,'[2]Thông tin NPP'!$B:$D,3,0)</f>
        <v>Lotte South</v>
      </c>
      <c r="AA327" s="196" t="str">
        <f t="shared" si="70"/>
        <v>Na 8,5g</v>
      </c>
      <c r="AB327" s="196" t="str">
        <f>IFERROR(VLOOKUP(DAY(B327),'[2]Chuyển đổi mã'!$F$1:$G$32,2,0),0)</f>
        <v>W2</v>
      </c>
      <c r="AC327" s="196" t="str">
        <f t="shared" si="71"/>
        <v>320463</v>
      </c>
      <c r="AD327" s="196" t="str">
        <f t="shared" si="72"/>
        <v>NPP</v>
      </c>
      <c r="AE327" s="196" t="str">
        <f t="shared" si="73"/>
        <v>NPP320463</v>
      </c>
      <c r="AF327" s="196">
        <f t="shared" si="74"/>
        <v>0</v>
      </c>
    </row>
    <row r="328" spans="1:32" ht="12.95" customHeight="1">
      <c r="A328" s="190">
        <v>62586</v>
      </c>
      <c r="B328" s="191">
        <v>43564</v>
      </c>
      <c r="C328" s="190" t="s">
        <v>457</v>
      </c>
      <c r="D328" s="190" t="s">
        <v>558</v>
      </c>
      <c r="E328" s="190" t="s">
        <v>346</v>
      </c>
      <c r="F328" s="190" t="s">
        <v>559</v>
      </c>
      <c r="G328" s="192" t="s">
        <v>560</v>
      </c>
      <c r="H328" s="192" t="s">
        <v>296</v>
      </c>
      <c r="I328" s="192" t="s">
        <v>349</v>
      </c>
      <c r="J328" s="192" t="s">
        <v>350</v>
      </c>
      <c r="K328" s="190" t="s">
        <v>351</v>
      </c>
      <c r="L328" s="190" t="s">
        <v>359</v>
      </c>
      <c r="M328" s="192" t="s">
        <v>360</v>
      </c>
      <c r="N328" s="193">
        <v>2</v>
      </c>
      <c r="O328" s="193">
        <v>300000</v>
      </c>
      <c r="P328" s="194">
        <v>600000</v>
      </c>
      <c r="Q328" s="194">
        <v>60000</v>
      </c>
      <c r="R328" s="194">
        <v>660000</v>
      </c>
      <c r="S328" s="192"/>
      <c r="T328" s="192" t="s">
        <v>310</v>
      </c>
      <c r="U328" s="190">
        <v>60384</v>
      </c>
      <c r="V328" s="190"/>
      <c r="W328" s="195" t="s">
        <v>356</v>
      </c>
      <c r="X328" s="196" t="str">
        <f>+IFERROR(VLOOKUP($F328,'[2]Chuyển đổi mã'!$A$1:$C$91,3,0),$F328)&amp;AC328</f>
        <v>Lotte South320445</v>
      </c>
      <c r="Y328" s="196" t="str">
        <f>IFERROR(VLOOKUP($F328,'[2]Chuyển đổi mã'!$A$1:$C$184,3,0),F328)</f>
        <v>Lotte South</v>
      </c>
      <c r="Z328" s="196" t="str">
        <f>VLOOKUP($G328,'[2]Thông tin NPP'!$B:$D,3,0)</f>
        <v>Lotte South</v>
      </c>
      <c r="AA328" s="196" t="str">
        <f t="shared" si="70"/>
        <v>Na 58g</v>
      </c>
      <c r="AB328" s="196" t="str">
        <f>IFERROR(VLOOKUP(DAY(B328),'[2]Chuyển đổi mã'!$F$1:$G$32,2,0),0)</f>
        <v>W2</v>
      </c>
      <c r="AC328" s="196" t="str">
        <f t="shared" si="71"/>
        <v>320445</v>
      </c>
      <c r="AD328" s="196" t="str">
        <f t="shared" si="72"/>
        <v>NPP</v>
      </c>
      <c r="AE328" s="196" t="str">
        <f t="shared" si="73"/>
        <v>NPP320445</v>
      </c>
      <c r="AF328" s="196">
        <f t="shared" si="74"/>
        <v>0</v>
      </c>
    </row>
    <row r="329" spans="1:32" ht="12.95" customHeight="1">
      <c r="A329" s="190">
        <v>62586</v>
      </c>
      <c r="B329" s="191">
        <v>43564</v>
      </c>
      <c r="C329" s="190" t="s">
        <v>457</v>
      </c>
      <c r="D329" s="190" t="s">
        <v>558</v>
      </c>
      <c r="E329" s="190" t="s">
        <v>346</v>
      </c>
      <c r="F329" s="190" t="s">
        <v>559</v>
      </c>
      <c r="G329" s="192" t="s">
        <v>560</v>
      </c>
      <c r="H329" s="192" t="s">
        <v>296</v>
      </c>
      <c r="I329" s="192" t="s">
        <v>349</v>
      </c>
      <c r="J329" s="192" t="s">
        <v>350</v>
      </c>
      <c r="K329" s="190" t="s">
        <v>351</v>
      </c>
      <c r="L329" s="190" t="s">
        <v>363</v>
      </c>
      <c r="M329" s="192" t="s">
        <v>364</v>
      </c>
      <c r="N329" s="193">
        <v>4</v>
      </c>
      <c r="O329" s="193">
        <v>320000</v>
      </c>
      <c r="P329" s="194">
        <v>1280000</v>
      </c>
      <c r="Q329" s="194">
        <v>128000</v>
      </c>
      <c r="R329" s="194">
        <v>1408000</v>
      </c>
      <c r="S329" s="192"/>
      <c r="T329" s="192" t="s">
        <v>310</v>
      </c>
      <c r="U329" s="190">
        <v>60384</v>
      </c>
      <c r="V329" s="190"/>
      <c r="W329" s="195" t="s">
        <v>356</v>
      </c>
      <c r="X329" s="196" t="str">
        <f>+IFERROR(VLOOKUP($F329,'[2]Chuyển đổi mã'!$A$1:$C$91,3,0),$F329)&amp;AC329</f>
        <v>Lotte South323708</v>
      </c>
      <c r="Y329" s="196" t="str">
        <f>IFERROR(VLOOKUP($F329,'[2]Chuyển đổi mã'!$A$1:$C$184,3,0),F329)</f>
        <v>Lotte South</v>
      </c>
      <c r="Z329" s="196" t="str">
        <f>VLOOKUP($G329,'[2]Thông tin NPP'!$B:$D,3,0)</f>
        <v>Lotte South</v>
      </c>
      <c r="AA329" s="196" t="str">
        <f t="shared" si="70"/>
        <v>Nextar Bro</v>
      </c>
      <c r="AB329" s="196" t="str">
        <f>IFERROR(VLOOKUP(DAY(B329),'[2]Chuyển đổi mã'!$F$1:$G$32,2,0),0)</f>
        <v>W2</v>
      </c>
      <c r="AC329" s="196" t="str">
        <f t="shared" si="71"/>
        <v>323708</v>
      </c>
      <c r="AD329" s="196" t="str">
        <f t="shared" si="72"/>
        <v>NPP</v>
      </c>
      <c r="AE329" s="196" t="str">
        <f t="shared" si="73"/>
        <v>NPP323708</v>
      </c>
      <c r="AF329" s="196">
        <f t="shared" si="74"/>
        <v>0</v>
      </c>
    </row>
    <row r="330" spans="1:32" ht="12.95" customHeight="1">
      <c r="A330" s="190">
        <v>62599</v>
      </c>
      <c r="B330" s="191">
        <v>43565</v>
      </c>
      <c r="C330" s="190" t="s">
        <v>457</v>
      </c>
      <c r="D330" s="190" t="s">
        <v>561</v>
      </c>
      <c r="E330" s="190" t="s">
        <v>346</v>
      </c>
      <c r="F330" s="190" t="s">
        <v>347</v>
      </c>
      <c r="G330" s="192" t="s">
        <v>348</v>
      </c>
      <c r="H330" s="192" t="s">
        <v>296</v>
      </c>
      <c r="I330" s="192" t="s">
        <v>349</v>
      </c>
      <c r="J330" s="192" t="s">
        <v>350</v>
      </c>
      <c r="K330" s="190" t="s">
        <v>351</v>
      </c>
      <c r="L330" s="190" t="s">
        <v>352</v>
      </c>
      <c r="M330" s="192" t="s">
        <v>353</v>
      </c>
      <c r="N330" s="193">
        <v>100</v>
      </c>
      <c r="O330" s="193">
        <v>119700.35</v>
      </c>
      <c r="P330" s="194">
        <v>11970035</v>
      </c>
      <c r="Q330" s="194">
        <v>1197003.5</v>
      </c>
      <c r="R330" s="194">
        <v>13167038.5</v>
      </c>
      <c r="S330" s="192" t="s">
        <v>354</v>
      </c>
      <c r="T330" s="192" t="s">
        <v>355</v>
      </c>
      <c r="U330" s="190">
        <v>60394</v>
      </c>
      <c r="V330" s="190"/>
      <c r="W330" s="195" t="s">
        <v>356</v>
      </c>
      <c r="X330" s="196" t="str">
        <f>+IFERROR(VLOOKUP($F330,'[2]Chuyển đổi mã'!$A$1:$C$91,3,0),$F330)&amp;AC330</f>
        <v>Big C South320463</v>
      </c>
      <c r="Y330" s="196" t="str">
        <f>IFERROR(VLOOKUP($F330,'[2]Chuyển đổi mã'!$A$1:$C$184,3,0),F330)</f>
        <v>Big C South</v>
      </c>
      <c r="Z330" s="196" t="str">
        <f>VLOOKUP($G330,'[2]Thông tin NPP'!$B:$D,3,0)</f>
        <v>Big C South</v>
      </c>
      <c r="AA330" s="196" t="str">
        <f t="shared" si="70"/>
        <v>Na 8,5g</v>
      </c>
      <c r="AB330" s="196" t="str">
        <f>IFERROR(VLOOKUP(DAY(B330),'[2]Chuyển đổi mã'!$F$1:$G$32,2,0),0)</f>
        <v>W2</v>
      </c>
      <c r="AC330" s="196" t="str">
        <f t="shared" si="71"/>
        <v>320463</v>
      </c>
      <c r="AD330" s="196" t="str">
        <f t="shared" si="72"/>
        <v>NPP</v>
      </c>
      <c r="AE330" s="196" t="str">
        <f t="shared" si="73"/>
        <v>NPP320463</v>
      </c>
      <c r="AF330" s="196">
        <f t="shared" si="74"/>
        <v>0</v>
      </c>
    </row>
    <row r="331" spans="1:32" ht="12.95" customHeight="1">
      <c r="A331" s="190">
        <v>62599</v>
      </c>
      <c r="B331" s="191">
        <v>43565</v>
      </c>
      <c r="C331" s="190" t="s">
        <v>457</v>
      </c>
      <c r="D331" s="190" t="s">
        <v>561</v>
      </c>
      <c r="E331" s="190" t="s">
        <v>346</v>
      </c>
      <c r="F331" s="190" t="s">
        <v>347</v>
      </c>
      <c r="G331" s="192" t="s">
        <v>348</v>
      </c>
      <c r="H331" s="192" t="s">
        <v>296</v>
      </c>
      <c r="I331" s="192" t="s">
        <v>349</v>
      </c>
      <c r="J331" s="192" t="s">
        <v>350</v>
      </c>
      <c r="K331" s="190" t="s">
        <v>351</v>
      </c>
      <c r="L331" s="190" t="s">
        <v>357</v>
      </c>
      <c r="M331" s="192" t="s">
        <v>358</v>
      </c>
      <c r="N331" s="193">
        <v>2</v>
      </c>
      <c r="O331" s="193">
        <v>213273</v>
      </c>
      <c r="P331" s="194">
        <v>426546</v>
      </c>
      <c r="Q331" s="194">
        <v>42654.6</v>
      </c>
      <c r="R331" s="194">
        <v>469200.6</v>
      </c>
      <c r="S331" s="192"/>
      <c r="T331" s="192" t="s">
        <v>310</v>
      </c>
      <c r="U331" s="190">
        <v>60394</v>
      </c>
      <c r="V331" s="190"/>
      <c r="W331" s="195" t="s">
        <v>356</v>
      </c>
      <c r="X331" s="196" t="str">
        <f>+IFERROR(VLOOKUP($F331,'[2]Chuyển đổi mã'!$A$1:$C$91,3,0),$F331)&amp;AC331</f>
        <v>Big C South323555</v>
      </c>
      <c r="Y331" s="196" t="str">
        <f>IFERROR(VLOOKUP($F331,'[2]Chuyển đổi mã'!$A$1:$C$184,3,0),F331)</f>
        <v>Big C South</v>
      </c>
      <c r="Z331" s="196" t="str">
        <f>VLOOKUP($G331,'[2]Thông tin NPP'!$B:$D,3,0)</f>
        <v>Big C South</v>
      </c>
      <c r="AA331" s="196" t="str">
        <f t="shared" si="70"/>
        <v>Na 17g - M</v>
      </c>
      <c r="AB331" s="196" t="str">
        <f>IFERROR(VLOOKUP(DAY(B331),'[2]Chuyển đổi mã'!$F$1:$G$32,2,0),0)</f>
        <v>W2</v>
      </c>
      <c r="AC331" s="196" t="str">
        <f t="shared" si="71"/>
        <v>323555</v>
      </c>
      <c r="AD331" s="196" t="str">
        <f t="shared" si="72"/>
        <v>NPP</v>
      </c>
      <c r="AE331" s="196" t="str">
        <f t="shared" si="73"/>
        <v>NPP323555</v>
      </c>
      <c r="AF331" s="196">
        <f t="shared" si="74"/>
        <v>0</v>
      </c>
    </row>
    <row r="332" spans="1:32" ht="12.95" customHeight="1">
      <c r="A332" s="190">
        <v>62599</v>
      </c>
      <c r="B332" s="191">
        <v>43565</v>
      </c>
      <c r="C332" s="190" t="s">
        <v>457</v>
      </c>
      <c r="D332" s="190" t="s">
        <v>561</v>
      </c>
      <c r="E332" s="190" t="s">
        <v>346</v>
      </c>
      <c r="F332" s="190" t="s">
        <v>347</v>
      </c>
      <c r="G332" s="192" t="s">
        <v>348</v>
      </c>
      <c r="H332" s="192" t="s">
        <v>296</v>
      </c>
      <c r="I332" s="192" t="s">
        <v>349</v>
      </c>
      <c r="J332" s="192" t="s">
        <v>350</v>
      </c>
      <c r="K332" s="190" t="s">
        <v>351</v>
      </c>
      <c r="L332" s="190" t="s">
        <v>359</v>
      </c>
      <c r="M332" s="192" t="s">
        <v>360</v>
      </c>
      <c r="N332" s="193">
        <v>1</v>
      </c>
      <c r="O332" s="193">
        <v>313636</v>
      </c>
      <c r="P332" s="194">
        <v>313636</v>
      </c>
      <c r="Q332" s="194">
        <v>31363.599999999999</v>
      </c>
      <c r="R332" s="194">
        <v>344999.6</v>
      </c>
      <c r="S332" s="192"/>
      <c r="T332" s="192" t="s">
        <v>310</v>
      </c>
      <c r="U332" s="190">
        <v>60394</v>
      </c>
      <c r="V332" s="190"/>
      <c r="W332" s="195" t="s">
        <v>356</v>
      </c>
      <c r="X332" s="196" t="str">
        <f>+IFERROR(VLOOKUP($F332,'[2]Chuyển đổi mã'!$A$1:$C$91,3,0),$F332)&amp;AC332</f>
        <v>Big C South320445</v>
      </c>
      <c r="Y332" s="196" t="str">
        <f>IFERROR(VLOOKUP($F332,'[2]Chuyển đổi mã'!$A$1:$C$184,3,0),F332)</f>
        <v>Big C South</v>
      </c>
      <c r="Z332" s="196" t="str">
        <f>VLOOKUP($G332,'[2]Thông tin NPP'!$B:$D,3,0)</f>
        <v>Big C South</v>
      </c>
      <c r="AA332" s="196" t="str">
        <f t="shared" si="70"/>
        <v>Na 58g</v>
      </c>
      <c r="AB332" s="196" t="str">
        <f>IFERROR(VLOOKUP(DAY(B332),'[2]Chuyển đổi mã'!$F$1:$G$32,2,0),0)</f>
        <v>W2</v>
      </c>
      <c r="AC332" s="196" t="str">
        <f t="shared" si="71"/>
        <v>320445</v>
      </c>
      <c r="AD332" s="196" t="str">
        <f t="shared" si="72"/>
        <v>NPP</v>
      </c>
      <c r="AE332" s="196" t="str">
        <f t="shared" si="73"/>
        <v>NPP320445</v>
      </c>
      <c r="AF332" s="196">
        <f t="shared" si="74"/>
        <v>0</v>
      </c>
    </row>
    <row r="333" spans="1:32" ht="12.95" customHeight="1">
      <c r="A333" s="190">
        <v>62599</v>
      </c>
      <c r="B333" s="191">
        <v>43565</v>
      </c>
      <c r="C333" s="190" t="s">
        <v>457</v>
      </c>
      <c r="D333" s="190" t="s">
        <v>561</v>
      </c>
      <c r="E333" s="190" t="s">
        <v>346</v>
      </c>
      <c r="F333" s="190" t="s">
        <v>347</v>
      </c>
      <c r="G333" s="192" t="s">
        <v>348</v>
      </c>
      <c r="H333" s="192" t="s">
        <v>296</v>
      </c>
      <c r="I333" s="192" t="s">
        <v>349</v>
      </c>
      <c r="J333" s="192" t="s">
        <v>350</v>
      </c>
      <c r="K333" s="190" t="s">
        <v>351</v>
      </c>
      <c r="L333" s="190" t="s">
        <v>361</v>
      </c>
      <c r="M333" s="192" t="s">
        <v>362</v>
      </c>
      <c r="N333" s="193">
        <v>2</v>
      </c>
      <c r="O333" s="193">
        <v>313636</v>
      </c>
      <c r="P333" s="194">
        <v>627272</v>
      </c>
      <c r="Q333" s="194">
        <v>62727.199999999997</v>
      </c>
      <c r="R333" s="194">
        <v>689999.2</v>
      </c>
      <c r="S333" s="192"/>
      <c r="T333" s="192" t="s">
        <v>310</v>
      </c>
      <c r="U333" s="190">
        <v>60394</v>
      </c>
      <c r="V333" s="190"/>
      <c r="W333" s="195" t="s">
        <v>356</v>
      </c>
      <c r="X333" s="196" t="str">
        <f>+IFERROR(VLOOKUP($F333,'[2]Chuyển đổi mã'!$A$1:$C$91,3,0),$F333)&amp;AC333</f>
        <v>Big C South331017</v>
      </c>
      <c r="Y333" s="196" t="str">
        <f>IFERROR(VLOOKUP($F333,'[2]Chuyển đổi mã'!$A$1:$C$184,3,0),F333)</f>
        <v>Big C South</v>
      </c>
      <c r="Z333" s="196" t="str">
        <f>VLOOKUP($G333,'[2]Thông tin NPP'!$B:$D,3,0)</f>
        <v>Big C South</v>
      </c>
      <c r="AA333" s="196" t="str">
        <f t="shared" si="70"/>
        <v>Richoco Wf</v>
      </c>
      <c r="AB333" s="196" t="str">
        <f>IFERROR(VLOOKUP(DAY(B333),'[2]Chuyển đổi mã'!$F$1:$G$32,2,0),0)</f>
        <v>W2</v>
      </c>
      <c r="AC333" s="196" t="str">
        <f t="shared" si="71"/>
        <v>331017</v>
      </c>
      <c r="AD333" s="196" t="str">
        <f t="shared" si="72"/>
        <v>NPP</v>
      </c>
      <c r="AE333" s="196" t="str">
        <f t="shared" si="73"/>
        <v>NPP331017</v>
      </c>
      <c r="AF333" s="196">
        <f t="shared" si="74"/>
        <v>0</v>
      </c>
    </row>
    <row r="334" spans="1:32" ht="12.95" customHeight="1">
      <c r="A334" s="190">
        <v>62600</v>
      </c>
      <c r="B334" s="191">
        <v>43565</v>
      </c>
      <c r="C334" s="190" t="s">
        <v>457</v>
      </c>
      <c r="D334" s="190" t="s">
        <v>562</v>
      </c>
      <c r="E334" s="190" t="s">
        <v>346</v>
      </c>
      <c r="F334" s="190" t="s">
        <v>553</v>
      </c>
      <c r="G334" s="192" t="s">
        <v>554</v>
      </c>
      <c r="H334" s="192" t="s">
        <v>296</v>
      </c>
      <c r="I334" s="192" t="s">
        <v>349</v>
      </c>
      <c r="J334" s="192" t="s">
        <v>350</v>
      </c>
      <c r="K334" s="190" t="s">
        <v>351</v>
      </c>
      <c r="L334" s="190" t="s">
        <v>352</v>
      </c>
      <c r="M334" s="192" t="s">
        <v>353</v>
      </c>
      <c r="N334" s="193">
        <v>10</v>
      </c>
      <c r="O334" s="193">
        <v>115036.7</v>
      </c>
      <c r="P334" s="194">
        <v>1150367</v>
      </c>
      <c r="Q334" s="194">
        <v>115036.7</v>
      </c>
      <c r="R334" s="194">
        <v>1265403.7</v>
      </c>
      <c r="S334" s="192" t="s">
        <v>544</v>
      </c>
      <c r="T334" s="192" t="s">
        <v>545</v>
      </c>
      <c r="U334" s="190">
        <v>60392</v>
      </c>
      <c r="V334" s="190"/>
      <c r="W334" s="195" t="s">
        <v>356</v>
      </c>
      <c r="X334" s="196" t="str">
        <f>+IFERROR(VLOOKUP($F334,'[2]Chuyển đổi mã'!$A$1:$C$91,3,0),$F334)&amp;AC334</f>
        <v>Lotte South320463</v>
      </c>
      <c r="Y334" s="196" t="str">
        <f>IFERROR(VLOOKUP($F334,'[2]Chuyển đổi mã'!$A$1:$C$184,3,0),F334)</f>
        <v>Lotte South</v>
      </c>
      <c r="Z334" s="196" t="str">
        <f>VLOOKUP($G334,'[2]Thông tin NPP'!$B:$D,3,0)</f>
        <v>Lotte South</v>
      </c>
      <c r="AA334" s="196" t="str">
        <f t="shared" si="70"/>
        <v>Na 8,5g</v>
      </c>
      <c r="AB334" s="196" t="str">
        <f>IFERROR(VLOOKUP(DAY(B334),'[2]Chuyển đổi mã'!$F$1:$G$32,2,0),0)</f>
        <v>W2</v>
      </c>
      <c r="AC334" s="196" t="str">
        <f t="shared" si="71"/>
        <v>320463</v>
      </c>
      <c r="AD334" s="196" t="str">
        <f t="shared" si="72"/>
        <v>NPP</v>
      </c>
      <c r="AE334" s="196" t="str">
        <f t="shared" si="73"/>
        <v>NPP320463</v>
      </c>
      <c r="AF334" s="196">
        <f t="shared" si="74"/>
        <v>0</v>
      </c>
    </row>
    <row r="335" spans="1:32" ht="12.95" customHeight="1">
      <c r="A335" s="190">
        <v>62600</v>
      </c>
      <c r="B335" s="191">
        <v>43565</v>
      </c>
      <c r="C335" s="190" t="s">
        <v>457</v>
      </c>
      <c r="D335" s="190" t="s">
        <v>562</v>
      </c>
      <c r="E335" s="190" t="s">
        <v>346</v>
      </c>
      <c r="F335" s="190" t="s">
        <v>553</v>
      </c>
      <c r="G335" s="192" t="s">
        <v>554</v>
      </c>
      <c r="H335" s="192" t="s">
        <v>296</v>
      </c>
      <c r="I335" s="192" t="s">
        <v>349</v>
      </c>
      <c r="J335" s="192" t="s">
        <v>350</v>
      </c>
      <c r="K335" s="190" t="s">
        <v>351</v>
      </c>
      <c r="L335" s="190" t="s">
        <v>387</v>
      </c>
      <c r="M335" s="192" t="s">
        <v>388</v>
      </c>
      <c r="N335" s="193">
        <v>15</v>
      </c>
      <c r="O335" s="193">
        <v>340000</v>
      </c>
      <c r="P335" s="194">
        <v>5100000</v>
      </c>
      <c r="Q335" s="194">
        <v>510000</v>
      </c>
      <c r="R335" s="194">
        <v>5610000</v>
      </c>
      <c r="S335" s="192"/>
      <c r="T335" s="192" t="s">
        <v>310</v>
      </c>
      <c r="U335" s="190">
        <v>60392</v>
      </c>
      <c r="V335" s="190"/>
      <c r="W335" s="195" t="s">
        <v>356</v>
      </c>
      <c r="X335" s="196" t="str">
        <f>+IFERROR(VLOOKUP($F335,'[2]Chuyển đổi mã'!$A$1:$C$91,3,0),$F335)&amp;AC335</f>
        <v>Lotte South323620</v>
      </c>
      <c r="Y335" s="196" t="str">
        <f>IFERROR(VLOOKUP($F335,'[2]Chuyển đổi mã'!$A$1:$C$184,3,0),F335)</f>
        <v>Lotte South</v>
      </c>
      <c r="Z335" s="196" t="str">
        <f>VLOOKUP($G335,'[2]Thông tin NPP'!$B:$D,3,0)</f>
        <v>Lotte South</v>
      </c>
      <c r="AA335" s="196" t="str">
        <f t="shared" si="70"/>
        <v>Ahh 16g</v>
      </c>
      <c r="AB335" s="196" t="str">
        <f>IFERROR(VLOOKUP(DAY(B335),'[2]Chuyển đổi mã'!$F$1:$G$32,2,0),0)</f>
        <v>W2</v>
      </c>
      <c r="AC335" s="196" t="str">
        <f t="shared" si="71"/>
        <v>323620</v>
      </c>
      <c r="AD335" s="196" t="str">
        <f t="shared" si="72"/>
        <v>NPP</v>
      </c>
      <c r="AE335" s="196" t="str">
        <f t="shared" si="73"/>
        <v>NPP323620</v>
      </c>
      <c r="AF335" s="196">
        <f t="shared" si="74"/>
        <v>0</v>
      </c>
    </row>
    <row r="336" spans="1:32" ht="12.95" hidden="1" customHeight="1">
      <c r="A336" s="190">
        <v>62601</v>
      </c>
      <c r="B336" s="191">
        <v>43565</v>
      </c>
      <c r="C336" s="190" t="s">
        <v>457</v>
      </c>
      <c r="D336" s="190" t="s">
        <v>563</v>
      </c>
      <c r="E336" s="190" t="s">
        <v>346</v>
      </c>
      <c r="F336" s="190" t="s">
        <v>481</v>
      </c>
      <c r="G336" s="192" t="s">
        <v>482</v>
      </c>
      <c r="H336" s="192" t="s">
        <v>296</v>
      </c>
      <c r="I336" s="192" t="s">
        <v>443</v>
      </c>
      <c r="J336" s="192" t="s">
        <v>350</v>
      </c>
      <c r="K336" s="190" t="s">
        <v>351</v>
      </c>
      <c r="L336" s="190" t="s">
        <v>352</v>
      </c>
      <c r="M336" s="192" t="s">
        <v>353</v>
      </c>
      <c r="N336" s="193">
        <v>2</v>
      </c>
      <c r="O336" s="193">
        <v>115036.7</v>
      </c>
      <c r="P336" s="194">
        <v>230073.4</v>
      </c>
      <c r="Q336" s="194">
        <v>23007.34</v>
      </c>
      <c r="R336" s="194">
        <v>253080.74</v>
      </c>
      <c r="S336" s="192" t="s">
        <v>544</v>
      </c>
      <c r="T336" s="192" t="s">
        <v>545</v>
      </c>
      <c r="U336" s="190">
        <v>60391</v>
      </c>
      <c r="V336" s="190"/>
      <c r="W336" s="195" t="s">
        <v>356</v>
      </c>
      <c r="X336" s="196" t="str">
        <f>+IFERROR(VLOOKUP($F336,'[2]Chuyển đổi mã'!$A$1:$C$91,3,0),$F336)&amp;AC336</f>
        <v>Lotte Central320463</v>
      </c>
      <c r="Y336" s="196" t="str">
        <f>IFERROR(VLOOKUP($F336,'[2]Chuyển đổi mã'!$A$1:$C$184,3,0),F336)</f>
        <v>Lotte Central</v>
      </c>
      <c r="Z336" s="196" t="str">
        <f>VLOOKUP($G336,'[2]Thông tin NPP'!$B:$D,3,0)</f>
        <v>Lotte Central</v>
      </c>
      <c r="AA336" s="196" t="str">
        <f t="shared" si="70"/>
        <v>Na 8,5g</v>
      </c>
      <c r="AB336" s="196" t="str">
        <f>IFERROR(VLOOKUP(DAY(B336),'[2]Chuyển đổi mã'!$F$1:$G$32,2,0),0)</f>
        <v>W2</v>
      </c>
      <c r="AC336" s="196" t="str">
        <f t="shared" si="71"/>
        <v>320463</v>
      </c>
      <c r="AD336" s="196" t="str">
        <f t="shared" si="72"/>
        <v>NPP</v>
      </c>
      <c r="AE336" s="196" t="str">
        <f t="shared" si="73"/>
        <v>NPP320463</v>
      </c>
      <c r="AF336" s="196">
        <f t="shared" si="74"/>
        <v>0</v>
      </c>
    </row>
    <row r="337" spans="1:32" ht="12.95" hidden="1" customHeight="1">
      <c r="A337" s="190">
        <v>62601</v>
      </c>
      <c r="B337" s="191">
        <v>43565</v>
      </c>
      <c r="C337" s="190" t="s">
        <v>457</v>
      </c>
      <c r="D337" s="190" t="s">
        <v>563</v>
      </c>
      <c r="E337" s="190" t="s">
        <v>346</v>
      </c>
      <c r="F337" s="190" t="s">
        <v>481</v>
      </c>
      <c r="G337" s="192" t="s">
        <v>482</v>
      </c>
      <c r="H337" s="192" t="s">
        <v>296</v>
      </c>
      <c r="I337" s="192" t="s">
        <v>443</v>
      </c>
      <c r="J337" s="192" t="s">
        <v>350</v>
      </c>
      <c r="K337" s="190" t="s">
        <v>351</v>
      </c>
      <c r="L337" s="190" t="s">
        <v>381</v>
      </c>
      <c r="M337" s="192" t="s">
        <v>382</v>
      </c>
      <c r="N337" s="193">
        <v>2</v>
      </c>
      <c r="O337" s="193">
        <v>300000</v>
      </c>
      <c r="P337" s="194">
        <v>600000</v>
      </c>
      <c r="Q337" s="194">
        <v>60000</v>
      </c>
      <c r="R337" s="194">
        <v>660000</v>
      </c>
      <c r="S337" s="192"/>
      <c r="T337" s="192" t="s">
        <v>310</v>
      </c>
      <c r="U337" s="190">
        <v>60391</v>
      </c>
      <c r="V337" s="190"/>
      <c r="W337" s="195" t="s">
        <v>356</v>
      </c>
      <c r="X337" s="196" t="str">
        <f>+IFERROR(VLOOKUP($F337,'[2]Chuyển đổi mã'!$A$1:$C$91,3,0),$F337)&amp;AC337</f>
        <v>Lotte Central320429</v>
      </c>
      <c r="Y337" s="196" t="str">
        <f>IFERROR(VLOOKUP($F337,'[2]Chuyển đổi mã'!$A$1:$C$184,3,0),F337)</f>
        <v>Lotte Central</v>
      </c>
      <c r="Z337" s="196" t="str">
        <f>VLOOKUP($G337,'[2]Thông tin NPP'!$B:$D,3,0)</f>
        <v>Lotte Central</v>
      </c>
      <c r="AA337" s="196" t="str">
        <f t="shared" si="70"/>
        <v>Tin Can 35</v>
      </c>
      <c r="AB337" s="196" t="str">
        <f>IFERROR(VLOOKUP(DAY(B337),'[2]Chuyển đổi mã'!$F$1:$G$32,2,0),0)</f>
        <v>W2</v>
      </c>
      <c r="AC337" s="196" t="str">
        <f t="shared" si="71"/>
        <v>320429</v>
      </c>
      <c r="AD337" s="196" t="str">
        <f t="shared" si="72"/>
        <v>NPP</v>
      </c>
      <c r="AE337" s="196" t="str">
        <f t="shared" si="73"/>
        <v>NPP320429</v>
      </c>
      <c r="AF337" s="196">
        <f t="shared" si="74"/>
        <v>0</v>
      </c>
    </row>
    <row r="338" spans="1:32" ht="12.95" hidden="1" customHeight="1">
      <c r="A338" s="190">
        <v>62601</v>
      </c>
      <c r="B338" s="191">
        <v>43565</v>
      </c>
      <c r="C338" s="190" t="s">
        <v>457</v>
      </c>
      <c r="D338" s="190" t="s">
        <v>563</v>
      </c>
      <c r="E338" s="190" t="s">
        <v>346</v>
      </c>
      <c r="F338" s="190" t="s">
        <v>481</v>
      </c>
      <c r="G338" s="192" t="s">
        <v>482</v>
      </c>
      <c r="H338" s="192" t="s">
        <v>296</v>
      </c>
      <c r="I338" s="192" t="s">
        <v>443</v>
      </c>
      <c r="J338" s="192" t="s">
        <v>350</v>
      </c>
      <c r="K338" s="190" t="s">
        <v>351</v>
      </c>
      <c r="L338" s="190" t="s">
        <v>387</v>
      </c>
      <c r="M338" s="192" t="s">
        <v>388</v>
      </c>
      <c r="N338" s="193">
        <v>50</v>
      </c>
      <c r="O338" s="193">
        <v>340000</v>
      </c>
      <c r="P338" s="194">
        <v>17000000</v>
      </c>
      <c r="Q338" s="194">
        <v>1700000</v>
      </c>
      <c r="R338" s="194">
        <v>18700000</v>
      </c>
      <c r="S338" s="192"/>
      <c r="T338" s="192" t="s">
        <v>310</v>
      </c>
      <c r="U338" s="190">
        <v>60391</v>
      </c>
      <c r="V338" s="190"/>
      <c r="W338" s="195" t="s">
        <v>356</v>
      </c>
      <c r="X338" s="196" t="str">
        <f>+IFERROR(VLOOKUP($F338,'[2]Chuyển đổi mã'!$A$1:$C$91,3,0),$F338)&amp;AC338</f>
        <v>Lotte Central323620</v>
      </c>
      <c r="Y338" s="196" t="str">
        <f>IFERROR(VLOOKUP($F338,'[2]Chuyển đổi mã'!$A$1:$C$184,3,0),F338)</f>
        <v>Lotte Central</v>
      </c>
      <c r="Z338" s="196" t="str">
        <f>VLOOKUP($G338,'[2]Thông tin NPP'!$B:$D,3,0)</f>
        <v>Lotte Central</v>
      </c>
      <c r="AA338" s="196" t="str">
        <f t="shared" si="70"/>
        <v>Ahh 16g</v>
      </c>
      <c r="AB338" s="196" t="str">
        <f>IFERROR(VLOOKUP(DAY(B338),'[2]Chuyển đổi mã'!$F$1:$G$32,2,0),0)</f>
        <v>W2</v>
      </c>
      <c r="AC338" s="196" t="str">
        <f t="shared" si="71"/>
        <v>323620</v>
      </c>
      <c r="AD338" s="196" t="str">
        <f t="shared" si="72"/>
        <v>NPP</v>
      </c>
      <c r="AE338" s="196" t="str">
        <f t="shared" si="73"/>
        <v>NPP323620</v>
      </c>
      <c r="AF338" s="196">
        <f t="shared" si="74"/>
        <v>0</v>
      </c>
    </row>
    <row r="339" spans="1:32" ht="12.95" hidden="1" customHeight="1">
      <c r="A339" s="190">
        <v>62601</v>
      </c>
      <c r="B339" s="191">
        <v>43565</v>
      </c>
      <c r="C339" s="190" t="s">
        <v>457</v>
      </c>
      <c r="D339" s="190" t="s">
        <v>563</v>
      </c>
      <c r="E339" s="190" t="s">
        <v>346</v>
      </c>
      <c r="F339" s="190" t="s">
        <v>481</v>
      </c>
      <c r="G339" s="192" t="s">
        <v>482</v>
      </c>
      <c r="H339" s="192" t="s">
        <v>296</v>
      </c>
      <c r="I339" s="192" t="s">
        <v>443</v>
      </c>
      <c r="J339" s="192" t="s">
        <v>350</v>
      </c>
      <c r="K339" s="190" t="s">
        <v>351</v>
      </c>
      <c r="L339" s="190" t="s">
        <v>378</v>
      </c>
      <c r="M339" s="192" t="s">
        <v>379</v>
      </c>
      <c r="N339" s="193">
        <v>1</v>
      </c>
      <c r="O339" s="193">
        <v>213273</v>
      </c>
      <c r="P339" s="194">
        <v>213273</v>
      </c>
      <c r="Q339" s="194">
        <v>21327.3</v>
      </c>
      <c r="R339" s="194">
        <v>234600.3</v>
      </c>
      <c r="S339" s="192"/>
      <c r="T339" s="192" t="s">
        <v>310</v>
      </c>
      <c r="U339" s="190">
        <v>60391</v>
      </c>
      <c r="V339" s="190"/>
      <c r="W339" s="195" t="s">
        <v>356</v>
      </c>
      <c r="X339" s="196" t="str">
        <f>+IFERROR(VLOOKUP($F339,'[2]Chuyển đổi mã'!$A$1:$C$91,3,0),$F339)&amp;AC339</f>
        <v>Lotte Central321238</v>
      </c>
      <c r="Y339" s="196" t="str">
        <f>IFERROR(VLOOKUP($F339,'[2]Chuyển đổi mã'!$A$1:$C$184,3,0),F339)</f>
        <v>Lotte Central</v>
      </c>
      <c r="Z339" s="196" t="str">
        <f>VLOOKUP($G339,'[2]Thông tin NPP'!$B:$D,3,0)</f>
        <v>Lotte Central</v>
      </c>
      <c r="AA339" s="196" t="str">
        <f t="shared" si="70"/>
        <v>Richoco Wf</v>
      </c>
      <c r="AB339" s="196" t="str">
        <f>IFERROR(VLOOKUP(DAY(B339),'[2]Chuyển đổi mã'!$F$1:$G$32,2,0),0)</f>
        <v>W2</v>
      </c>
      <c r="AC339" s="196" t="str">
        <f t="shared" si="71"/>
        <v>321238</v>
      </c>
      <c r="AD339" s="196" t="str">
        <f t="shared" si="72"/>
        <v>NPP</v>
      </c>
      <c r="AE339" s="196" t="str">
        <f t="shared" si="73"/>
        <v>NPP321238</v>
      </c>
      <c r="AF339" s="196">
        <f t="shared" si="74"/>
        <v>0</v>
      </c>
    </row>
    <row r="340" spans="1:32" ht="12.95" hidden="1" customHeight="1">
      <c r="A340" s="190">
        <v>62601</v>
      </c>
      <c r="B340" s="191">
        <v>43565</v>
      </c>
      <c r="C340" s="190" t="s">
        <v>457</v>
      </c>
      <c r="D340" s="190" t="s">
        <v>563</v>
      </c>
      <c r="E340" s="190" t="s">
        <v>346</v>
      </c>
      <c r="F340" s="190" t="s">
        <v>481</v>
      </c>
      <c r="G340" s="192" t="s">
        <v>482</v>
      </c>
      <c r="H340" s="192" t="s">
        <v>296</v>
      </c>
      <c r="I340" s="192" t="s">
        <v>443</v>
      </c>
      <c r="J340" s="192" t="s">
        <v>350</v>
      </c>
      <c r="K340" s="190" t="s">
        <v>351</v>
      </c>
      <c r="L340" s="190" t="s">
        <v>359</v>
      </c>
      <c r="M340" s="192" t="s">
        <v>360</v>
      </c>
      <c r="N340" s="193">
        <v>3</v>
      </c>
      <c r="O340" s="193">
        <v>300000</v>
      </c>
      <c r="P340" s="194">
        <v>900000</v>
      </c>
      <c r="Q340" s="194">
        <v>90000</v>
      </c>
      <c r="R340" s="194">
        <v>990000</v>
      </c>
      <c r="S340" s="192"/>
      <c r="T340" s="192" t="s">
        <v>310</v>
      </c>
      <c r="U340" s="190">
        <v>60391</v>
      </c>
      <c r="V340" s="190"/>
      <c r="W340" s="195" t="s">
        <v>356</v>
      </c>
      <c r="X340" s="196" t="str">
        <f>+IFERROR(VLOOKUP($F340,'[2]Chuyển đổi mã'!$A$1:$C$91,3,0),$F340)&amp;AC340</f>
        <v>Lotte Central320445</v>
      </c>
      <c r="Y340" s="196" t="str">
        <f>IFERROR(VLOOKUP($F340,'[2]Chuyển đổi mã'!$A$1:$C$184,3,0),F340)</f>
        <v>Lotte Central</v>
      </c>
      <c r="Z340" s="196" t="str">
        <f>VLOOKUP($G340,'[2]Thông tin NPP'!$B:$D,3,0)</f>
        <v>Lotte Central</v>
      </c>
      <c r="AA340" s="196" t="str">
        <f t="shared" si="70"/>
        <v>Na 58g</v>
      </c>
      <c r="AB340" s="196" t="str">
        <f>IFERROR(VLOOKUP(DAY(B340),'[2]Chuyển đổi mã'!$F$1:$G$32,2,0),0)</f>
        <v>W2</v>
      </c>
      <c r="AC340" s="196" t="str">
        <f t="shared" si="71"/>
        <v>320445</v>
      </c>
      <c r="AD340" s="196" t="str">
        <f t="shared" si="72"/>
        <v>NPP</v>
      </c>
      <c r="AE340" s="196" t="str">
        <f t="shared" si="73"/>
        <v>NPP320445</v>
      </c>
      <c r="AF340" s="196">
        <f t="shared" si="74"/>
        <v>0</v>
      </c>
    </row>
    <row r="341" spans="1:32" ht="12.95" hidden="1" customHeight="1">
      <c r="A341" s="190">
        <v>62601</v>
      </c>
      <c r="B341" s="191">
        <v>43565</v>
      </c>
      <c r="C341" s="190" t="s">
        <v>457</v>
      </c>
      <c r="D341" s="190" t="s">
        <v>563</v>
      </c>
      <c r="E341" s="190" t="s">
        <v>346</v>
      </c>
      <c r="F341" s="190" t="s">
        <v>481</v>
      </c>
      <c r="G341" s="192" t="s">
        <v>482</v>
      </c>
      <c r="H341" s="192" t="s">
        <v>296</v>
      </c>
      <c r="I341" s="192" t="s">
        <v>443</v>
      </c>
      <c r="J341" s="192" t="s">
        <v>350</v>
      </c>
      <c r="K341" s="190" t="s">
        <v>351</v>
      </c>
      <c r="L341" s="190" t="s">
        <v>357</v>
      </c>
      <c r="M341" s="192" t="s">
        <v>358</v>
      </c>
      <c r="N341" s="193">
        <v>2</v>
      </c>
      <c r="O341" s="193">
        <v>213273</v>
      </c>
      <c r="P341" s="194">
        <v>426546</v>
      </c>
      <c r="Q341" s="194">
        <v>42654.6</v>
      </c>
      <c r="R341" s="194">
        <v>469200.6</v>
      </c>
      <c r="S341" s="192"/>
      <c r="T341" s="192" t="s">
        <v>310</v>
      </c>
      <c r="U341" s="190">
        <v>60391</v>
      </c>
      <c r="V341" s="190"/>
      <c r="W341" s="195" t="s">
        <v>356</v>
      </c>
      <c r="X341" s="196" t="str">
        <f>+IFERROR(VLOOKUP($F341,'[2]Chuyển đổi mã'!$A$1:$C$91,3,0),$F341)&amp;AC341</f>
        <v>Lotte Central323555</v>
      </c>
      <c r="Y341" s="196" t="str">
        <f>IFERROR(VLOOKUP($F341,'[2]Chuyển đổi mã'!$A$1:$C$184,3,0),F341)</f>
        <v>Lotte Central</v>
      </c>
      <c r="Z341" s="196" t="str">
        <f>VLOOKUP($G341,'[2]Thông tin NPP'!$B:$D,3,0)</f>
        <v>Lotte Central</v>
      </c>
      <c r="AA341" s="196" t="str">
        <f t="shared" si="70"/>
        <v>Na 17g - M</v>
      </c>
      <c r="AB341" s="196" t="str">
        <f>IFERROR(VLOOKUP(DAY(B341),'[2]Chuyển đổi mã'!$F$1:$G$32,2,0),0)</f>
        <v>W2</v>
      </c>
      <c r="AC341" s="196" t="str">
        <f t="shared" si="71"/>
        <v>323555</v>
      </c>
      <c r="AD341" s="196" t="str">
        <f t="shared" si="72"/>
        <v>NPP</v>
      </c>
      <c r="AE341" s="196" t="str">
        <f t="shared" si="73"/>
        <v>NPP323555</v>
      </c>
      <c r="AF341" s="196">
        <f t="shared" si="74"/>
        <v>0</v>
      </c>
    </row>
    <row r="342" spans="1:32" ht="12.95" hidden="1" customHeight="1">
      <c r="A342" s="190">
        <v>62601</v>
      </c>
      <c r="B342" s="191">
        <v>43565</v>
      </c>
      <c r="C342" s="190" t="s">
        <v>457</v>
      </c>
      <c r="D342" s="190" t="s">
        <v>563</v>
      </c>
      <c r="E342" s="190" t="s">
        <v>346</v>
      </c>
      <c r="F342" s="190" t="s">
        <v>481</v>
      </c>
      <c r="G342" s="192" t="s">
        <v>482</v>
      </c>
      <c r="H342" s="192" t="s">
        <v>296</v>
      </c>
      <c r="I342" s="192" t="s">
        <v>443</v>
      </c>
      <c r="J342" s="192" t="s">
        <v>350</v>
      </c>
      <c r="K342" s="190" t="s">
        <v>351</v>
      </c>
      <c r="L342" s="190" t="s">
        <v>363</v>
      </c>
      <c r="M342" s="192" t="s">
        <v>364</v>
      </c>
      <c r="N342" s="193">
        <v>2</v>
      </c>
      <c r="O342" s="193">
        <v>320000</v>
      </c>
      <c r="P342" s="194">
        <v>640000</v>
      </c>
      <c r="Q342" s="194">
        <v>64000</v>
      </c>
      <c r="R342" s="194">
        <v>704000</v>
      </c>
      <c r="S342" s="192"/>
      <c r="T342" s="192" t="s">
        <v>310</v>
      </c>
      <c r="U342" s="190">
        <v>60391</v>
      </c>
      <c r="V342" s="190"/>
      <c r="W342" s="195" t="s">
        <v>356</v>
      </c>
      <c r="X342" s="196" t="str">
        <f>+IFERROR(VLOOKUP($F342,'[2]Chuyển đổi mã'!$A$1:$C$91,3,0),$F342)&amp;AC342</f>
        <v>Lotte Central323708</v>
      </c>
      <c r="Y342" s="196" t="str">
        <f>IFERROR(VLOOKUP($F342,'[2]Chuyển đổi mã'!$A$1:$C$184,3,0),F342)</f>
        <v>Lotte Central</v>
      </c>
      <c r="Z342" s="196" t="str">
        <f>VLOOKUP($G342,'[2]Thông tin NPP'!$B:$D,3,0)</f>
        <v>Lotte Central</v>
      </c>
      <c r="AA342" s="196" t="str">
        <f t="shared" si="70"/>
        <v>Nextar Bro</v>
      </c>
      <c r="AB342" s="196" t="str">
        <f>IFERROR(VLOOKUP(DAY(B342),'[2]Chuyển đổi mã'!$F$1:$G$32,2,0),0)</f>
        <v>W2</v>
      </c>
      <c r="AC342" s="196" t="str">
        <f t="shared" si="71"/>
        <v>323708</v>
      </c>
      <c r="AD342" s="196" t="str">
        <f t="shared" si="72"/>
        <v>NPP</v>
      </c>
      <c r="AE342" s="196" t="str">
        <f t="shared" si="73"/>
        <v>NPP323708</v>
      </c>
      <c r="AF342" s="196">
        <f t="shared" si="74"/>
        <v>0</v>
      </c>
    </row>
    <row r="343" spans="1:32" ht="12.95" customHeight="1">
      <c r="A343" s="190">
        <v>62604</v>
      </c>
      <c r="B343" s="191">
        <v>43565</v>
      </c>
      <c r="C343" s="190" t="s">
        <v>457</v>
      </c>
      <c r="D343" s="190" t="s">
        <v>564</v>
      </c>
      <c r="E343" s="190" t="s">
        <v>346</v>
      </c>
      <c r="F343" s="190" t="s">
        <v>484</v>
      </c>
      <c r="G343" s="192" t="s">
        <v>485</v>
      </c>
      <c r="H343" s="192" t="s">
        <v>296</v>
      </c>
      <c r="I343" s="192" t="s">
        <v>349</v>
      </c>
      <c r="J343" s="192" t="s">
        <v>350</v>
      </c>
      <c r="K343" s="190" t="s">
        <v>351</v>
      </c>
      <c r="L343" s="190" t="s">
        <v>352</v>
      </c>
      <c r="M343" s="192" t="s">
        <v>353</v>
      </c>
      <c r="N343" s="193">
        <v>10</v>
      </c>
      <c r="O343" s="193">
        <v>115036.7</v>
      </c>
      <c r="P343" s="194">
        <v>1150367</v>
      </c>
      <c r="Q343" s="194">
        <v>115036.7</v>
      </c>
      <c r="R343" s="194">
        <v>1265403.7</v>
      </c>
      <c r="S343" s="192" t="s">
        <v>544</v>
      </c>
      <c r="T343" s="192" t="s">
        <v>545</v>
      </c>
      <c r="U343" s="190">
        <v>60393</v>
      </c>
      <c r="V343" s="190"/>
      <c r="W343" s="195" t="s">
        <v>356</v>
      </c>
      <c r="X343" s="196" t="str">
        <f>+IFERROR(VLOOKUP($F343,'[2]Chuyển đổi mã'!$A$1:$C$91,3,0),$F343)&amp;AC343</f>
        <v>Lotte South320463</v>
      </c>
      <c r="Y343" s="196" t="str">
        <f>IFERROR(VLOOKUP($F343,'[2]Chuyển đổi mã'!$A$1:$C$184,3,0),F343)</f>
        <v>Lotte South</v>
      </c>
      <c r="Z343" s="196" t="str">
        <f>VLOOKUP($G343,'[2]Thông tin NPP'!$B:$D,3,0)</f>
        <v>Lotte South</v>
      </c>
      <c r="AA343" s="196" t="str">
        <f t="shared" ref="AA343:AA345" si="75">LEFT($M343,10)</f>
        <v>Na 8,5g</v>
      </c>
      <c r="AB343" s="196" t="str">
        <f>IFERROR(VLOOKUP(DAY(B343),'[2]Chuyển đổi mã'!$F$1:$G$32,2,0),0)</f>
        <v>W2</v>
      </c>
      <c r="AC343" s="196" t="str">
        <f t="shared" ref="AC343:AC345" si="76">LEFT(L343,6)</f>
        <v>320463</v>
      </c>
      <c r="AD343" s="196" t="str">
        <f t="shared" ref="AD343:AD345" si="77">LEFT(F343,3)</f>
        <v>NPP</v>
      </c>
      <c r="AE343" s="196" t="str">
        <f t="shared" ref="AE343:AE345" si="78">AD343&amp;AC343</f>
        <v>NPP320463</v>
      </c>
      <c r="AF343" s="196">
        <f t="shared" ref="AF343:AF345" si="79">IF(RIGHT(L343,1)="P","P",0)</f>
        <v>0</v>
      </c>
    </row>
    <row r="344" spans="1:32" ht="12.95" customHeight="1">
      <c r="A344" s="190">
        <v>62604</v>
      </c>
      <c r="B344" s="191">
        <v>43565</v>
      </c>
      <c r="C344" s="190" t="s">
        <v>457</v>
      </c>
      <c r="D344" s="190" t="s">
        <v>564</v>
      </c>
      <c r="E344" s="190" t="s">
        <v>346</v>
      </c>
      <c r="F344" s="190" t="s">
        <v>484</v>
      </c>
      <c r="G344" s="192" t="s">
        <v>485</v>
      </c>
      <c r="H344" s="192" t="s">
        <v>296</v>
      </c>
      <c r="I344" s="192" t="s">
        <v>349</v>
      </c>
      <c r="J344" s="192" t="s">
        <v>350</v>
      </c>
      <c r="K344" s="190" t="s">
        <v>351</v>
      </c>
      <c r="L344" s="190" t="s">
        <v>357</v>
      </c>
      <c r="M344" s="192" t="s">
        <v>358</v>
      </c>
      <c r="N344" s="193">
        <v>15</v>
      </c>
      <c r="O344" s="193">
        <v>213273</v>
      </c>
      <c r="P344" s="194">
        <v>3199095</v>
      </c>
      <c r="Q344" s="194">
        <v>319909.5</v>
      </c>
      <c r="R344" s="194">
        <v>3519004.5</v>
      </c>
      <c r="S344" s="192"/>
      <c r="T344" s="192" t="s">
        <v>310</v>
      </c>
      <c r="U344" s="190">
        <v>60393</v>
      </c>
      <c r="V344" s="190"/>
      <c r="W344" s="195" t="s">
        <v>356</v>
      </c>
      <c r="X344" s="196" t="str">
        <f>+IFERROR(VLOOKUP($F344,'[2]Chuyển đổi mã'!$A$1:$C$91,3,0),$F344)&amp;AC344</f>
        <v>Lotte South323555</v>
      </c>
      <c r="Y344" s="196" t="str">
        <f>IFERROR(VLOOKUP($F344,'[2]Chuyển đổi mã'!$A$1:$C$184,3,0),F344)</f>
        <v>Lotte South</v>
      </c>
      <c r="Z344" s="196" t="str">
        <f>VLOOKUP($G344,'[2]Thông tin NPP'!$B:$D,3,0)</f>
        <v>Lotte South</v>
      </c>
      <c r="AA344" s="196" t="str">
        <f t="shared" si="75"/>
        <v>Na 17g - M</v>
      </c>
      <c r="AB344" s="196" t="str">
        <f>IFERROR(VLOOKUP(DAY(B344),'[2]Chuyển đổi mã'!$F$1:$G$32,2,0),0)</f>
        <v>W2</v>
      </c>
      <c r="AC344" s="196" t="str">
        <f t="shared" si="76"/>
        <v>323555</v>
      </c>
      <c r="AD344" s="196" t="str">
        <f t="shared" si="77"/>
        <v>NPP</v>
      </c>
      <c r="AE344" s="196" t="str">
        <f t="shared" si="78"/>
        <v>NPP323555</v>
      </c>
      <c r="AF344" s="196">
        <f t="shared" si="79"/>
        <v>0</v>
      </c>
    </row>
    <row r="345" spans="1:32" ht="12.95" customHeight="1">
      <c r="A345" s="190">
        <v>62604</v>
      </c>
      <c r="B345" s="191">
        <v>43565</v>
      </c>
      <c r="C345" s="190" t="s">
        <v>457</v>
      </c>
      <c r="D345" s="190" t="s">
        <v>564</v>
      </c>
      <c r="E345" s="190" t="s">
        <v>346</v>
      </c>
      <c r="F345" s="190" t="s">
        <v>484</v>
      </c>
      <c r="G345" s="192" t="s">
        <v>485</v>
      </c>
      <c r="H345" s="192" t="s">
        <v>296</v>
      </c>
      <c r="I345" s="192" t="s">
        <v>349</v>
      </c>
      <c r="J345" s="192" t="s">
        <v>350</v>
      </c>
      <c r="K345" s="190" t="s">
        <v>351</v>
      </c>
      <c r="L345" s="190" t="s">
        <v>363</v>
      </c>
      <c r="M345" s="192" t="s">
        <v>364</v>
      </c>
      <c r="N345" s="193">
        <v>1</v>
      </c>
      <c r="O345" s="193">
        <v>320000</v>
      </c>
      <c r="P345" s="194">
        <v>320000</v>
      </c>
      <c r="Q345" s="194">
        <v>32000</v>
      </c>
      <c r="R345" s="194">
        <v>352000</v>
      </c>
      <c r="S345" s="192"/>
      <c r="T345" s="192" t="s">
        <v>310</v>
      </c>
      <c r="U345" s="190">
        <v>60393</v>
      </c>
      <c r="V345" s="190"/>
      <c r="W345" s="195" t="s">
        <v>356</v>
      </c>
      <c r="X345" s="196" t="str">
        <f>+IFERROR(VLOOKUP($F345,'[2]Chuyển đổi mã'!$A$1:$C$91,3,0),$F345)&amp;AC345</f>
        <v>Lotte South323708</v>
      </c>
      <c r="Y345" s="196" t="str">
        <f>IFERROR(VLOOKUP($F345,'[2]Chuyển đổi mã'!$A$1:$C$184,3,0),F345)</f>
        <v>Lotte South</v>
      </c>
      <c r="Z345" s="196" t="str">
        <f>VLOOKUP($G345,'[2]Thông tin NPP'!$B:$D,3,0)</f>
        <v>Lotte South</v>
      </c>
      <c r="AA345" s="196" t="str">
        <f t="shared" si="75"/>
        <v>Nextar Bro</v>
      </c>
      <c r="AB345" s="196" t="str">
        <f>IFERROR(VLOOKUP(DAY(B345),'[2]Chuyển đổi mã'!$F$1:$G$32,2,0),0)</f>
        <v>W2</v>
      </c>
      <c r="AC345" s="196" t="str">
        <f t="shared" si="76"/>
        <v>323708</v>
      </c>
      <c r="AD345" s="196" t="str">
        <f t="shared" si="77"/>
        <v>NPP</v>
      </c>
      <c r="AE345" s="196" t="str">
        <f t="shared" si="78"/>
        <v>NPP323708</v>
      </c>
      <c r="AF345" s="196">
        <f t="shared" si="79"/>
        <v>0</v>
      </c>
    </row>
    <row r="346" spans="1:32" ht="12.95" customHeight="1">
      <c r="A346" s="190">
        <v>62628</v>
      </c>
      <c r="B346" s="191">
        <v>43566</v>
      </c>
      <c r="C346" s="190" t="s">
        <v>457</v>
      </c>
      <c r="D346" s="190" t="s">
        <v>565</v>
      </c>
      <c r="E346" s="190" t="s">
        <v>346</v>
      </c>
      <c r="F346" s="190" t="s">
        <v>487</v>
      </c>
      <c r="G346" s="192" t="s">
        <v>488</v>
      </c>
      <c r="H346" s="192" t="s">
        <v>296</v>
      </c>
      <c r="I346" s="192" t="s">
        <v>349</v>
      </c>
      <c r="J346" s="192" t="s">
        <v>350</v>
      </c>
      <c r="K346" s="190" t="s">
        <v>351</v>
      </c>
      <c r="L346" s="190" t="s">
        <v>387</v>
      </c>
      <c r="M346" s="192" t="s">
        <v>388</v>
      </c>
      <c r="N346" s="193">
        <v>50</v>
      </c>
      <c r="O346" s="193">
        <v>340000</v>
      </c>
      <c r="P346" s="194">
        <v>17000000</v>
      </c>
      <c r="Q346" s="194">
        <v>1700000</v>
      </c>
      <c r="R346" s="194">
        <v>18700000</v>
      </c>
      <c r="S346" s="192"/>
      <c r="T346" s="192" t="s">
        <v>310</v>
      </c>
      <c r="U346" s="190">
        <v>60450</v>
      </c>
      <c r="V346" s="190"/>
      <c r="W346" s="195" t="s">
        <v>356</v>
      </c>
      <c r="X346" s="196" t="str">
        <f>+IFERROR(VLOOKUP($F346,'[2]Chuyển đổi mã'!$A$1:$C$91,3,0),$F346)&amp;AC346</f>
        <v>SG Coop323620</v>
      </c>
      <c r="Y346" s="196" t="str">
        <f>IFERROR(VLOOKUP($F346,'[2]Chuyển đổi mã'!$A$1:$C$184,3,0),F346)</f>
        <v>SG Coop</v>
      </c>
      <c r="Z346" s="196" t="str">
        <f>VLOOKUP($G346,'[2]Thông tin NPP'!$B:$D,3,0)</f>
        <v>SÀI GÒN CO.OP</v>
      </c>
      <c r="AA346" s="196" t="str">
        <f t="shared" ref="AA346:AA362" si="80">LEFT($M346,10)</f>
        <v>Ahh 16g</v>
      </c>
      <c r="AB346" s="196" t="str">
        <f>IFERROR(VLOOKUP(DAY(B346),'[2]Chuyển đổi mã'!$F$1:$G$32,2,0),0)</f>
        <v>W2</v>
      </c>
      <c r="AC346" s="196" t="str">
        <f t="shared" ref="AC346:AC362" si="81">LEFT(L346,6)</f>
        <v>323620</v>
      </c>
      <c r="AD346" s="196" t="str">
        <f t="shared" ref="AD346:AD362" si="82">LEFT(F346,3)</f>
        <v>NPP</v>
      </c>
      <c r="AE346" s="196" t="str">
        <f t="shared" ref="AE346:AE362" si="83">AD346&amp;AC346</f>
        <v>NPP323620</v>
      </c>
      <c r="AF346" s="196">
        <f t="shared" ref="AF346:AF362" si="84">IF(RIGHT(L346,1)="P","P",0)</f>
        <v>0</v>
      </c>
    </row>
    <row r="347" spans="1:32" ht="12.95" customHeight="1">
      <c r="A347" s="190">
        <v>62628</v>
      </c>
      <c r="B347" s="191">
        <v>43566</v>
      </c>
      <c r="C347" s="190" t="s">
        <v>457</v>
      </c>
      <c r="D347" s="190" t="s">
        <v>565</v>
      </c>
      <c r="E347" s="190" t="s">
        <v>346</v>
      </c>
      <c r="F347" s="190" t="s">
        <v>487</v>
      </c>
      <c r="G347" s="192" t="s">
        <v>488</v>
      </c>
      <c r="H347" s="192" t="s">
        <v>296</v>
      </c>
      <c r="I347" s="192" t="s">
        <v>349</v>
      </c>
      <c r="J347" s="192" t="s">
        <v>350</v>
      </c>
      <c r="K347" s="190" t="s">
        <v>351</v>
      </c>
      <c r="L347" s="190" t="s">
        <v>378</v>
      </c>
      <c r="M347" s="192" t="s">
        <v>379</v>
      </c>
      <c r="N347" s="193">
        <v>120</v>
      </c>
      <c r="O347" s="193">
        <v>204000</v>
      </c>
      <c r="P347" s="194">
        <v>24480000</v>
      </c>
      <c r="Q347" s="194">
        <v>2448000</v>
      </c>
      <c r="R347" s="194">
        <v>26928000</v>
      </c>
      <c r="S347" s="192"/>
      <c r="T347" s="192" t="s">
        <v>310</v>
      </c>
      <c r="U347" s="190">
        <v>60450</v>
      </c>
      <c r="V347" s="190"/>
      <c r="W347" s="195" t="s">
        <v>356</v>
      </c>
      <c r="X347" s="196" t="str">
        <f>+IFERROR(VLOOKUP($F347,'[2]Chuyển đổi mã'!$A$1:$C$91,3,0),$F347)&amp;AC347</f>
        <v>SG Coop321238</v>
      </c>
      <c r="Y347" s="196" t="str">
        <f>IFERROR(VLOOKUP($F347,'[2]Chuyển đổi mã'!$A$1:$C$184,3,0),F347)</f>
        <v>SG Coop</v>
      </c>
      <c r="Z347" s="196" t="str">
        <f>VLOOKUP($G347,'[2]Thông tin NPP'!$B:$D,3,0)</f>
        <v>SÀI GÒN CO.OP</v>
      </c>
      <c r="AA347" s="196" t="str">
        <f t="shared" si="80"/>
        <v>Richoco Wf</v>
      </c>
      <c r="AB347" s="196" t="str">
        <f>IFERROR(VLOOKUP(DAY(B347),'[2]Chuyển đổi mã'!$F$1:$G$32,2,0),0)</f>
        <v>W2</v>
      </c>
      <c r="AC347" s="196" t="str">
        <f t="shared" si="81"/>
        <v>321238</v>
      </c>
      <c r="AD347" s="196" t="str">
        <f t="shared" si="82"/>
        <v>NPP</v>
      </c>
      <c r="AE347" s="196" t="str">
        <f t="shared" si="83"/>
        <v>NPP321238</v>
      </c>
      <c r="AF347" s="196">
        <f t="shared" si="84"/>
        <v>0</v>
      </c>
    </row>
    <row r="348" spans="1:32" ht="12.95" customHeight="1">
      <c r="A348" s="190">
        <v>62628</v>
      </c>
      <c r="B348" s="191">
        <v>43566</v>
      </c>
      <c r="C348" s="190" t="s">
        <v>457</v>
      </c>
      <c r="D348" s="190" t="s">
        <v>565</v>
      </c>
      <c r="E348" s="190" t="s">
        <v>346</v>
      </c>
      <c r="F348" s="190" t="s">
        <v>487</v>
      </c>
      <c r="G348" s="192" t="s">
        <v>488</v>
      </c>
      <c r="H348" s="192" t="s">
        <v>296</v>
      </c>
      <c r="I348" s="192" t="s">
        <v>349</v>
      </c>
      <c r="J348" s="192" t="s">
        <v>350</v>
      </c>
      <c r="K348" s="190" t="s">
        <v>351</v>
      </c>
      <c r="L348" s="190" t="s">
        <v>359</v>
      </c>
      <c r="M348" s="192" t="s">
        <v>360</v>
      </c>
      <c r="N348" s="193">
        <v>150</v>
      </c>
      <c r="O348" s="193">
        <v>300000</v>
      </c>
      <c r="P348" s="194">
        <v>45000000</v>
      </c>
      <c r="Q348" s="194">
        <v>4500000</v>
      </c>
      <c r="R348" s="194">
        <v>49500000</v>
      </c>
      <c r="S348" s="192"/>
      <c r="T348" s="192" t="s">
        <v>310</v>
      </c>
      <c r="U348" s="190">
        <v>60450</v>
      </c>
      <c r="V348" s="190"/>
      <c r="W348" s="195" t="s">
        <v>356</v>
      </c>
      <c r="X348" s="196" t="str">
        <f>+IFERROR(VLOOKUP($F348,'[2]Chuyển đổi mã'!$A$1:$C$91,3,0),$F348)&amp;AC348</f>
        <v>SG Coop320445</v>
      </c>
      <c r="Y348" s="196" t="str">
        <f>IFERROR(VLOOKUP($F348,'[2]Chuyển đổi mã'!$A$1:$C$184,3,0),F348)</f>
        <v>SG Coop</v>
      </c>
      <c r="Z348" s="196" t="str">
        <f>VLOOKUP($G348,'[2]Thông tin NPP'!$B:$D,3,0)</f>
        <v>SÀI GÒN CO.OP</v>
      </c>
      <c r="AA348" s="196" t="str">
        <f t="shared" si="80"/>
        <v>Na 58g</v>
      </c>
      <c r="AB348" s="196" t="str">
        <f>IFERROR(VLOOKUP(DAY(B348),'[2]Chuyển đổi mã'!$F$1:$G$32,2,0),0)</f>
        <v>W2</v>
      </c>
      <c r="AC348" s="196" t="str">
        <f t="shared" si="81"/>
        <v>320445</v>
      </c>
      <c r="AD348" s="196" t="str">
        <f t="shared" si="82"/>
        <v>NPP</v>
      </c>
      <c r="AE348" s="196" t="str">
        <f t="shared" si="83"/>
        <v>NPP320445</v>
      </c>
      <c r="AF348" s="196">
        <f t="shared" si="84"/>
        <v>0</v>
      </c>
    </row>
    <row r="349" spans="1:32" ht="12.95" customHeight="1">
      <c r="A349" s="190">
        <v>62628</v>
      </c>
      <c r="B349" s="191">
        <v>43566</v>
      </c>
      <c r="C349" s="190" t="s">
        <v>457</v>
      </c>
      <c r="D349" s="190" t="s">
        <v>565</v>
      </c>
      <c r="E349" s="190" t="s">
        <v>346</v>
      </c>
      <c r="F349" s="190" t="s">
        <v>487</v>
      </c>
      <c r="G349" s="192" t="s">
        <v>488</v>
      </c>
      <c r="H349" s="192" t="s">
        <v>296</v>
      </c>
      <c r="I349" s="192" t="s">
        <v>349</v>
      </c>
      <c r="J349" s="192" t="s">
        <v>350</v>
      </c>
      <c r="K349" s="190" t="s">
        <v>351</v>
      </c>
      <c r="L349" s="190" t="s">
        <v>361</v>
      </c>
      <c r="M349" s="192" t="s">
        <v>362</v>
      </c>
      <c r="N349" s="193">
        <v>90</v>
      </c>
      <c r="O349" s="193">
        <v>300000</v>
      </c>
      <c r="P349" s="194">
        <v>27000000</v>
      </c>
      <c r="Q349" s="194">
        <v>2700000</v>
      </c>
      <c r="R349" s="194">
        <v>29700000</v>
      </c>
      <c r="S349" s="192"/>
      <c r="T349" s="192" t="s">
        <v>310</v>
      </c>
      <c r="U349" s="190">
        <v>60450</v>
      </c>
      <c r="V349" s="190"/>
      <c r="W349" s="195" t="s">
        <v>356</v>
      </c>
      <c r="X349" s="196" t="str">
        <f>+IFERROR(VLOOKUP($F349,'[2]Chuyển đổi mã'!$A$1:$C$91,3,0),$F349)&amp;AC349</f>
        <v>SG Coop331017</v>
      </c>
      <c r="Y349" s="196" t="str">
        <f>IFERROR(VLOOKUP($F349,'[2]Chuyển đổi mã'!$A$1:$C$184,3,0),F349)</f>
        <v>SG Coop</v>
      </c>
      <c r="Z349" s="196" t="str">
        <f>VLOOKUP($G349,'[2]Thông tin NPP'!$B:$D,3,0)</f>
        <v>SÀI GÒN CO.OP</v>
      </c>
      <c r="AA349" s="196" t="str">
        <f t="shared" si="80"/>
        <v>Richoco Wf</v>
      </c>
      <c r="AB349" s="196" t="str">
        <f>IFERROR(VLOOKUP(DAY(B349),'[2]Chuyển đổi mã'!$F$1:$G$32,2,0),0)</f>
        <v>W2</v>
      </c>
      <c r="AC349" s="196" t="str">
        <f t="shared" si="81"/>
        <v>331017</v>
      </c>
      <c r="AD349" s="196" t="str">
        <f t="shared" si="82"/>
        <v>NPP</v>
      </c>
      <c r="AE349" s="196" t="str">
        <f t="shared" si="83"/>
        <v>NPP331017</v>
      </c>
      <c r="AF349" s="196">
        <f t="shared" si="84"/>
        <v>0</v>
      </c>
    </row>
    <row r="350" spans="1:32" ht="12.95" customHeight="1">
      <c r="A350" s="190">
        <v>62629</v>
      </c>
      <c r="B350" s="191">
        <v>43566</v>
      </c>
      <c r="C350" s="190" t="s">
        <v>457</v>
      </c>
      <c r="D350" s="190" t="s">
        <v>566</v>
      </c>
      <c r="E350" s="190" t="s">
        <v>346</v>
      </c>
      <c r="F350" s="190" t="s">
        <v>487</v>
      </c>
      <c r="G350" s="192" t="s">
        <v>488</v>
      </c>
      <c r="H350" s="192" t="s">
        <v>296</v>
      </c>
      <c r="I350" s="192" t="s">
        <v>349</v>
      </c>
      <c r="J350" s="192" t="s">
        <v>350</v>
      </c>
      <c r="K350" s="190" t="s">
        <v>351</v>
      </c>
      <c r="L350" s="190" t="s">
        <v>387</v>
      </c>
      <c r="M350" s="192" t="s">
        <v>388</v>
      </c>
      <c r="N350" s="193">
        <v>20</v>
      </c>
      <c r="O350" s="193">
        <v>340000</v>
      </c>
      <c r="P350" s="194">
        <v>6800000</v>
      </c>
      <c r="Q350" s="194">
        <v>680000</v>
      </c>
      <c r="R350" s="194">
        <v>7480000</v>
      </c>
      <c r="S350" s="192"/>
      <c r="T350" s="192" t="s">
        <v>310</v>
      </c>
      <c r="U350" s="190">
        <v>60451</v>
      </c>
      <c r="V350" s="190"/>
      <c r="W350" s="195" t="s">
        <v>356</v>
      </c>
      <c r="X350" s="196" t="str">
        <f>+IFERROR(VLOOKUP($F350,'[2]Chuyển đổi mã'!$A$1:$C$91,3,0),$F350)&amp;AC350</f>
        <v>SG Coop323620</v>
      </c>
      <c r="Y350" s="196" t="str">
        <f>IFERROR(VLOOKUP($F350,'[2]Chuyển đổi mã'!$A$1:$C$184,3,0),F350)</f>
        <v>SG Coop</v>
      </c>
      <c r="Z350" s="196" t="str">
        <f>VLOOKUP($G350,'[2]Thông tin NPP'!$B:$D,3,0)</f>
        <v>SÀI GÒN CO.OP</v>
      </c>
      <c r="AA350" s="196" t="str">
        <f t="shared" si="80"/>
        <v>Ahh 16g</v>
      </c>
      <c r="AB350" s="196" t="str">
        <f>IFERROR(VLOOKUP(DAY(B350),'[2]Chuyển đổi mã'!$F$1:$G$32,2,0),0)</f>
        <v>W2</v>
      </c>
      <c r="AC350" s="196" t="str">
        <f t="shared" si="81"/>
        <v>323620</v>
      </c>
      <c r="AD350" s="196" t="str">
        <f t="shared" si="82"/>
        <v>NPP</v>
      </c>
      <c r="AE350" s="196" t="str">
        <f t="shared" si="83"/>
        <v>NPP323620</v>
      </c>
      <c r="AF350" s="196">
        <f t="shared" si="84"/>
        <v>0</v>
      </c>
    </row>
    <row r="351" spans="1:32" ht="12.95" customHeight="1">
      <c r="A351" s="190">
        <v>62629</v>
      </c>
      <c r="B351" s="191">
        <v>43566</v>
      </c>
      <c r="C351" s="190" t="s">
        <v>457</v>
      </c>
      <c r="D351" s="190" t="s">
        <v>566</v>
      </c>
      <c r="E351" s="190" t="s">
        <v>346</v>
      </c>
      <c r="F351" s="190" t="s">
        <v>487</v>
      </c>
      <c r="G351" s="192" t="s">
        <v>488</v>
      </c>
      <c r="H351" s="192" t="s">
        <v>296</v>
      </c>
      <c r="I351" s="192" t="s">
        <v>349</v>
      </c>
      <c r="J351" s="192" t="s">
        <v>350</v>
      </c>
      <c r="K351" s="190" t="s">
        <v>351</v>
      </c>
      <c r="L351" s="190" t="s">
        <v>357</v>
      </c>
      <c r="M351" s="192" t="s">
        <v>358</v>
      </c>
      <c r="N351" s="193">
        <v>400</v>
      </c>
      <c r="O351" s="193">
        <v>173400</v>
      </c>
      <c r="P351" s="194">
        <v>69360000</v>
      </c>
      <c r="Q351" s="194">
        <v>6936000</v>
      </c>
      <c r="R351" s="194">
        <v>76296000</v>
      </c>
      <c r="S351" s="192" t="s">
        <v>490</v>
      </c>
      <c r="T351" s="192" t="s">
        <v>491</v>
      </c>
      <c r="U351" s="190">
        <v>60451</v>
      </c>
      <c r="V351" s="190"/>
      <c r="W351" s="195" t="s">
        <v>356</v>
      </c>
      <c r="X351" s="196" t="str">
        <f>+IFERROR(VLOOKUP($F351,'[2]Chuyển đổi mã'!$A$1:$C$91,3,0),$F351)&amp;AC351</f>
        <v>SG Coop323555</v>
      </c>
      <c r="Y351" s="196" t="str">
        <f>IFERROR(VLOOKUP($F351,'[2]Chuyển đổi mã'!$A$1:$C$184,3,0),F351)</f>
        <v>SG Coop</v>
      </c>
      <c r="Z351" s="196" t="str">
        <f>VLOOKUP($G351,'[2]Thông tin NPP'!$B:$D,3,0)</f>
        <v>SÀI GÒN CO.OP</v>
      </c>
      <c r="AA351" s="196" t="str">
        <f t="shared" si="80"/>
        <v>Na 17g - M</v>
      </c>
      <c r="AB351" s="196" t="str">
        <f>IFERROR(VLOOKUP(DAY(B351),'[2]Chuyển đổi mã'!$F$1:$G$32,2,0),0)</f>
        <v>W2</v>
      </c>
      <c r="AC351" s="196" t="str">
        <f t="shared" si="81"/>
        <v>323555</v>
      </c>
      <c r="AD351" s="196" t="str">
        <f t="shared" si="82"/>
        <v>NPP</v>
      </c>
      <c r="AE351" s="196" t="str">
        <f t="shared" si="83"/>
        <v>NPP323555</v>
      </c>
      <c r="AF351" s="196">
        <f t="shared" si="84"/>
        <v>0</v>
      </c>
    </row>
    <row r="352" spans="1:32" ht="12.95" customHeight="1">
      <c r="A352" s="190">
        <v>62630</v>
      </c>
      <c r="B352" s="191">
        <v>43566</v>
      </c>
      <c r="C352" s="190" t="s">
        <v>457</v>
      </c>
      <c r="D352" s="190" t="s">
        <v>567</v>
      </c>
      <c r="E352" s="190" t="s">
        <v>346</v>
      </c>
      <c r="F352" s="190" t="s">
        <v>487</v>
      </c>
      <c r="G352" s="192" t="s">
        <v>488</v>
      </c>
      <c r="H352" s="192" t="s">
        <v>296</v>
      </c>
      <c r="I352" s="192" t="s">
        <v>349</v>
      </c>
      <c r="J352" s="192" t="s">
        <v>350</v>
      </c>
      <c r="K352" s="190" t="s">
        <v>351</v>
      </c>
      <c r="L352" s="190" t="s">
        <v>352</v>
      </c>
      <c r="M352" s="192" t="s">
        <v>353</v>
      </c>
      <c r="N352" s="193">
        <v>16</v>
      </c>
      <c r="O352" s="193">
        <v>137454.29999999999</v>
      </c>
      <c r="P352" s="194">
        <v>2199268.7999999998</v>
      </c>
      <c r="Q352" s="194">
        <v>219926.88</v>
      </c>
      <c r="R352" s="194">
        <v>2419195.6800000002</v>
      </c>
      <c r="S352" s="192"/>
      <c r="T352" s="192" t="s">
        <v>310</v>
      </c>
      <c r="U352" s="190">
        <v>60452</v>
      </c>
      <c r="V352" s="190"/>
      <c r="W352" s="195" t="s">
        <v>356</v>
      </c>
      <c r="X352" s="196" t="str">
        <f>+IFERROR(VLOOKUP($F352,'[2]Chuyển đổi mã'!$A$1:$C$91,3,0),$F352)&amp;AC352</f>
        <v>SG Coop320463</v>
      </c>
      <c r="Y352" s="196" t="str">
        <f>IFERROR(VLOOKUP($F352,'[2]Chuyển đổi mã'!$A$1:$C$184,3,0),F352)</f>
        <v>SG Coop</v>
      </c>
      <c r="Z352" s="196" t="str">
        <f>VLOOKUP($G352,'[2]Thông tin NPP'!$B:$D,3,0)</f>
        <v>SÀI GÒN CO.OP</v>
      </c>
      <c r="AA352" s="196" t="str">
        <f t="shared" si="80"/>
        <v>Na 8,5g</v>
      </c>
      <c r="AB352" s="196" t="str">
        <f>IFERROR(VLOOKUP(DAY(B352),'[2]Chuyển đổi mã'!$F$1:$G$32,2,0),0)</f>
        <v>W2</v>
      </c>
      <c r="AC352" s="196" t="str">
        <f t="shared" si="81"/>
        <v>320463</v>
      </c>
      <c r="AD352" s="196" t="str">
        <f t="shared" si="82"/>
        <v>NPP</v>
      </c>
      <c r="AE352" s="196" t="str">
        <f t="shared" si="83"/>
        <v>NPP320463</v>
      </c>
      <c r="AF352" s="196">
        <f t="shared" si="84"/>
        <v>0</v>
      </c>
    </row>
    <row r="353" spans="1:32" ht="12.95" customHeight="1">
      <c r="A353" s="190">
        <v>62630</v>
      </c>
      <c r="B353" s="191">
        <v>43566</v>
      </c>
      <c r="C353" s="190" t="s">
        <v>457</v>
      </c>
      <c r="D353" s="190" t="s">
        <v>567</v>
      </c>
      <c r="E353" s="190" t="s">
        <v>346</v>
      </c>
      <c r="F353" s="190" t="s">
        <v>487</v>
      </c>
      <c r="G353" s="192" t="s">
        <v>488</v>
      </c>
      <c r="H353" s="192" t="s">
        <v>296</v>
      </c>
      <c r="I353" s="192" t="s">
        <v>349</v>
      </c>
      <c r="J353" s="192" t="s">
        <v>350</v>
      </c>
      <c r="K353" s="190" t="s">
        <v>351</v>
      </c>
      <c r="L353" s="190" t="s">
        <v>378</v>
      </c>
      <c r="M353" s="192" t="s">
        <v>379</v>
      </c>
      <c r="N353" s="193">
        <v>7</v>
      </c>
      <c r="O353" s="193">
        <v>183600</v>
      </c>
      <c r="P353" s="194">
        <v>1285200</v>
      </c>
      <c r="Q353" s="194">
        <v>128520</v>
      </c>
      <c r="R353" s="194">
        <v>1413720</v>
      </c>
      <c r="S353" s="192"/>
      <c r="T353" s="192" t="s">
        <v>310</v>
      </c>
      <c r="U353" s="190">
        <v>60452</v>
      </c>
      <c r="V353" s="190"/>
      <c r="W353" s="195" t="s">
        <v>356</v>
      </c>
      <c r="X353" s="196" t="str">
        <f>+IFERROR(VLOOKUP($F353,'[2]Chuyển đổi mã'!$A$1:$C$91,3,0),$F353)&amp;AC353</f>
        <v>SG Coop321238</v>
      </c>
      <c r="Y353" s="196" t="str">
        <f>IFERROR(VLOOKUP($F353,'[2]Chuyển đổi mã'!$A$1:$C$184,3,0),F353)</f>
        <v>SG Coop</v>
      </c>
      <c r="Z353" s="196" t="str">
        <f>VLOOKUP($G353,'[2]Thông tin NPP'!$B:$D,3,0)</f>
        <v>SÀI GÒN CO.OP</v>
      </c>
      <c r="AA353" s="196" t="str">
        <f t="shared" si="80"/>
        <v>Richoco Wf</v>
      </c>
      <c r="AB353" s="196" t="str">
        <f>IFERROR(VLOOKUP(DAY(B353),'[2]Chuyển đổi mã'!$F$1:$G$32,2,0),0)</f>
        <v>W2</v>
      </c>
      <c r="AC353" s="196" t="str">
        <f t="shared" si="81"/>
        <v>321238</v>
      </c>
      <c r="AD353" s="196" t="str">
        <f t="shared" si="82"/>
        <v>NPP</v>
      </c>
      <c r="AE353" s="196" t="str">
        <f t="shared" si="83"/>
        <v>NPP321238</v>
      </c>
      <c r="AF353" s="196">
        <f t="shared" si="84"/>
        <v>0</v>
      </c>
    </row>
    <row r="354" spans="1:32" ht="12.95" customHeight="1">
      <c r="A354" s="190">
        <v>62630</v>
      </c>
      <c r="B354" s="191">
        <v>43566</v>
      </c>
      <c r="C354" s="190" t="s">
        <v>457</v>
      </c>
      <c r="D354" s="190" t="s">
        <v>567</v>
      </c>
      <c r="E354" s="190" t="s">
        <v>346</v>
      </c>
      <c r="F354" s="190" t="s">
        <v>487</v>
      </c>
      <c r="G354" s="192" t="s">
        <v>488</v>
      </c>
      <c r="H354" s="192" t="s">
        <v>296</v>
      </c>
      <c r="I354" s="192" t="s">
        <v>349</v>
      </c>
      <c r="J354" s="192" t="s">
        <v>350</v>
      </c>
      <c r="K354" s="190" t="s">
        <v>351</v>
      </c>
      <c r="L354" s="190" t="s">
        <v>357</v>
      </c>
      <c r="M354" s="192" t="s">
        <v>358</v>
      </c>
      <c r="N354" s="193">
        <v>30</v>
      </c>
      <c r="O354" s="193">
        <v>173400</v>
      </c>
      <c r="P354" s="194">
        <v>5202000</v>
      </c>
      <c r="Q354" s="194">
        <v>520200</v>
      </c>
      <c r="R354" s="194">
        <v>5722200</v>
      </c>
      <c r="S354" s="192" t="s">
        <v>490</v>
      </c>
      <c r="T354" s="192" t="s">
        <v>491</v>
      </c>
      <c r="U354" s="190">
        <v>60452</v>
      </c>
      <c r="V354" s="190"/>
      <c r="W354" s="195" t="s">
        <v>356</v>
      </c>
      <c r="X354" s="196" t="str">
        <f>+IFERROR(VLOOKUP($F354,'[2]Chuyển đổi mã'!$A$1:$C$91,3,0),$F354)&amp;AC354</f>
        <v>SG Coop323555</v>
      </c>
      <c r="Y354" s="196" t="str">
        <f>IFERROR(VLOOKUP($F354,'[2]Chuyển đổi mã'!$A$1:$C$184,3,0),F354)</f>
        <v>SG Coop</v>
      </c>
      <c r="Z354" s="196" t="str">
        <f>VLOOKUP($G354,'[2]Thông tin NPP'!$B:$D,3,0)</f>
        <v>SÀI GÒN CO.OP</v>
      </c>
      <c r="AA354" s="196" t="str">
        <f t="shared" si="80"/>
        <v>Na 17g - M</v>
      </c>
      <c r="AB354" s="196" t="str">
        <f>IFERROR(VLOOKUP(DAY(B354),'[2]Chuyển đổi mã'!$F$1:$G$32,2,0),0)</f>
        <v>W2</v>
      </c>
      <c r="AC354" s="196" t="str">
        <f t="shared" si="81"/>
        <v>323555</v>
      </c>
      <c r="AD354" s="196" t="str">
        <f t="shared" si="82"/>
        <v>NPP</v>
      </c>
      <c r="AE354" s="196" t="str">
        <f t="shared" si="83"/>
        <v>NPP323555</v>
      </c>
      <c r="AF354" s="196">
        <f t="shared" si="84"/>
        <v>0</v>
      </c>
    </row>
    <row r="355" spans="1:32" ht="12.95" customHeight="1">
      <c r="A355" s="190">
        <v>62630</v>
      </c>
      <c r="B355" s="191">
        <v>43566</v>
      </c>
      <c r="C355" s="190" t="s">
        <v>457</v>
      </c>
      <c r="D355" s="190" t="s">
        <v>567</v>
      </c>
      <c r="E355" s="190" t="s">
        <v>346</v>
      </c>
      <c r="F355" s="190" t="s">
        <v>487</v>
      </c>
      <c r="G355" s="192" t="s">
        <v>488</v>
      </c>
      <c r="H355" s="192" t="s">
        <v>296</v>
      </c>
      <c r="I355" s="192" t="s">
        <v>349</v>
      </c>
      <c r="J355" s="192" t="s">
        <v>350</v>
      </c>
      <c r="K355" s="190" t="s">
        <v>351</v>
      </c>
      <c r="L355" s="190" t="s">
        <v>359</v>
      </c>
      <c r="M355" s="192" t="s">
        <v>360</v>
      </c>
      <c r="N355" s="193">
        <v>18</v>
      </c>
      <c r="O355" s="193">
        <v>270000</v>
      </c>
      <c r="P355" s="194">
        <v>4860000</v>
      </c>
      <c r="Q355" s="194">
        <v>486000</v>
      </c>
      <c r="R355" s="194">
        <v>5346000</v>
      </c>
      <c r="S355" s="192"/>
      <c r="T355" s="192" t="s">
        <v>310</v>
      </c>
      <c r="U355" s="190">
        <v>60452</v>
      </c>
      <c r="V355" s="190"/>
      <c r="W355" s="195" t="s">
        <v>356</v>
      </c>
      <c r="X355" s="196" t="str">
        <f>+IFERROR(VLOOKUP($F355,'[2]Chuyển đổi mã'!$A$1:$C$91,3,0),$F355)&amp;AC355</f>
        <v>SG Coop320445</v>
      </c>
      <c r="Y355" s="196" t="str">
        <f>IFERROR(VLOOKUP($F355,'[2]Chuyển đổi mã'!$A$1:$C$184,3,0),F355)</f>
        <v>SG Coop</v>
      </c>
      <c r="Z355" s="196" t="str">
        <f>VLOOKUP($G355,'[2]Thông tin NPP'!$B:$D,3,0)</f>
        <v>SÀI GÒN CO.OP</v>
      </c>
      <c r="AA355" s="196" t="str">
        <f t="shared" si="80"/>
        <v>Na 58g</v>
      </c>
      <c r="AB355" s="196" t="str">
        <f>IFERROR(VLOOKUP(DAY(B355),'[2]Chuyển đổi mã'!$F$1:$G$32,2,0),0)</f>
        <v>W2</v>
      </c>
      <c r="AC355" s="196" t="str">
        <f t="shared" si="81"/>
        <v>320445</v>
      </c>
      <c r="AD355" s="196" t="str">
        <f t="shared" si="82"/>
        <v>NPP</v>
      </c>
      <c r="AE355" s="196" t="str">
        <f t="shared" si="83"/>
        <v>NPP320445</v>
      </c>
      <c r="AF355" s="196">
        <f t="shared" si="84"/>
        <v>0</v>
      </c>
    </row>
    <row r="356" spans="1:32" ht="12.95" customHeight="1">
      <c r="A356" s="190">
        <v>62630</v>
      </c>
      <c r="B356" s="191">
        <v>43566</v>
      </c>
      <c r="C356" s="190" t="s">
        <v>457</v>
      </c>
      <c r="D356" s="190" t="s">
        <v>567</v>
      </c>
      <c r="E356" s="190" t="s">
        <v>346</v>
      </c>
      <c r="F356" s="190" t="s">
        <v>487</v>
      </c>
      <c r="G356" s="192" t="s">
        <v>488</v>
      </c>
      <c r="H356" s="192" t="s">
        <v>296</v>
      </c>
      <c r="I356" s="192" t="s">
        <v>349</v>
      </c>
      <c r="J356" s="192" t="s">
        <v>350</v>
      </c>
      <c r="K356" s="190" t="s">
        <v>351</v>
      </c>
      <c r="L356" s="190" t="s">
        <v>361</v>
      </c>
      <c r="M356" s="192" t="s">
        <v>362</v>
      </c>
      <c r="N356" s="193">
        <v>6</v>
      </c>
      <c r="O356" s="193">
        <v>270000</v>
      </c>
      <c r="P356" s="194">
        <v>1620000</v>
      </c>
      <c r="Q356" s="194">
        <v>162000</v>
      </c>
      <c r="R356" s="194">
        <v>1782000</v>
      </c>
      <c r="S356" s="192"/>
      <c r="T356" s="192" t="s">
        <v>310</v>
      </c>
      <c r="U356" s="190">
        <v>60452</v>
      </c>
      <c r="V356" s="190"/>
      <c r="W356" s="195" t="s">
        <v>356</v>
      </c>
      <c r="X356" s="196" t="str">
        <f>+IFERROR(VLOOKUP($F356,'[2]Chuyển đổi mã'!$A$1:$C$91,3,0),$F356)&amp;AC356</f>
        <v>SG Coop331017</v>
      </c>
      <c r="Y356" s="196" t="str">
        <f>IFERROR(VLOOKUP($F356,'[2]Chuyển đổi mã'!$A$1:$C$184,3,0),F356)</f>
        <v>SG Coop</v>
      </c>
      <c r="Z356" s="196" t="str">
        <f>VLOOKUP($G356,'[2]Thông tin NPP'!$B:$D,3,0)</f>
        <v>SÀI GÒN CO.OP</v>
      </c>
      <c r="AA356" s="196" t="str">
        <f t="shared" si="80"/>
        <v>Richoco Wf</v>
      </c>
      <c r="AB356" s="196" t="str">
        <f>IFERROR(VLOOKUP(DAY(B356),'[2]Chuyển đổi mã'!$F$1:$G$32,2,0),0)</f>
        <v>W2</v>
      </c>
      <c r="AC356" s="196" t="str">
        <f t="shared" si="81"/>
        <v>331017</v>
      </c>
      <c r="AD356" s="196" t="str">
        <f t="shared" si="82"/>
        <v>NPP</v>
      </c>
      <c r="AE356" s="196" t="str">
        <f t="shared" si="83"/>
        <v>NPP331017</v>
      </c>
      <c r="AF356" s="196">
        <f t="shared" si="84"/>
        <v>0</v>
      </c>
    </row>
    <row r="357" spans="1:32" ht="12.95" customHeight="1">
      <c r="A357" s="190">
        <v>62631</v>
      </c>
      <c r="B357" s="191">
        <v>43566</v>
      </c>
      <c r="C357" s="190" t="s">
        <v>457</v>
      </c>
      <c r="D357" s="190" t="s">
        <v>568</v>
      </c>
      <c r="E357" s="190" t="s">
        <v>346</v>
      </c>
      <c r="F357" s="190" t="s">
        <v>493</v>
      </c>
      <c r="G357" s="192" t="s">
        <v>494</v>
      </c>
      <c r="H357" s="192" t="s">
        <v>296</v>
      </c>
      <c r="I357" s="192" t="s">
        <v>349</v>
      </c>
      <c r="J357" s="192" t="s">
        <v>350</v>
      </c>
      <c r="K357" s="190" t="s">
        <v>351</v>
      </c>
      <c r="L357" s="190" t="s">
        <v>352</v>
      </c>
      <c r="M357" s="192" t="s">
        <v>353</v>
      </c>
      <c r="N357" s="193">
        <v>100</v>
      </c>
      <c r="O357" s="193">
        <v>152727</v>
      </c>
      <c r="P357" s="194">
        <v>15272700</v>
      </c>
      <c r="Q357" s="194">
        <v>1527270</v>
      </c>
      <c r="R357" s="194">
        <v>16799970</v>
      </c>
      <c r="S357" s="192"/>
      <c r="T357" s="192" t="s">
        <v>310</v>
      </c>
      <c r="U357" s="190">
        <v>60449</v>
      </c>
      <c r="V357" s="190"/>
      <c r="W357" s="195" t="s">
        <v>356</v>
      </c>
      <c r="X357" s="196" t="str">
        <f>+IFERROR(VLOOKUP($F357,'[2]Chuyển đổi mã'!$A$1:$C$91,3,0),$F357)&amp;AC357</f>
        <v>SG Coop Miền Tây320463</v>
      </c>
      <c r="Y357" s="196" t="str">
        <f>IFERROR(VLOOKUP($F357,'[2]Chuyển đổi mã'!$A$1:$C$184,3,0),F357)</f>
        <v>SG Coop Miền Tây</v>
      </c>
      <c r="Z357" s="196" t="str">
        <f>VLOOKUP($G357,'[2]Thông tin NPP'!$B:$D,3,0)</f>
        <v>SÀI GÒN CO.OP</v>
      </c>
      <c r="AA357" s="196" t="str">
        <f t="shared" si="80"/>
        <v>Na 8,5g</v>
      </c>
      <c r="AB357" s="196" t="str">
        <f>IFERROR(VLOOKUP(DAY(B357),'[2]Chuyển đổi mã'!$F$1:$G$32,2,0),0)</f>
        <v>W2</v>
      </c>
      <c r="AC357" s="196" t="str">
        <f t="shared" si="81"/>
        <v>320463</v>
      </c>
      <c r="AD357" s="196" t="str">
        <f t="shared" si="82"/>
        <v>NPP</v>
      </c>
      <c r="AE357" s="196" t="str">
        <f t="shared" si="83"/>
        <v>NPP320463</v>
      </c>
      <c r="AF357" s="196">
        <f t="shared" si="84"/>
        <v>0</v>
      </c>
    </row>
    <row r="358" spans="1:32" ht="12.95" customHeight="1">
      <c r="A358" s="190">
        <v>62631</v>
      </c>
      <c r="B358" s="191">
        <v>43566</v>
      </c>
      <c r="C358" s="190" t="s">
        <v>457</v>
      </c>
      <c r="D358" s="190" t="s">
        <v>568</v>
      </c>
      <c r="E358" s="190" t="s">
        <v>346</v>
      </c>
      <c r="F358" s="190" t="s">
        <v>493</v>
      </c>
      <c r="G358" s="192" t="s">
        <v>494</v>
      </c>
      <c r="H358" s="192" t="s">
        <v>296</v>
      </c>
      <c r="I358" s="192" t="s">
        <v>349</v>
      </c>
      <c r="J358" s="192" t="s">
        <v>350</v>
      </c>
      <c r="K358" s="190" t="s">
        <v>351</v>
      </c>
      <c r="L358" s="190" t="s">
        <v>387</v>
      </c>
      <c r="M358" s="192" t="s">
        <v>388</v>
      </c>
      <c r="N358" s="193">
        <v>10</v>
      </c>
      <c r="O358" s="193">
        <v>340000</v>
      </c>
      <c r="P358" s="194">
        <v>3400000</v>
      </c>
      <c r="Q358" s="194">
        <v>340000</v>
      </c>
      <c r="R358" s="194">
        <v>3740000</v>
      </c>
      <c r="S358" s="192"/>
      <c r="T358" s="192" t="s">
        <v>310</v>
      </c>
      <c r="U358" s="190">
        <v>60449</v>
      </c>
      <c r="V358" s="190"/>
      <c r="W358" s="195" t="s">
        <v>356</v>
      </c>
      <c r="X358" s="196" t="str">
        <f>+IFERROR(VLOOKUP($F358,'[2]Chuyển đổi mã'!$A$1:$C$91,3,0),$F358)&amp;AC358</f>
        <v>SG Coop Miền Tây323620</v>
      </c>
      <c r="Y358" s="196" t="str">
        <f>IFERROR(VLOOKUP($F358,'[2]Chuyển đổi mã'!$A$1:$C$184,3,0),F358)</f>
        <v>SG Coop Miền Tây</v>
      </c>
      <c r="Z358" s="196" t="str">
        <f>VLOOKUP($G358,'[2]Thông tin NPP'!$B:$D,3,0)</f>
        <v>SÀI GÒN CO.OP</v>
      </c>
      <c r="AA358" s="196" t="str">
        <f t="shared" si="80"/>
        <v>Ahh 16g</v>
      </c>
      <c r="AB358" s="196" t="str">
        <f>IFERROR(VLOOKUP(DAY(B358),'[2]Chuyển đổi mã'!$F$1:$G$32,2,0),0)</f>
        <v>W2</v>
      </c>
      <c r="AC358" s="196" t="str">
        <f t="shared" si="81"/>
        <v>323620</v>
      </c>
      <c r="AD358" s="196" t="str">
        <f t="shared" si="82"/>
        <v>NPP</v>
      </c>
      <c r="AE358" s="196" t="str">
        <f t="shared" si="83"/>
        <v>NPP323620</v>
      </c>
      <c r="AF358" s="196">
        <f t="shared" si="84"/>
        <v>0</v>
      </c>
    </row>
    <row r="359" spans="1:32" ht="12.95" customHeight="1">
      <c r="A359" s="190">
        <v>62631</v>
      </c>
      <c r="B359" s="191">
        <v>43566</v>
      </c>
      <c r="C359" s="190" t="s">
        <v>457</v>
      </c>
      <c r="D359" s="190" t="s">
        <v>568</v>
      </c>
      <c r="E359" s="190" t="s">
        <v>346</v>
      </c>
      <c r="F359" s="190" t="s">
        <v>493</v>
      </c>
      <c r="G359" s="192" t="s">
        <v>494</v>
      </c>
      <c r="H359" s="192" t="s">
        <v>296</v>
      </c>
      <c r="I359" s="192" t="s">
        <v>349</v>
      </c>
      <c r="J359" s="192" t="s">
        <v>350</v>
      </c>
      <c r="K359" s="190" t="s">
        <v>351</v>
      </c>
      <c r="L359" s="190" t="s">
        <v>378</v>
      </c>
      <c r="M359" s="192" t="s">
        <v>379</v>
      </c>
      <c r="N359" s="193">
        <v>30</v>
      </c>
      <c r="O359" s="193">
        <v>204000</v>
      </c>
      <c r="P359" s="194">
        <v>6120000</v>
      </c>
      <c r="Q359" s="194">
        <v>612000</v>
      </c>
      <c r="R359" s="194">
        <v>6732000</v>
      </c>
      <c r="S359" s="192"/>
      <c r="T359" s="192" t="s">
        <v>310</v>
      </c>
      <c r="U359" s="190">
        <v>60449</v>
      </c>
      <c r="V359" s="190"/>
      <c r="W359" s="195" t="s">
        <v>356</v>
      </c>
      <c r="X359" s="196" t="str">
        <f>+IFERROR(VLOOKUP($F359,'[2]Chuyển đổi mã'!$A$1:$C$91,3,0),$F359)&amp;AC359</f>
        <v>SG Coop Miền Tây321238</v>
      </c>
      <c r="Y359" s="196" t="str">
        <f>IFERROR(VLOOKUP($F359,'[2]Chuyển đổi mã'!$A$1:$C$184,3,0),F359)</f>
        <v>SG Coop Miền Tây</v>
      </c>
      <c r="Z359" s="196" t="str">
        <f>VLOOKUP($G359,'[2]Thông tin NPP'!$B:$D,3,0)</f>
        <v>SÀI GÒN CO.OP</v>
      </c>
      <c r="AA359" s="196" t="str">
        <f t="shared" si="80"/>
        <v>Richoco Wf</v>
      </c>
      <c r="AB359" s="196" t="str">
        <f>IFERROR(VLOOKUP(DAY(B359),'[2]Chuyển đổi mã'!$F$1:$G$32,2,0),0)</f>
        <v>W2</v>
      </c>
      <c r="AC359" s="196" t="str">
        <f t="shared" si="81"/>
        <v>321238</v>
      </c>
      <c r="AD359" s="196" t="str">
        <f t="shared" si="82"/>
        <v>NPP</v>
      </c>
      <c r="AE359" s="196" t="str">
        <f t="shared" si="83"/>
        <v>NPP321238</v>
      </c>
      <c r="AF359" s="196">
        <f t="shared" si="84"/>
        <v>0</v>
      </c>
    </row>
    <row r="360" spans="1:32" ht="12.95" customHeight="1">
      <c r="A360" s="190">
        <v>62631</v>
      </c>
      <c r="B360" s="191">
        <v>43566</v>
      </c>
      <c r="C360" s="190" t="s">
        <v>457</v>
      </c>
      <c r="D360" s="190" t="s">
        <v>568</v>
      </c>
      <c r="E360" s="190" t="s">
        <v>346</v>
      </c>
      <c r="F360" s="190" t="s">
        <v>493</v>
      </c>
      <c r="G360" s="192" t="s">
        <v>494</v>
      </c>
      <c r="H360" s="192" t="s">
        <v>296</v>
      </c>
      <c r="I360" s="192" t="s">
        <v>349</v>
      </c>
      <c r="J360" s="192" t="s">
        <v>350</v>
      </c>
      <c r="K360" s="190" t="s">
        <v>351</v>
      </c>
      <c r="L360" s="190" t="s">
        <v>357</v>
      </c>
      <c r="M360" s="192" t="s">
        <v>358</v>
      </c>
      <c r="N360" s="193">
        <v>200</v>
      </c>
      <c r="O360" s="193">
        <v>173400</v>
      </c>
      <c r="P360" s="194">
        <v>34680000</v>
      </c>
      <c r="Q360" s="194">
        <v>3468000</v>
      </c>
      <c r="R360" s="194">
        <v>38148000</v>
      </c>
      <c r="S360" s="192" t="s">
        <v>490</v>
      </c>
      <c r="T360" s="192" t="s">
        <v>491</v>
      </c>
      <c r="U360" s="190">
        <v>60449</v>
      </c>
      <c r="V360" s="190"/>
      <c r="W360" s="195" t="s">
        <v>356</v>
      </c>
      <c r="X360" s="196" t="str">
        <f>+IFERROR(VLOOKUP($F360,'[2]Chuyển đổi mã'!$A$1:$C$91,3,0),$F360)&amp;AC360</f>
        <v>SG Coop Miền Tây323555</v>
      </c>
      <c r="Y360" s="196" t="str">
        <f>IFERROR(VLOOKUP($F360,'[2]Chuyển đổi mã'!$A$1:$C$184,3,0),F360)</f>
        <v>SG Coop Miền Tây</v>
      </c>
      <c r="Z360" s="196" t="str">
        <f>VLOOKUP($G360,'[2]Thông tin NPP'!$B:$D,3,0)</f>
        <v>SÀI GÒN CO.OP</v>
      </c>
      <c r="AA360" s="196" t="str">
        <f t="shared" si="80"/>
        <v>Na 17g - M</v>
      </c>
      <c r="AB360" s="196" t="str">
        <f>IFERROR(VLOOKUP(DAY(B360),'[2]Chuyển đổi mã'!$F$1:$G$32,2,0),0)</f>
        <v>W2</v>
      </c>
      <c r="AC360" s="196" t="str">
        <f t="shared" si="81"/>
        <v>323555</v>
      </c>
      <c r="AD360" s="196" t="str">
        <f t="shared" si="82"/>
        <v>NPP</v>
      </c>
      <c r="AE360" s="196" t="str">
        <f t="shared" si="83"/>
        <v>NPP323555</v>
      </c>
      <c r="AF360" s="196">
        <f t="shared" si="84"/>
        <v>0</v>
      </c>
    </row>
    <row r="361" spans="1:32" ht="12.95" customHeight="1">
      <c r="A361" s="190">
        <v>62631</v>
      </c>
      <c r="B361" s="191">
        <v>43566</v>
      </c>
      <c r="C361" s="190" t="s">
        <v>457</v>
      </c>
      <c r="D361" s="190" t="s">
        <v>568</v>
      </c>
      <c r="E361" s="190" t="s">
        <v>346</v>
      </c>
      <c r="F361" s="190" t="s">
        <v>493</v>
      </c>
      <c r="G361" s="192" t="s">
        <v>494</v>
      </c>
      <c r="H361" s="192" t="s">
        <v>296</v>
      </c>
      <c r="I361" s="192" t="s">
        <v>349</v>
      </c>
      <c r="J361" s="192" t="s">
        <v>350</v>
      </c>
      <c r="K361" s="190" t="s">
        <v>351</v>
      </c>
      <c r="L361" s="190" t="s">
        <v>359</v>
      </c>
      <c r="M361" s="192" t="s">
        <v>360</v>
      </c>
      <c r="N361" s="193">
        <v>30</v>
      </c>
      <c r="O361" s="193">
        <v>300000</v>
      </c>
      <c r="P361" s="194">
        <v>9000000</v>
      </c>
      <c r="Q361" s="194">
        <v>900000</v>
      </c>
      <c r="R361" s="194">
        <v>9900000</v>
      </c>
      <c r="S361" s="192"/>
      <c r="T361" s="192" t="s">
        <v>310</v>
      </c>
      <c r="U361" s="190">
        <v>60449</v>
      </c>
      <c r="V361" s="190"/>
      <c r="W361" s="195" t="s">
        <v>356</v>
      </c>
      <c r="X361" s="196" t="str">
        <f>+IFERROR(VLOOKUP($F361,'[2]Chuyển đổi mã'!$A$1:$C$91,3,0),$F361)&amp;AC361</f>
        <v>SG Coop Miền Tây320445</v>
      </c>
      <c r="Y361" s="196" t="str">
        <f>IFERROR(VLOOKUP($F361,'[2]Chuyển đổi mã'!$A$1:$C$184,3,0),F361)</f>
        <v>SG Coop Miền Tây</v>
      </c>
      <c r="Z361" s="196" t="str">
        <f>VLOOKUP($G361,'[2]Thông tin NPP'!$B:$D,3,0)</f>
        <v>SÀI GÒN CO.OP</v>
      </c>
      <c r="AA361" s="196" t="str">
        <f t="shared" si="80"/>
        <v>Na 58g</v>
      </c>
      <c r="AB361" s="196" t="str">
        <f>IFERROR(VLOOKUP(DAY(B361),'[2]Chuyển đổi mã'!$F$1:$G$32,2,0),0)</f>
        <v>W2</v>
      </c>
      <c r="AC361" s="196" t="str">
        <f t="shared" si="81"/>
        <v>320445</v>
      </c>
      <c r="AD361" s="196" t="str">
        <f t="shared" si="82"/>
        <v>NPP</v>
      </c>
      <c r="AE361" s="196" t="str">
        <f t="shared" si="83"/>
        <v>NPP320445</v>
      </c>
      <c r="AF361" s="196">
        <f t="shared" si="84"/>
        <v>0</v>
      </c>
    </row>
    <row r="362" spans="1:32" ht="12.95" customHeight="1">
      <c r="A362" s="190">
        <v>62631</v>
      </c>
      <c r="B362" s="191">
        <v>43566</v>
      </c>
      <c r="C362" s="190" t="s">
        <v>457</v>
      </c>
      <c r="D362" s="190" t="s">
        <v>568</v>
      </c>
      <c r="E362" s="190" t="s">
        <v>346</v>
      </c>
      <c r="F362" s="190" t="s">
        <v>493</v>
      </c>
      <c r="G362" s="192" t="s">
        <v>494</v>
      </c>
      <c r="H362" s="192" t="s">
        <v>296</v>
      </c>
      <c r="I362" s="192" t="s">
        <v>349</v>
      </c>
      <c r="J362" s="192" t="s">
        <v>350</v>
      </c>
      <c r="K362" s="190" t="s">
        <v>351</v>
      </c>
      <c r="L362" s="190" t="s">
        <v>361</v>
      </c>
      <c r="M362" s="192" t="s">
        <v>362</v>
      </c>
      <c r="N362" s="193">
        <v>20</v>
      </c>
      <c r="O362" s="193">
        <v>300000</v>
      </c>
      <c r="P362" s="194">
        <v>6000000</v>
      </c>
      <c r="Q362" s="194">
        <v>600000</v>
      </c>
      <c r="R362" s="194">
        <v>6600000</v>
      </c>
      <c r="S362" s="192"/>
      <c r="T362" s="192" t="s">
        <v>310</v>
      </c>
      <c r="U362" s="190">
        <v>60449</v>
      </c>
      <c r="V362" s="190"/>
      <c r="W362" s="195" t="s">
        <v>356</v>
      </c>
      <c r="X362" s="196" t="str">
        <f>+IFERROR(VLOOKUP($F362,'[2]Chuyển đổi mã'!$A$1:$C$91,3,0),$F362)&amp;AC362</f>
        <v>SG Coop Miền Tây331017</v>
      </c>
      <c r="Y362" s="196" t="str">
        <f>IFERROR(VLOOKUP($F362,'[2]Chuyển đổi mã'!$A$1:$C$184,3,0),F362)</f>
        <v>SG Coop Miền Tây</v>
      </c>
      <c r="Z362" s="196" t="str">
        <f>VLOOKUP($G362,'[2]Thông tin NPP'!$B:$D,3,0)</f>
        <v>SÀI GÒN CO.OP</v>
      </c>
      <c r="AA362" s="196" t="str">
        <f t="shared" si="80"/>
        <v>Richoco Wf</v>
      </c>
      <c r="AB362" s="196" t="str">
        <f>IFERROR(VLOOKUP(DAY(B362),'[2]Chuyển đổi mã'!$F$1:$G$32,2,0),0)</f>
        <v>W2</v>
      </c>
      <c r="AC362" s="196" t="str">
        <f t="shared" si="81"/>
        <v>331017</v>
      </c>
      <c r="AD362" s="196" t="str">
        <f t="shared" si="82"/>
        <v>NPP</v>
      </c>
      <c r="AE362" s="196" t="str">
        <f t="shared" si="83"/>
        <v>NPP331017</v>
      </c>
      <c r="AF362" s="196">
        <f t="shared" si="84"/>
        <v>0</v>
      </c>
    </row>
    <row r="363" spans="1:32" ht="12.95" customHeight="1">
      <c r="A363" s="190">
        <v>62632</v>
      </c>
      <c r="B363" s="191">
        <v>43566</v>
      </c>
      <c r="C363" s="190" t="s">
        <v>457</v>
      </c>
      <c r="D363" s="190" t="s">
        <v>569</v>
      </c>
      <c r="E363" s="190" t="s">
        <v>346</v>
      </c>
      <c r="F363" s="190" t="s">
        <v>421</v>
      </c>
      <c r="G363" s="192" t="s">
        <v>422</v>
      </c>
      <c r="H363" s="192" t="s">
        <v>296</v>
      </c>
      <c r="I363" s="192" t="s">
        <v>349</v>
      </c>
      <c r="J363" s="192" t="s">
        <v>350</v>
      </c>
      <c r="K363" s="190" t="s">
        <v>351</v>
      </c>
      <c r="L363" s="190" t="s">
        <v>352</v>
      </c>
      <c r="M363" s="192" t="s">
        <v>353</v>
      </c>
      <c r="N363" s="193">
        <v>180</v>
      </c>
      <c r="O363" s="193">
        <v>115036.7</v>
      </c>
      <c r="P363" s="194">
        <v>20706606</v>
      </c>
      <c r="Q363" s="194">
        <v>2070660.6</v>
      </c>
      <c r="R363" s="194">
        <v>22777266.600000001</v>
      </c>
      <c r="S363" s="192" t="s">
        <v>544</v>
      </c>
      <c r="T363" s="192" t="s">
        <v>545</v>
      </c>
      <c r="U363" s="190">
        <v>60447</v>
      </c>
      <c r="V363" s="190"/>
      <c r="W363" s="195" t="s">
        <v>356</v>
      </c>
      <c r="X363" s="196" t="str">
        <f>+IFERROR(VLOOKUP($F363,'[2]Chuyển đổi mã'!$A$1:$C$91,3,0),$F363)&amp;AC363</f>
        <v>Lotte South320463</v>
      </c>
      <c r="Y363" s="196" t="str">
        <f>IFERROR(VLOOKUP($F363,'[2]Chuyển đổi mã'!$A$1:$C$184,3,0),F363)</f>
        <v>Lotte South</v>
      </c>
      <c r="Z363" s="196" t="str">
        <f>VLOOKUP($G363,'[2]Thông tin NPP'!$B:$D,3,0)</f>
        <v>Lotte South</v>
      </c>
      <c r="AA363" s="196" t="str">
        <f t="shared" ref="AA363:AA410" si="85">LEFT($M363,10)</f>
        <v>Na 8,5g</v>
      </c>
      <c r="AB363" s="196" t="str">
        <f>IFERROR(VLOOKUP(DAY(B363),'[2]Chuyển đổi mã'!$F$1:$G$32,2,0),0)</f>
        <v>W2</v>
      </c>
      <c r="AC363" s="196" t="str">
        <f t="shared" ref="AC363:AC410" si="86">LEFT(L363,6)</f>
        <v>320463</v>
      </c>
      <c r="AD363" s="196" t="str">
        <f t="shared" ref="AD363:AD410" si="87">LEFT(F363,3)</f>
        <v>NPP</v>
      </c>
      <c r="AE363" s="196" t="str">
        <f t="shared" ref="AE363:AE410" si="88">AD363&amp;AC363</f>
        <v>NPP320463</v>
      </c>
      <c r="AF363" s="196">
        <f t="shared" ref="AF363:AF410" si="89">IF(RIGHT(L363,1)="P","P",0)</f>
        <v>0</v>
      </c>
    </row>
    <row r="364" spans="1:32" ht="12.95" customHeight="1">
      <c r="A364" s="190">
        <v>62632</v>
      </c>
      <c r="B364" s="191">
        <v>43566</v>
      </c>
      <c r="C364" s="190" t="s">
        <v>457</v>
      </c>
      <c r="D364" s="190" t="s">
        <v>569</v>
      </c>
      <c r="E364" s="190" t="s">
        <v>346</v>
      </c>
      <c r="F364" s="190" t="s">
        <v>421</v>
      </c>
      <c r="G364" s="192" t="s">
        <v>422</v>
      </c>
      <c r="H364" s="192" t="s">
        <v>296</v>
      </c>
      <c r="I364" s="192" t="s">
        <v>349</v>
      </c>
      <c r="J364" s="192" t="s">
        <v>350</v>
      </c>
      <c r="K364" s="190" t="s">
        <v>351</v>
      </c>
      <c r="L364" s="190" t="s">
        <v>381</v>
      </c>
      <c r="M364" s="192" t="s">
        <v>382</v>
      </c>
      <c r="N364" s="193">
        <v>3</v>
      </c>
      <c r="O364" s="193">
        <v>300000</v>
      </c>
      <c r="P364" s="194">
        <v>900000</v>
      </c>
      <c r="Q364" s="194">
        <v>90000</v>
      </c>
      <c r="R364" s="194">
        <v>990000</v>
      </c>
      <c r="S364" s="192"/>
      <c r="T364" s="192" t="s">
        <v>310</v>
      </c>
      <c r="U364" s="190">
        <v>60447</v>
      </c>
      <c r="V364" s="190"/>
      <c r="W364" s="195" t="s">
        <v>356</v>
      </c>
      <c r="X364" s="196" t="str">
        <f>+IFERROR(VLOOKUP($F364,'[2]Chuyển đổi mã'!$A$1:$C$91,3,0),$F364)&amp;AC364</f>
        <v>Lotte South320429</v>
      </c>
      <c r="Y364" s="196" t="str">
        <f>IFERROR(VLOOKUP($F364,'[2]Chuyển đổi mã'!$A$1:$C$184,3,0),F364)</f>
        <v>Lotte South</v>
      </c>
      <c r="Z364" s="196" t="str">
        <f>VLOOKUP($G364,'[2]Thông tin NPP'!$B:$D,3,0)</f>
        <v>Lotte South</v>
      </c>
      <c r="AA364" s="196" t="str">
        <f t="shared" si="85"/>
        <v>Tin Can 35</v>
      </c>
      <c r="AB364" s="196" t="str">
        <f>IFERROR(VLOOKUP(DAY(B364),'[2]Chuyển đổi mã'!$F$1:$G$32,2,0),0)</f>
        <v>W2</v>
      </c>
      <c r="AC364" s="196" t="str">
        <f t="shared" si="86"/>
        <v>320429</v>
      </c>
      <c r="AD364" s="196" t="str">
        <f t="shared" si="87"/>
        <v>NPP</v>
      </c>
      <c r="AE364" s="196" t="str">
        <f t="shared" si="88"/>
        <v>NPP320429</v>
      </c>
      <c r="AF364" s="196">
        <f t="shared" si="89"/>
        <v>0</v>
      </c>
    </row>
    <row r="365" spans="1:32" ht="12.95" customHeight="1">
      <c r="A365" s="190">
        <v>62632</v>
      </c>
      <c r="B365" s="191">
        <v>43566</v>
      </c>
      <c r="C365" s="190" t="s">
        <v>457</v>
      </c>
      <c r="D365" s="190" t="s">
        <v>569</v>
      </c>
      <c r="E365" s="190" t="s">
        <v>346</v>
      </c>
      <c r="F365" s="190" t="s">
        <v>421</v>
      </c>
      <c r="G365" s="192" t="s">
        <v>422</v>
      </c>
      <c r="H365" s="192" t="s">
        <v>296</v>
      </c>
      <c r="I365" s="192" t="s">
        <v>349</v>
      </c>
      <c r="J365" s="192" t="s">
        <v>350</v>
      </c>
      <c r="K365" s="190" t="s">
        <v>351</v>
      </c>
      <c r="L365" s="190" t="s">
        <v>357</v>
      </c>
      <c r="M365" s="192" t="s">
        <v>358</v>
      </c>
      <c r="N365" s="193">
        <v>5</v>
      </c>
      <c r="O365" s="193">
        <v>213273</v>
      </c>
      <c r="P365" s="194">
        <v>1066365</v>
      </c>
      <c r="Q365" s="194">
        <v>106636.5</v>
      </c>
      <c r="R365" s="194">
        <v>1173001.5</v>
      </c>
      <c r="S365" s="192"/>
      <c r="T365" s="192" t="s">
        <v>310</v>
      </c>
      <c r="U365" s="190">
        <v>60447</v>
      </c>
      <c r="V365" s="190"/>
      <c r="W365" s="195" t="s">
        <v>356</v>
      </c>
      <c r="X365" s="196" t="str">
        <f>+IFERROR(VLOOKUP($F365,'[2]Chuyển đổi mã'!$A$1:$C$91,3,0),$F365)&amp;AC365</f>
        <v>Lotte South323555</v>
      </c>
      <c r="Y365" s="196" t="str">
        <f>IFERROR(VLOOKUP($F365,'[2]Chuyển đổi mã'!$A$1:$C$184,3,0),F365)</f>
        <v>Lotte South</v>
      </c>
      <c r="Z365" s="196" t="str">
        <f>VLOOKUP($G365,'[2]Thông tin NPP'!$B:$D,3,0)</f>
        <v>Lotte South</v>
      </c>
      <c r="AA365" s="196" t="str">
        <f t="shared" si="85"/>
        <v>Na 17g - M</v>
      </c>
      <c r="AB365" s="196" t="str">
        <f>IFERROR(VLOOKUP(DAY(B365),'[2]Chuyển đổi mã'!$F$1:$G$32,2,0),0)</f>
        <v>W2</v>
      </c>
      <c r="AC365" s="196" t="str">
        <f t="shared" si="86"/>
        <v>323555</v>
      </c>
      <c r="AD365" s="196" t="str">
        <f t="shared" si="87"/>
        <v>NPP</v>
      </c>
      <c r="AE365" s="196" t="str">
        <f t="shared" si="88"/>
        <v>NPP323555</v>
      </c>
      <c r="AF365" s="196">
        <f t="shared" si="89"/>
        <v>0</v>
      </c>
    </row>
    <row r="366" spans="1:32" ht="12.95" customHeight="1">
      <c r="A366" s="190">
        <v>62633</v>
      </c>
      <c r="B366" s="191">
        <v>43566</v>
      </c>
      <c r="C366" s="190" t="s">
        <v>457</v>
      </c>
      <c r="D366" s="190" t="s">
        <v>570</v>
      </c>
      <c r="E366" s="190" t="s">
        <v>346</v>
      </c>
      <c r="F366" s="190" t="s">
        <v>450</v>
      </c>
      <c r="G366" s="192" t="s">
        <v>451</v>
      </c>
      <c r="H366" s="192" t="s">
        <v>296</v>
      </c>
      <c r="I366" s="192" t="s">
        <v>349</v>
      </c>
      <c r="J366" s="192" t="s">
        <v>350</v>
      </c>
      <c r="K366" s="190" t="s">
        <v>351</v>
      </c>
      <c r="L366" s="190" t="s">
        <v>352</v>
      </c>
      <c r="M366" s="192" t="s">
        <v>353</v>
      </c>
      <c r="N366" s="193">
        <v>200</v>
      </c>
      <c r="O366" s="193">
        <v>115036.7</v>
      </c>
      <c r="P366" s="194">
        <v>23007340</v>
      </c>
      <c r="Q366" s="194">
        <v>2300734</v>
      </c>
      <c r="R366" s="194">
        <v>25308074</v>
      </c>
      <c r="S366" s="192" t="s">
        <v>544</v>
      </c>
      <c r="T366" s="192" t="s">
        <v>545</v>
      </c>
      <c r="U366" s="190">
        <v>60448</v>
      </c>
      <c r="V366" s="190"/>
      <c r="W366" s="195" t="s">
        <v>356</v>
      </c>
      <c r="X366" s="196" t="str">
        <f>+IFERROR(VLOOKUP($F366,'[2]Chuyển đổi mã'!$A$1:$C$91,3,0),$F366)&amp;AC366</f>
        <v>Lotte South320463</v>
      </c>
      <c r="Y366" s="196" t="str">
        <f>IFERROR(VLOOKUP($F366,'[2]Chuyển đổi mã'!$A$1:$C$184,3,0),F366)</f>
        <v>Lotte South</v>
      </c>
      <c r="Z366" s="196" t="str">
        <f>VLOOKUP($G366,'[2]Thông tin NPP'!$B:$D,3,0)</f>
        <v>Lotte South</v>
      </c>
      <c r="AA366" s="196" t="str">
        <f t="shared" si="85"/>
        <v>Na 8,5g</v>
      </c>
      <c r="AB366" s="196" t="str">
        <f>IFERROR(VLOOKUP(DAY(B366),'[2]Chuyển đổi mã'!$F$1:$G$32,2,0),0)</f>
        <v>W2</v>
      </c>
      <c r="AC366" s="196" t="str">
        <f t="shared" si="86"/>
        <v>320463</v>
      </c>
      <c r="AD366" s="196" t="str">
        <f t="shared" si="87"/>
        <v>NPP</v>
      </c>
      <c r="AE366" s="196" t="str">
        <f t="shared" si="88"/>
        <v>NPP320463</v>
      </c>
      <c r="AF366" s="196">
        <f t="shared" si="89"/>
        <v>0</v>
      </c>
    </row>
    <row r="367" spans="1:32" ht="12.95" customHeight="1">
      <c r="A367" s="190">
        <v>62633</v>
      </c>
      <c r="B367" s="191">
        <v>43566</v>
      </c>
      <c r="C367" s="190" t="s">
        <v>457</v>
      </c>
      <c r="D367" s="190" t="s">
        <v>570</v>
      </c>
      <c r="E367" s="190" t="s">
        <v>346</v>
      </c>
      <c r="F367" s="190" t="s">
        <v>450</v>
      </c>
      <c r="G367" s="192" t="s">
        <v>451</v>
      </c>
      <c r="H367" s="192" t="s">
        <v>296</v>
      </c>
      <c r="I367" s="192" t="s">
        <v>349</v>
      </c>
      <c r="J367" s="192" t="s">
        <v>350</v>
      </c>
      <c r="K367" s="190" t="s">
        <v>351</v>
      </c>
      <c r="L367" s="190" t="s">
        <v>363</v>
      </c>
      <c r="M367" s="192" t="s">
        <v>364</v>
      </c>
      <c r="N367" s="193">
        <v>1</v>
      </c>
      <c r="O367" s="193">
        <v>320000</v>
      </c>
      <c r="P367" s="194">
        <v>320000</v>
      </c>
      <c r="Q367" s="194">
        <v>32000</v>
      </c>
      <c r="R367" s="194">
        <v>352000</v>
      </c>
      <c r="S367" s="192"/>
      <c r="T367" s="192" t="s">
        <v>310</v>
      </c>
      <c r="U367" s="190">
        <v>60448</v>
      </c>
      <c r="V367" s="190"/>
      <c r="W367" s="195" t="s">
        <v>356</v>
      </c>
      <c r="X367" s="196" t="str">
        <f>+IFERROR(VLOOKUP($F367,'[2]Chuyển đổi mã'!$A$1:$C$91,3,0),$F367)&amp;AC367</f>
        <v>Lotte South323708</v>
      </c>
      <c r="Y367" s="196" t="str">
        <f>IFERROR(VLOOKUP($F367,'[2]Chuyển đổi mã'!$A$1:$C$184,3,0),F367)</f>
        <v>Lotte South</v>
      </c>
      <c r="Z367" s="196" t="str">
        <f>VLOOKUP($G367,'[2]Thông tin NPP'!$B:$D,3,0)</f>
        <v>Lotte South</v>
      </c>
      <c r="AA367" s="196" t="str">
        <f t="shared" si="85"/>
        <v>Nextar Bro</v>
      </c>
      <c r="AB367" s="196" t="str">
        <f>IFERROR(VLOOKUP(DAY(B367),'[2]Chuyển đổi mã'!$F$1:$G$32,2,0),0)</f>
        <v>W2</v>
      </c>
      <c r="AC367" s="196" t="str">
        <f t="shared" si="86"/>
        <v>323708</v>
      </c>
      <c r="AD367" s="196" t="str">
        <f t="shared" si="87"/>
        <v>NPP</v>
      </c>
      <c r="AE367" s="196" t="str">
        <f t="shared" si="88"/>
        <v>NPP323708</v>
      </c>
      <c r="AF367" s="196">
        <f t="shared" si="89"/>
        <v>0</v>
      </c>
    </row>
    <row r="368" spans="1:32" ht="12.95" customHeight="1">
      <c r="A368" s="190">
        <v>62634</v>
      </c>
      <c r="B368" s="191">
        <v>43566</v>
      </c>
      <c r="C368" s="190" t="s">
        <v>457</v>
      </c>
      <c r="D368" s="190" t="s">
        <v>571</v>
      </c>
      <c r="E368" s="190" t="s">
        <v>346</v>
      </c>
      <c r="F368" s="190" t="s">
        <v>417</v>
      </c>
      <c r="G368" s="192" t="s">
        <v>418</v>
      </c>
      <c r="H368" s="192" t="s">
        <v>296</v>
      </c>
      <c r="I368" s="192" t="s">
        <v>349</v>
      </c>
      <c r="J368" s="192" t="s">
        <v>350</v>
      </c>
      <c r="K368" s="190" t="s">
        <v>351</v>
      </c>
      <c r="L368" s="190" t="s">
        <v>352</v>
      </c>
      <c r="M368" s="192" t="s">
        <v>353</v>
      </c>
      <c r="N368" s="193">
        <v>150</v>
      </c>
      <c r="O368" s="193">
        <v>115036.7</v>
      </c>
      <c r="P368" s="194">
        <v>17255505</v>
      </c>
      <c r="Q368" s="194">
        <v>1725550.5</v>
      </c>
      <c r="R368" s="194">
        <v>18981055.5</v>
      </c>
      <c r="S368" s="192" t="s">
        <v>544</v>
      </c>
      <c r="T368" s="192" t="s">
        <v>545</v>
      </c>
      <c r="U368" s="190">
        <v>60446</v>
      </c>
      <c r="V368" s="190"/>
      <c r="W368" s="195" t="s">
        <v>356</v>
      </c>
      <c r="X368" s="196" t="str">
        <f>+IFERROR(VLOOKUP($F368,'[2]Chuyển đổi mã'!$A$1:$C$91,3,0),$F368)&amp;AC368</f>
        <v>Lotte South320463</v>
      </c>
      <c r="Y368" s="196" t="str">
        <f>IFERROR(VLOOKUP($F368,'[2]Chuyển đổi mã'!$A$1:$C$184,3,0),F368)</f>
        <v>Lotte South</v>
      </c>
      <c r="Z368" s="196" t="str">
        <f>VLOOKUP($G368,'[2]Thông tin NPP'!$B:$D,3,0)</f>
        <v>Lotte South</v>
      </c>
      <c r="AA368" s="196" t="str">
        <f t="shared" si="85"/>
        <v>Na 8,5g</v>
      </c>
      <c r="AB368" s="196" t="str">
        <f>IFERROR(VLOOKUP(DAY(B368),'[2]Chuyển đổi mã'!$F$1:$G$32,2,0),0)</f>
        <v>W2</v>
      </c>
      <c r="AC368" s="196" t="str">
        <f t="shared" si="86"/>
        <v>320463</v>
      </c>
      <c r="AD368" s="196" t="str">
        <f t="shared" si="87"/>
        <v>NPP</v>
      </c>
      <c r="AE368" s="196" t="str">
        <f t="shared" si="88"/>
        <v>NPP320463</v>
      </c>
      <c r="AF368" s="196">
        <f t="shared" si="89"/>
        <v>0</v>
      </c>
    </row>
    <row r="369" spans="1:32" ht="12.95" customHeight="1">
      <c r="A369" s="190">
        <v>62634</v>
      </c>
      <c r="B369" s="191">
        <v>43566</v>
      </c>
      <c r="C369" s="190" t="s">
        <v>457</v>
      </c>
      <c r="D369" s="190" t="s">
        <v>571</v>
      </c>
      <c r="E369" s="190" t="s">
        <v>346</v>
      </c>
      <c r="F369" s="190" t="s">
        <v>417</v>
      </c>
      <c r="G369" s="192" t="s">
        <v>418</v>
      </c>
      <c r="H369" s="192" t="s">
        <v>296</v>
      </c>
      <c r="I369" s="192" t="s">
        <v>349</v>
      </c>
      <c r="J369" s="192" t="s">
        <v>350</v>
      </c>
      <c r="K369" s="190" t="s">
        <v>351</v>
      </c>
      <c r="L369" s="190" t="s">
        <v>363</v>
      </c>
      <c r="M369" s="192" t="s">
        <v>364</v>
      </c>
      <c r="N369" s="193">
        <v>2</v>
      </c>
      <c r="O369" s="193">
        <v>320000</v>
      </c>
      <c r="P369" s="194">
        <v>640000</v>
      </c>
      <c r="Q369" s="194">
        <v>64000</v>
      </c>
      <c r="R369" s="194">
        <v>704000</v>
      </c>
      <c r="S369" s="192"/>
      <c r="T369" s="192" t="s">
        <v>310</v>
      </c>
      <c r="U369" s="190">
        <v>60446</v>
      </c>
      <c r="V369" s="190"/>
      <c r="W369" s="195" t="s">
        <v>356</v>
      </c>
      <c r="X369" s="196" t="str">
        <f>+IFERROR(VLOOKUP($F369,'[2]Chuyển đổi mã'!$A$1:$C$91,3,0),$F369)&amp;AC369</f>
        <v>Lotte South323708</v>
      </c>
      <c r="Y369" s="196" t="str">
        <f>IFERROR(VLOOKUP($F369,'[2]Chuyển đổi mã'!$A$1:$C$184,3,0),F369)</f>
        <v>Lotte South</v>
      </c>
      <c r="Z369" s="196" t="str">
        <f>VLOOKUP($G369,'[2]Thông tin NPP'!$B:$D,3,0)</f>
        <v>Lotte South</v>
      </c>
      <c r="AA369" s="196" t="str">
        <f t="shared" si="85"/>
        <v>Nextar Bro</v>
      </c>
      <c r="AB369" s="196" t="str">
        <f>IFERROR(VLOOKUP(DAY(B369),'[2]Chuyển đổi mã'!$F$1:$G$32,2,0),0)</f>
        <v>W2</v>
      </c>
      <c r="AC369" s="196" t="str">
        <f t="shared" si="86"/>
        <v>323708</v>
      </c>
      <c r="AD369" s="196" t="str">
        <f t="shared" si="87"/>
        <v>NPP</v>
      </c>
      <c r="AE369" s="196" t="str">
        <f t="shared" si="88"/>
        <v>NPP323708</v>
      </c>
      <c r="AF369" s="196">
        <f t="shared" si="89"/>
        <v>0</v>
      </c>
    </row>
    <row r="370" spans="1:32" ht="12.95" hidden="1" customHeight="1">
      <c r="A370" s="190">
        <v>62640</v>
      </c>
      <c r="B370" s="191">
        <v>43566</v>
      </c>
      <c r="C370" s="190" t="s">
        <v>457</v>
      </c>
      <c r="D370" s="190" t="s">
        <v>572</v>
      </c>
      <c r="E370" s="190" t="s">
        <v>346</v>
      </c>
      <c r="F370" s="190" t="s">
        <v>503</v>
      </c>
      <c r="G370" s="192" t="s">
        <v>504</v>
      </c>
      <c r="H370" s="192" t="s">
        <v>296</v>
      </c>
      <c r="I370" s="192" t="s">
        <v>395</v>
      </c>
      <c r="J370" s="192" t="s">
        <v>350</v>
      </c>
      <c r="K370" s="190" t="s">
        <v>351</v>
      </c>
      <c r="L370" s="190" t="s">
        <v>352</v>
      </c>
      <c r="M370" s="192" t="s">
        <v>353</v>
      </c>
      <c r="N370" s="193">
        <v>7</v>
      </c>
      <c r="O370" s="193">
        <v>119700.35</v>
      </c>
      <c r="P370" s="194">
        <v>837902.45</v>
      </c>
      <c r="Q370" s="194">
        <v>83790.244999999995</v>
      </c>
      <c r="R370" s="194">
        <v>921692.69499999995</v>
      </c>
      <c r="S370" s="192" t="s">
        <v>354</v>
      </c>
      <c r="T370" s="192" t="s">
        <v>355</v>
      </c>
      <c r="U370" s="190">
        <v>60436</v>
      </c>
      <c r="V370" s="190"/>
      <c r="W370" s="195" t="s">
        <v>356</v>
      </c>
      <c r="X370" s="196" t="str">
        <f>+IFERROR(VLOOKUP($F370,'[2]Chuyển đổi mã'!$A$1:$C$91,3,0),$F370)&amp;AC370</f>
        <v>Big C North320463</v>
      </c>
      <c r="Y370" s="196" t="str">
        <f>IFERROR(VLOOKUP($F370,'[2]Chuyển đổi mã'!$A$1:$C$184,3,0),F370)</f>
        <v>Big C North</v>
      </c>
      <c r="Z370" s="196" t="str">
        <f>VLOOKUP($G370,'[2]Thông tin NPP'!$B:$D,3,0)</f>
        <v>BIG C North</v>
      </c>
      <c r="AA370" s="196" t="str">
        <f t="shared" si="85"/>
        <v>Na 8,5g</v>
      </c>
      <c r="AB370" s="196" t="str">
        <f>IFERROR(VLOOKUP(DAY(B370),'[2]Chuyển đổi mã'!$F$1:$G$32,2,0),0)</f>
        <v>W2</v>
      </c>
      <c r="AC370" s="196" t="str">
        <f t="shared" si="86"/>
        <v>320463</v>
      </c>
      <c r="AD370" s="196" t="str">
        <f t="shared" si="87"/>
        <v>NPP</v>
      </c>
      <c r="AE370" s="196" t="str">
        <f t="shared" si="88"/>
        <v>NPP320463</v>
      </c>
      <c r="AF370" s="196">
        <f t="shared" si="89"/>
        <v>0</v>
      </c>
    </row>
    <row r="371" spans="1:32" ht="12.95" hidden="1" customHeight="1">
      <c r="A371" s="190">
        <v>62640</v>
      </c>
      <c r="B371" s="191">
        <v>43566</v>
      </c>
      <c r="C371" s="190" t="s">
        <v>457</v>
      </c>
      <c r="D371" s="190" t="s">
        <v>572</v>
      </c>
      <c r="E371" s="190" t="s">
        <v>346</v>
      </c>
      <c r="F371" s="190" t="s">
        <v>503</v>
      </c>
      <c r="G371" s="192" t="s">
        <v>504</v>
      </c>
      <c r="H371" s="192" t="s">
        <v>296</v>
      </c>
      <c r="I371" s="192" t="s">
        <v>395</v>
      </c>
      <c r="J371" s="192" t="s">
        <v>350</v>
      </c>
      <c r="K371" s="190" t="s">
        <v>351</v>
      </c>
      <c r="L371" s="190" t="s">
        <v>387</v>
      </c>
      <c r="M371" s="192" t="s">
        <v>388</v>
      </c>
      <c r="N371" s="193">
        <v>4</v>
      </c>
      <c r="O371" s="193">
        <v>355455</v>
      </c>
      <c r="P371" s="194">
        <v>1421820</v>
      </c>
      <c r="Q371" s="194">
        <v>142182</v>
      </c>
      <c r="R371" s="194">
        <v>1564002</v>
      </c>
      <c r="S371" s="192"/>
      <c r="T371" s="192" t="s">
        <v>310</v>
      </c>
      <c r="U371" s="190">
        <v>60436</v>
      </c>
      <c r="V371" s="190"/>
      <c r="W371" s="195" t="s">
        <v>356</v>
      </c>
      <c r="X371" s="196" t="str">
        <f>+IFERROR(VLOOKUP($F371,'[2]Chuyển đổi mã'!$A$1:$C$91,3,0),$F371)&amp;AC371</f>
        <v>Big C North323620</v>
      </c>
      <c r="Y371" s="196" t="str">
        <f>IFERROR(VLOOKUP($F371,'[2]Chuyển đổi mã'!$A$1:$C$184,3,0),F371)</f>
        <v>Big C North</v>
      </c>
      <c r="Z371" s="196" t="str">
        <f>VLOOKUP($G371,'[2]Thông tin NPP'!$B:$D,3,0)</f>
        <v>BIG C North</v>
      </c>
      <c r="AA371" s="196" t="str">
        <f t="shared" si="85"/>
        <v>Ahh 16g</v>
      </c>
      <c r="AB371" s="196" t="str">
        <f>IFERROR(VLOOKUP(DAY(B371),'[2]Chuyển đổi mã'!$F$1:$G$32,2,0),0)</f>
        <v>W2</v>
      </c>
      <c r="AC371" s="196" t="str">
        <f t="shared" si="86"/>
        <v>323620</v>
      </c>
      <c r="AD371" s="196" t="str">
        <f t="shared" si="87"/>
        <v>NPP</v>
      </c>
      <c r="AE371" s="196" t="str">
        <f t="shared" si="88"/>
        <v>NPP323620</v>
      </c>
      <c r="AF371" s="196">
        <f t="shared" si="89"/>
        <v>0</v>
      </c>
    </row>
    <row r="372" spans="1:32" ht="12.95" hidden="1" customHeight="1">
      <c r="A372" s="190">
        <v>62640</v>
      </c>
      <c r="B372" s="191">
        <v>43566</v>
      </c>
      <c r="C372" s="190" t="s">
        <v>457</v>
      </c>
      <c r="D372" s="190" t="s">
        <v>572</v>
      </c>
      <c r="E372" s="190" t="s">
        <v>346</v>
      </c>
      <c r="F372" s="190" t="s">
        <v>503</v>
      </c>
      <c r="G372" s="192" t="s">
        <v>504</v>
      </c>
      <c r="H372" s="192" t="s">
        <v>296</v>
      </c>
      <c r="I372" s="192" t="s">
        <v>395</v>
      </c>
      <c r="J372" s="192" t="s">
        <v>350</v>
      </c>
      <c r="K372" s="190" t="s">
        <v>351</v>
      </c>
      <c r="L372" s="190" t="s">
        <v>357</v>
      </c>
      <c r="M372" s="192" t="s">
        <v>358</v>
      </c>
      <c r="N372" s="193">
        <v>8</v>
      </c>
      <c r="O372" s="193">
        <v>213273</v>
      </c>
      <c r="P372" s="194">
        <v>1706184</v>
      </c>
      <c r="Q372" s="194">
        <v>170618.4</v>
      </c>
      <c r="R372" s="194">
        <v>1876802.4</v>
      </c>
      <c r="S372" s="192"/>
      <c r="T372" s="192" t="s">
        <v>310</v>
      </c>
      <c r="U372" s="190">
        <v>60436</v>
      </c>
      <c r="V372" s="190"/>
      <c r="W372" s="195" t="s">
        <v>356</v>
      </c>
      <c r="X372" s="196" t="str">
        <f>+IFERROR(VLOOKUP($F372,'[2]Chuyển đổi mã'!$A$1:$C$91,3,0),$F372)&amp;AC372</f>
        <v>Big C North323555</v>
      </c>
      <c r="Y372" s="196" t="str">
        <f>IFERROR(VLOOKUP($F372,'[2]Chuyển đổi mã'!$A$1:$C$184,3,0),F372)</f>
        <v>Big C North</v>
      </c>
      <c r="Z372" s="196" t="str">
        <f>VLOOKUP($G372,'[2]Thông tin NPP'!$B:$D,3,0)</f>
        <v>BIG C North</v>
      </c>
      <c r="AA372" s="196" t="str">
        <f t="shared" si="85"/>
        <v>Na 17g - M</v>
      </c>
      <c r="AB372" s="196" t="str">
        <f>IFERROR(VLOOKUP(DAY(B372),'[2]Chuyển đổi mã'!$F$1:$G$32,2,0),0)</f>
        <v>W2</v>
      </c>
      <c r="AC372" s="196" t="str">
        <f t="shared" si="86"/>
        <v>323555</v>
      </c>
      <c r="AD372" s="196" t="str">
        <f t="shared" si="87"/>
        <v>NPP</v>
      </c>
      <c r="AE372" s="196" t="str">
        <f t="shared" si="88"/>
        <v>NPP323555</v>
      </c>
      <c r="AF372" s="196">
        <f t="shared" si="89"/>
        <v>0</v>
      </c>
    </row>
    <row r="373" spans="1:32" ht="12.95" hidden="1" customHeight="1">
      <c r="A373" s="190">
        <v>62640</v>
      </c>
      <c r="B373" s="191">
        <v>43566</v>
      </c>
      <c r="C373" s="190" t="s">
        <v>457</v>
      </c>
      <c r="D373" s="190" t="s">
        <v>572</v>
      </c>
      <c r="E373" s="190" t="s">
        <v>346</v>
      </c>
      <c r="F373" s="190" t="s">
        <v>503</v>
      </c>
      <c r="G373" s="192" t="s">
        <v>504</v>
      </c>
      <c r="H373" s="192" t="s">
        <v>296</v>
      </c>
      <c r="I373" s="192" t="s">
        <v>395</v>
      </c>
      <c r="J373" s="192" t="s">
        <v>350</v>
      </c>
      <c r="K373" s="190" t="s">
        <v>351</v>
      </c>
      <c r="L373" s="190" t="s">
        <v>359</v>
      </c>
      <c r="M373" s="192" t="s">
        <v>360</v>
      </c>
      <c r="N373" s="193">
        <v>7</v>
      </c>
      <c r="O373" s="193">
        <v>313636</v>
      </c>
      <c r="P373" s="194">
        <v>2195452</v>
      </c>
      <c r="Q373" s="194">
        <v>219545.2</v>
      </c>
      <c r="R373" s="194">
        <v>2414997.2000000002</v>
      </c>
      <c r="S373" s="192"/>
      <c r="T373" s="192" t="s">
        <v>310</v>
      </c>
      <c r="U373" s="190">
        <v>60436</v>
      </c>
      <c r="V373" s="190"/>
      <c r="W373" s="195" t="s">
        <v>356</v>
      </c>
      <c r="X373" s="196" t="str">
        <f>+IFERROR(VLOOKUP($F373,'[2]Chuyển đổi mã'!$A$1:$C$91,3,0),$F373)&amp;AC373</f>
        <v>Big C North320445</v>
      </c>
      <c r="Y373" s="196" t="str">
        <f>IFERROR(VLOOKUP($F373,'[2]Chuyển đổi mã'!$A$1:$C$184,3,0),F373)</f>
        <v>Big C North</v>
      </c>
      <c r="Z373" s="196" t="str">
        <f>VLOOKUP($G373,'[2]Thông tin NPP'!$B:$D,3,0)</f>
        <v>BIG C North</v>
      </c>
      <c r="AA373" s="196" t="str">
        <f t="shared" si="85"/>
        <v>Na 58g</v>
      </c>
      <c r="AB373" s="196" t="str">
        <f>IFERROR(VLOOKUP(DAY(B373),'[2]Chuyển đổi mã'!$F$1:$G$32,2,0),0)</f>
        <v>W2</v>
      </c>
      <c r="AC373" s="196" t="str">
        <f t="shared" si="86"/>
        <v>320445</v>
      </c>
      <c r="AD373" s="196" t="str">
        <f t="shared" si="87"/>
        <v>NPP</v>
      </c>
      <c r="AE373" s="196" t="str">
        <f t="shared" si="88"/>
        <v>NPP320445</v>
      </c>
      <c r="AF373" s="196">
        <f t="shared" si="89"/>
        <v>0</v>
      </c>
    </row>
    <row r="374" spans="1:32" ht="12.95" hidden="1" customHeight="1">
      <c r="A374" s="190">
        <v>62640</v>
      </c>
      <c r="B374" s="191">
        <v>43566</v>
      </c>
      <c r="C374" s="190" t="s">
        <v>457</v>
      </c>
      <c r="D374" s="190" t="s">
        <v>572</v>
      </c>
      <c r="E374" s="190" t="s">
        <v>346</v>
      </c>
      <c r="F374" s="190" t="s">
        <v>503</v>
      </c>
      <c r="G374" s="192" t="s">
        <v>504</v>
      </c>
      <c r="H374" s="192" t="s">
        <v>296</v>
      </c>
      <c r="I374" s="192" t="s">
        <v>395</v>
      </c>
      <c r="J374" s="192" t="s">
        <v>350</v>
      </c>
      <c r="K374" s="190" t="s">
        <v>351</v>
      </c>
      <c r="L374" s="190" t="s">
        <v>361</v>
      </c>
      <c r="M374" s="192" t="s">
        <v>362</v>
      </c>
      <c r="N374" s="193">
        <v>5</v>
      </c>
      <c r="O374" s="193">
        <v>313636</v>
      </c>
      <c r="P374" s="194">
        <v>1568180</v>
      </c>
      <c r="Q374" s="194">
        <v>156818</v>
      </c>
      <c r="R374" s="194">
        <v>1724998</v>
      </c>
      <c r="S374" s="192"/>
      <c r="T374" s="192" t="s">
        <v>310</v>
      </c>
      <c r="U374" s="190">
        <v>60436</v>
      </c>
      <c r="V374" s="190"/>
      <c r="W374" s="195" t="s">
        <v>356</v>
      </c>
      <c r="X374" s="196" t="str">
        <f>+IFERROR(VLOOKUP($F374,'[2]Chuyển đổi mã'!$A$1:$C$91,3,0),$F374)&amp;AC374</f>
        <v>Big C North331017</v>
      </c>
      <c r="Y374" s="196" t="str">
        <f>IFERROR(VLOOKUP($F374,'[2]Chuyển đổi mã'!$A$1:$C$184,3,0),F374)</f>
        <v>Big C North</v>
      </c>
      <c r="Z374" s="196" t="str">
        <f>VLOOKUP($G374,'[2]Thông tin NPP'!$B:$D,3,0)</f>
        <v>BIG C North</v>
      </c>
      <c r="AA374" s="196" t="str">
        <f t="shared" si="85"/>
        <v>Richoco Wf</v>
      </c>
      <c r="AB374" s="196" t="str">
        <f>IFERROR(VLOOKUP(DAY(B374),'[2]Chuyển đổi mã'!$F$1:$G$32,2,0),0)</f>
        <v>W2</v>
      </c>
      <c r="AC374" s="196" t="str">
        <f t="shared" si="86"/>
        <v>331017</v>
      </c>
      <c r="AD374" s="196" t="str">
        <f t="shared" si="87"/>
        <v>NPP</v>
      </c>
      <c r="AE374" s="196" t="str">
        <f t="shared" si="88"/>
        <v>NPP331017</v>
      </c>
      <c r="AF374" s="196">
        <f t="shared" si="89"/>
        <v>0</v>
      </c>
    </row>
    <row r="375" spans="1:32" ht="12.95" hidden="1" customHeight="1">
      <c r="A375" s="190">
        <v>62640</v>
      </c>
      <c r="B375" s="191">
        <v>43566</v>
      </c>
      <c r="C375" s="190" t="s">
        <v>457</v>
      </c>
      <c r="D375" s="190" t="s">
        <v>572</v>
      </c>
      <c r="E375" s="190" t="s">
        <v>346</v>
      </c>
      <c r="F375" s="190" t="s">
        <v>503</v>
      </c>
      <c r="G375" s="192" t="s">
        <v>504</v>
      </c>
      <c r="H375" s="192" t="s">
        <v>296</v>
      </c>
      <c r="I375" s="192" t="s">
        <v>395</v>
      </c>
      <c r="J375" s="192" t="s">
        <v>350</v>
      </c>
      <c r="K375" s="190" t="s">
        <v>351</v>
      </c>
      <c r="L375" s="190" t="s">
        <v>363</v>
      </c>
      <c r="M375" s="192" t="s">
        <v>364</v>
      </c>
      <c r="N375" s="193">
        <v>1</v>
      </c>
      <c r="O375" s="193">
        <v>334545</v>
      </c>
      <c r="P375" s="194">
        <v>334545</v>
      </c>
      <c r="Q375" s="194">
        <v>33454.5</v>
      </c>
      <c r="R375" s="194">
        <v>367999.5</v>
      </c>
      <c r="S375" s="192"/>
      <c r="T375" s="192" t="s">
        <v>310</v>
      </c>
      <c r="U375" s="190">
        <v>60436</v>
      </c>
      <c r="V375" s="190"/>
      <c r="W375" s="195" t="s">
        <v>356</v>
      </c>
      <c r="X375" s="196" t="str">
        <f>+IFERROR(VLOOKUP($F375,'[2]Chuyển đổi mã'!$A$1:$C$91,3,0),$F375)&amp;AC375</f>
        <v>Big C North323708</v>
      </c>
      <c r="Y375" s="196" t="str">
        <f>IFERROR(VLOOKUP($F375,'[2]Chuyển đổi mã'!$A$1:$C$184,3,0),F375)</f>
        <v>Big C North</v>
      </c>
      <c r="Z375" s="196" t="str">
        <f>VLOOKUP($G375,'[2]Thông tin NPP'!$B:$D,3,0)</f>
        <v>BIG C North</v>
      </c>
      <c r="AA375" s="196" t="str">
        <f t="shared" si="85"/>
        <v>Nextar Bro</v>
      </c>
      <c r="AB375" s="196" t="str">
        <f>IFERROR(VLOOKUP(DAY(B375),'[2]Chuyển đổi mã'!$F$1:$G$32,2,0),0)</f>
        <v>W2</v>
      </c>
      <c r="AC375" s="196" t="str">
        <f t="shared" si="86"/>
        <v>323708</v>
      </c>
      <c r="AD375" s="196" t="str">
        <f t="shared" si="87"/>
        <v>NPP</v>
      </c>
      <c r="AE375" s="196" t="str">
        <f t="shared" si="88"/>
        <v>NPP323708</v>
      </c>
      <c r="AF375" s="196">
        <f t="shared" si="89"/>
        <v>0</v>
      </c>
    </row>
    <row r="376" spans="1:32" ht="12.95" hidden="1" customHeight="1">
      <c r="A376" s="190">
        <v>62641</v>
      </c>
      <c r="B376" s="191">
        <v>43566</v>
      </c>
      <c r="C376" s="190" t="s">
        <v>457</v>
      </c>
      <c r="D376" s="190" t="s">
        <v>573</v>
      </c>
      <c r="E376" s="190" t="s">
        <v>346</v>
      </c>
      <c r="F376" s="190" t="s">
        <v>506</v>
      </c>
      <c r="G376" s="192" t="s">
        <v>507</v>
      </c>
      <c r="H376" s="192" t="s">
        <v>296</v>
      </c>
      <c r="I376" s="192" t="s">
        <v>395</v>
      </c>
      <c r="J376" s="192" t="s">
        <v>350</v>
      </c>
      <c r="K376" s="190" t="s">
        <v>351</v>
      </c>
      <c r="L376" s="190" t="s">
        <v>387</v>
      </c>
      <c r="M376" s="192" t="s">
        <v>388</v>
      </c>
      <c r="N376" s="193">
        <v>5</v>
      </c>
      <c r="O376" s="193">
        <v>355455</v>
      </c>
      <c r="P376" s="194">
        <v>1777275</v>
      </c>
      <c r="Q376" s="194">
        <v>177727.5</v>
      </c>
      <c r="R376" s="194">
        <v>1955002.5</v>
      </c>
      <c r="S376" s="192"/>
      <c r="T376" s="192" t="s">
        <v>310</v>
      </c>
      <c r="U376" s="190">
        <v>60458</v>
      </c>
      <c r="V376" s="190"/>
      <c r="W376" s="195" t="s">
        <v>356</v>
      </c>
      <c r="X376" s="196" t="str">
        <f>+IFERROR(VLOOKUP($F376,'[2]Chuyển đổi mã'!$A$1:$C$91,3,0),$F376)&amp;AC376</f>
        <v>Big C North323620</v>
      </c>
      <c r="Y376" s="196" t="str">
        <f>IFERROR(VLOOKUP($F376,'[2]Chuyển đổi mã'!$A$1:$C$184,3,0),F376)</f>
        <v>Big C North</v>
      </c>
      <c r="Z376" s="196" t="str">
        <f>VLOOKUP($G376,'[2]Thông tin NPP'!$B:$D,3,0)</f>
        <v>BIG C North</v>
      </c>
      <c r="AA376" s="196" t="str">
        <f t="shared" si="85"/>
        <v>Ahh 16g</v>
      </c>
      <c r="AB376" s="196" t="str">
        <f>IFERROR(VLOOKUP(DAY(B376),'[2]Chuyển đổi mã'!$F$1:$G$32,2,0),0)</f>
        <v>W2</v>
      </c>
      <c r="AC376" s="196" t="str">
        <f t="shared" si="86"/>
        <v>323620</v>
      </c>
      <c r="AD376" s="196" t="str">
        <f t="shared" si="87"/>
        <v>NPP</v>
      </c>
      <c r="AE376" s="196" t="str">
        <f t="shared" si="88"/>
        <v>NPP323620</v>
      </c>
      <c r="AF376" s="196">
        <f t="shared" si="89"/>
        <v>0</v>
      </c>
    </row>
    <row r="377" spans="1:32" ht="12.95" hidden="1" customHeight="1">
      <c r="A377" s="190">
        <v>62641</v>
      </c>
      <c r="B377" s="191">
        <v>43566</v>
      </c>
      <c r="C377" s="190" t="s">
        <v>457</v>
      </c>
      <c r="D377" s="190" t="s">
        <v>573</v>
      </c>
      <c r="E377" s="190" t="s">
        <v>346</v>
      </c>
      <c r="F377" s="190" t="s">
        <v>506</v>
      </c>
      <c r="G377" s="192" t="s">
        <v>507</v>
      </c>
      <c r="H377" s="192" t="s">
        <v>296</v>
      </c>
      <c r="I377" s="192" t="s">
        <v>395</v>
      </c>
      <c r="J377" s="192" t="s">
        <v>350</v>
      </c>
      <c r="K377" s="190" t="s">
        <v>351</v>
      </c>
      <c r="L377" s="190" t="s">
        <v>357</v>
      </c>
      <c r="M377" s="192" t="s">
        <v>358</v>
      </c>
      <c r="N377" s="193">
        <v>7</v>
      </c>
      <c r="O377" s="193">
        <v>213273</v>
      </c>
      <c r="P377" s="194">
        <v>1492911</v>
      </c>
      <c r="Q377" s="194">
        <v>149291.1</v>
      </c>
      <c r="R377" s="194">
        <v>1642202.1</v>
      </c>
      <c r="S377" s="192"/>
      <c r="T377" s="192" t="s">
        <v>310</v>
      </c>
      <c r="U377" s="190">
        <v>60458</v>
      </c>
      <c r="V377" s="190"/>
      <c r="W377" s="195" t="s">
        <v>356</v>
      </c>
      <c r="X377" s="196" t="str">
        <f>+IFERROR(VLOOKUP($F377,'[2]Chuyển đổi mã'!$A$1:$C$91,3,0),$F377)&amp;AC377</f>
        <v>Big C North323555</v>
      </c>
      <c r="Y377" s="196" t="str">
        <f>IFERROR(VLOOKUP($F377,'[2]Chuyển đổi mã'!$A$1:$C$184,3,0),F377)</f>
        <v>Big C North</v>
      </c>
      <c r="Z377" s="196" t="str">
        <f>VLOOKUP($G377,'[2]Thông tin NPP'!$B:$D,3,0)</f>
        <v>BIG C North</v>
      </c>
      <c r="AA377" s="196" t="str">
        <f t="shared" si="85"/>
        <v>Na 17g - M</v>
      </c>
      <c r="AB377" s="196" t="str">
        <f>IFERROR(VLOOKUP(DAY(B377),'[2]Chuyển đổi mã'!$F$1:$G$32,2,0),0)</f>
        <v>W2</v>
      </c>
      <c r="AC377" s="196" t="str">
        <f t="shared" si="86"/>
        <v>323555</v>
      </c>
      <c r="AD377" s="196" t="str">
        <f t="shared" si="87"/>
        <v>NPP</v>
      </c>
      <c r="AE377" s="196" t="str">
        <f t="shared" si="88"/>
        <v>NPP323555</v>
      </c>
      <c r="AF377" s="196">
        <f t="shared" si="89"/>
        <v>0</v>
      </c>
    </row>
    <row r="378" spans="1:32" ht="12.95" hidden="1" customHeight="1">
      <c r="A378" s="190">
        <v>62641</v>
      </c>
      <c r="B378" s="191">
        <v>43566</v>
      </c>
      <c r="C378" s="190" t="s">
        <v>457</v>
      </c>
      <c r="D378" s="190" t="s">
        <v>573</v>
      </c>
      <c r="E378" s="190" t="s">
        <v>346</v>
      </c>
      <c r="F378" s="190" t="s">
        <v>506</v>
      </c>
      <c r="G378" s="192" t="s">
        <v>507</v>
      </c>
      <c r="H378" s="192" t="s">
        <v>296</v>
      </c>
      <c r="I378" s="192" t="s">
        <v>395</v>
      </c>
      <c r="J378" s="192" t="s">
        <v>350</v>
      </c>
      <c r="K378" s="190" t="s">
        <v>351</v>
      </c>
      <c r="L378" s="190" t="s">
        <v>359</v>
      </c>
      <c r="M378" s="192" t="s">
        <v>360</v>
      </c>
      <c r="N378" s="193">
        <v>3</v>
      </c>
      <c r="O378" s="193">
        <v>313636</v>
      </c>
      <c r="P378" s="194">
        <v>940908</v>
      </c>
      <c r="Q378" s="194">
        <v>94090.8</v>
      </c>
      <c r="R378" s="194">
        <v>1034998.8</v>
      </c>
      <c r="S378" s="192"/>
      <c r="T378" s="192" t="s">
        <v>310</v>
      </c>
      <c r="U378" s="190">
        <v>60458</v>
      </c>
      <c r="V378" s="190"/>
      <c r="W378" s="195" t="s">
        <v>356</v>
      </c>
      <c r="X378" s="196" t="str">
        <f>+IFERROR(VLOOKUP($F378,'[2]Chuyển đổi mã'!$A$1:$C$91,3,0),$F378)&amp;AC378</f>
        <v>Big C North320445</v>
      </c>
      <c r="Y378" s="196" t="str">
        <f>IFERROR(VLOOKUP($F378,'[2]Chuyển đổi mã'!$A$1:$C$184,3,0),F378)</f>
        <v>Big C North</v>
      </c>
      <c r="Z378" s="196" t="str">
        <f>VLOOKUP($G378,'[2]Thông tin NPP'!$B:$D,3,0)</f>
        <v>BIG C North</v>
      </c>
      <c r="AA378" s="196" t="str">
        <f t="shared" si="85"/>
        <v>Na 58g</v>
      </c>
      <c r="AB378" s="196" t="str">
        <f>IFERROR(VLOOKUP(DAY(B378),'[2]Chuyển đổi mã'!$F$1:$G$32,2,0),0)</f>
        <v>W2</v>
      </c>
      <c r="AC378" s="196" t="str">
        <f t="shared" si="86"/>
        <v>320445</v>
      </c>
      <c r="AD378" s="196" t="str">
        <f t="shared" si="87"/>
        <v>NPP</v>
      </c>
      <c r="AE378" s="196" t="str">
        <f t="shared" si="88"/>
        <v>NPP320445</v>
      </c>
      <c r="AF378" s="196">
        <f t="shared" si="89"/>
        <v>0</v>
      </c>
    </row>
    <row r="379" spans="1:32" ht="12.95" hidden="1" customHeight="1">
      <c r="A379" s="190">
        <v>62641</v>
      </c>
      <c r="B379" s="191">
        <v>43566</v>
      </c>
      <c r="C379" s="190" t="s">
        <v>457</v>
      </c>
      <c r="D379" s="190" t="s">
        <v>573</v>
      </c>
      <c r="E379" s="190" t="s">
        <v>346</v>
      </c>
      <c r="F379" s="190" t="s">
        <v>506</v>
      </c>
      <c r="G379" s="192" t="s">
        <v>507</v>
      </c>
      <c r="H379" s="192" t="s">
        <v>296</v>
      </c>
      <c r="I379" s="192" t="s">
        <v>395</v>
      </c>
      <c r="J379" s="192" t="s">
        <v>350</v>
      </c>
      <c r="K379" s="190" t="s">
        <v>351</v>
      </c>
      <c r="L379" s="190" t="s">
        <v>361</v>
      </c>
      <c r="M379" s="192" t="s">
        <v>362</v>
      </c>
      <c r="N379" s="193">
        <v>3</v>
      </c>
      <c r="O379" s="193">
        <v>313636</v>
      </c>
      <c r="P379" s="194">
        <v>940908</v>
      </c>
      <c r="Q379" s="194">
        <v>94090.8</v>
      </c>
      <c r="R379" s="194">
        <v>1034998.8</v>
      </c>
      <c r="S379" s="192"/>
      <c r="T379" s="192" t="s">
        <v>310</v>
      </c>
      <c r="U379" s="190">
        <v>60458</v>
      </c>
      <c r="V379" s="190"/>
      <c r="W379" s="195" t="s">
        <v>356</v>
      </c>
      <c r="X379" s="196" t="str">
        <f>+IFERROR(VLOOKUP($F379,'[2]Chuyển đổi mã'!$A$1:$C$91,3,0),$F379)&amp;AC379</f>
        <v>Big C North331017</v>
      </c>
      <c r="Y379" s="196" t="str">
        <f>IFERROR(VLOOKUP($F379,'[2]Chuyển đổi mã'!$A$1:$C$184,3,0),F379)</f>
        <v>Big C North</v>
      </c>
      <c r="Z379" s="196" t="str">
        <f>VLOOKUP($G379,'[2]Thông tin NPP'!$B:$D,3,0)</f>
        <v>BIG C North</v>
      </c>
      <c r="AA379" s="196" t="str">
        <f t="shared" si="85"/>
        <v>Richoco Wf</v>
      </c>
      <c r="AB379" s="196" t="str">
        <f>IFERROR(VLOOKUP(DAY(B379),'[2]Chuyển đổi mã'!$F$1:$G$32,2,0),0)</f>
        <v>W2</v>
      </c>
      <c r="AC379" s="196" t="str">
        <f t="shared" si="86"/>
        <v>331017</v>
      </c>
      <c r="AD379" s="196" t="str">
        <f t="shared" si="87"/>
        <v>NPP</v>
      </c>
      <c r="AE379" s="196" t="str">
        <f t="shared" si="88"/>
        <v>NPP331017</v>
      </c>
      <c r="AF379" s="196">
        <f t="shared" si="89"/>
        <v>0</v>
      </c>
    </row>
    <row r="380" spans="1:32" ht="12.95" hidden="1" customHeight="1">
      <c r="A380" s="190">
        <v>62642</v>
      </c>
      <c r="B380" s="191">
        <v>43566</v>
      </c>
      <c r="C380" s="190" t="s">
        <v>457</v>
      </c>
      <c r="D380" s="190" t="s">
        <v>574</v>
      </c>
      <c r="E380" s="190" t="s">
        <v>346</v>
      </c>
      <c r="F380" s="190" t="s">
        <v>509</v>
      </c>
      <c r="G380" s="192" t="s">
        <v>510</v>
      </c>
      <c r="H380" s="192" t="s">
        <v>296</v>
      </c>
      <c r="I380" s="192" t="s">
        <v>443</v>
      </c>
      <c r="J380" s="192" t="s">
        <v>350</v>
      </c>
      <c r="K380" s="190" t="s">
        <v>351</v>
      </c>
      <c r="L380" s="190" t="s">
        <v>352</v>
      </c>
      <c r="M380" s="192" t="s">
        <v>353</v>
      </c>
      <c r="N380" s="193">
        <v>5</v>
      </c>
      <c r="O380" s="193">
        <v>119700.35</v>
      </c>
      <c r="P380" s="194">
        <v>598501.75</v>
      </c>
      <c r="Q380" s="194">
        <v>59850.175000000003</v>
      </c>
      <c r="R380" s="194">
        <v>658351.92500000005</v>
      </c>
      <c r="S380" s="192" t="s">
        <v>354</v>
      </c>
      <c r="T380" s="192" t="s">
        <v>355</v>
      </c>
      <c r="U380" s="190">
        <v>60459</v>
      </c>
      <c r="V380" s="190"/>
      <c r="W380" s="195" t="s">
        <v>356</v>
      </c>
      <c r="X380" s="196" t="str">
        <f>+IFERROR(VLOOKUP($F380,'[2]Chuyển đổi mã'!$A$1:$C$91,3,0),$F380)&amp;AC380</f>
        <v>Big C Central320463</v>
      </c>
      <c r="Y380" s="196" t="str">
        <f>IFERROR(VLOOKUP($F380,'[2]Chuyển đổi mã'!$A$1:$C$184,3,0),F380)</f>
        <v>Big C Central</v>
      </c>
      <c r="Z380" s="196" t="str">
        <f>VLOOKUP($G380,'[2]Thông tin NPP'!$B:$D,3,0)</f>
        <v>BIG C Central</v>
      </c>
      <c r="AA380" s="196" t="str">
        <f t="shared" si="85"/>
        <v>Na 8,5g</v>
      </c>
      <c r="AB380" s="196" t="str">
        <f>IFERROR(VLOOKUP(DAY(B380),'[2]Chuyển đổi mã'!$F$1:$G$32,2,0),0)</f>
        <v>W2</v>
      </c>
      <c r="AC380" s="196" t="str">
        <f t="shared" si="86"/>
        <v>320463</v>
      </c>
      <c r="AD380" s="196" t="str">
        <f t="shared" si="87"/>
        <v>NPP</v>
      </c>
      <c r="AE380" s="196" t="str">
        <f t="shared" si="88"/>
        <v>NPP320463</v>
      </c>
      <c r="AF380" s="196">
        <f t="shared" si="89"/>
        <v>0</v>
      </c>
    </row>
    <row r="381" spans="1:32" ht="12.95" hidden="1" customHeight="1">
      <c r="A381" s="190">
        <v>62642</v>
      </c>
      <c r="B381" s="191">
        <v>43566</v>
      </c>
      <c r="C381" s="190" t="s">
        <v>457</v>
      </c>
      <c r="D381" s="190" t="s">
        <v>574</v>
      </c>
      <c r="E381" s="190" t="s">
        <v>346</v>
      </c>
      <c r="F381" s="190" t="s">
        <v>509</v>
      </c>
      <c r="G381" s="192" t="s">
        <v>510</v>
      </c>
      <c r="H381" s="192" t="s">
        <v>296</v>
      </c>
      <c r="I381" s="192" t="s">
        <v>443</v>
      </c>
      <c r="J381" s="192" t="s">
        <v>350</v>
      </c>
      <c r="K381" s="190" t="s">
        <v>351</v>
      </c>
      <c r="L381" s="190" t="s">
        <v>387</v>
      </c>
      <c r="M381" s="192" t="s">
        <v>388</v>
      </c>
      <c r="N381" s="193">
        <v>3</v>
      </c>
      <c r="O381" s="193">
        <v>355455</v>
      </c>
      <c r="P381" s="194">
        <v>1066365</v>
      </c>
      <c r="Q381" s="194">
        <v>106636.5</v>
      </c>
      <c r="R381" s="194">
        <v>1173001.5</v>
      </c>
      <c r="S381" s="192"/>
      <c r="T381" s="192" t="s">
        <v>310</v>
      </c>
      <c r="U381" s="190">
        <v>60459</v>
      </c>
      <c r="V381" s="190"/>
      <c r="W381" s="195" t="s">
        <v>356</v>
      </c>
      <c r="X381" s="196" t="str">
        <f>+IFERROR(VLOOKUP($F381,'[2]Chuyển đổi mã'!$A$1:$C$91,3,0),$F381)&amp;AC381</f>
        <v>Big C Central323620</v>
      </c>
      <c r="Y381" s="196" t="str">
        <f>IFERROR(VLOOKUP($F381,'[2]Chuyển đổi mã'!$A$1:$C$184,3,0),F381)</f>
        <v>Big C Central</v>
      </c>
      <c r="Z381" s="196" t="str">
        <f>VLOOKUP($G381,'[2]Thông tin NPP'!$B:$D,3,0)</f>
        <v>BIG C Central</v>
      </c>
      <c r="AA381" s="196" t="str">
        <f t="shared" si="85"/>
        <v>Ahh 16g</v>
      </c>
      <c r="AB381" s="196" t="str">
        <f>IFERROR(VLOOKUP(DAY(B381),'[2]Chuyển đổi mã'!$F$1:$G$32,2,0),0)</f>
        <v>W2</v>
      </c>
      <c r="AC381" s="196" t="str">
        <f t="shared" si="86"/>
        <v>323620</v>
      </c>
      <c r="AD381" s="196" t="str">
        <f t="shared" si="87"/>
        <v>NPP</v>
      </c>
      <c r="AE381" s="196" t="str">
        <f t="shared" si="88"/>
        <v>NPP323620</v>
      </c>
      <c r="AF381" s="196">
        <f t="shared" si="89"/>
        <v>0</v>
      </c>
    </row>
    <row r="382" spans="1:32" ht="12.95" hidden="1" customHeight="1">
      <c r="A382" s="190">
        <v>62642</v>
      </c>
      <c r="B382" s="191">
        <v>43566</v>
      </c>
      <c r="C382" s="190" t="s">
        <v>457</v>
      </c>
      <c r="D382" s="190" t="s">
        <v>574</v>
      </c>
      <c r="E382" s="190" t="s">
        <v>346</v>
      </c>
      <c r="F382" s="190" t="s">
        <v>509</v>
      </c>
      <c r="G382" s="192" t="s">
        <v>510</v>
      </c>
      <c r="H382" s="192" t="s">
        <v>296</v>
      </c>
      <c r="I382" s="192" t="s">
        <v>443</v>
      </c>
      <c r="J382" s="192" t="s">
        <v>350</v>
      </c>
      <c r="K382" s="190" t="s">
        <v>351</v>
      </c>
      <c r="L382" s="190" t="s">
        <v>357</v>
      </c>
      <c r="M382" s="192" t="s">
        <v>358</v>
      </c>
      <c r="N382" s="193">
        <v>8</v>
      </c>
      <c r="O382" s="193">
        <v>213273</v>
      </c>
      <c r="P382" s="194">
        <v>1706184</v>
      </c>
      <c r="Q382" s="194">
        <v>170618.4</v>
      </c>
      <c r="R382" s="194">
        <v>1876802.4</v>
      </c>
      <c r="S382" s="192"/>
      <c r="T382" s="192" t="s">
        <v>310</v>
      </c>
      <c r="U382" s="190">
        <v>60459</v>
      </c>
      <c r="V382" s="190"/>
      <c r="W382" s="195" t="s">
        <v>356</v>
      </c>
      <c r="X382" s="196" t="str">
        <f>+IFERROR(VLOOKUP($F382,'[2]Chuyển đổi mã'!$A$1:$C$91,3,0),$F382)&amp;AC382</f>
        <v>Big C Central323555</v>
      </c>
      <c r="Y382" s="196" t="str">
        <f>IFERROR(VLOOKUP($F382,'[2]Chuyển đổi mã'!$A$1:$C$184,3,0),F382)</f>
        <v>Big C Central</v>
      </c>
      <c r="Z382" s="196" t="str">
        <f>VLOOKUP($G382,'[2]Thông tin NPP'!$B:$D,3,0)</f>
        <v>BIG C Central</v>
      </c>
      <c r="AA382" s="196" t="str">
        <f t="shared" si="85"/>
        <v>Na 17g - M</v>
      </c>
      <c r="AB382" s="196" t="str">
        <f>IFERROR(VLOOKUP(DAY(B382),'[2]Chuyển đổi mã'!$F$1:$G$32,2,0),0)</f>
        <v>W2</v>
      </c>
      <c r="AC382" s="196" t="str">
        <f t="shared" si="86"/>
        <v>323555</v>
      </c>
      <c r="AD382" s="196" t="str">
        <f t="shared" si="87"/>
        <v>NPP</v>
      </c>
      <c r="AE382" s="196" t="str">
        <f t="shared" si="88"/>
        <v>NPP323555</v>
      </c>
      <c r="AF382" s="196">
        <f t="shared" si="89"/>
        <v>0</v>
      </c>
    </row>
    <row r="383" spans="1:32" ht="12.95" hidden="1" customHeight="1">
      <c r="A383" s="190">
        <v>62642</v>
      </c>
      <c r="B383" s="191">
        <v>43566</v>
      </c>
      <c r="C383" s="190" t="s">
        <v>457</v>
      </c>
      <c r="D383" s="190" t="s">
        <v>574</v>
      </c>
      <c r="E383" s="190" t="s">
        <v>346</v>
      </c>
      <c r="F383" s="190" t="s">
        <v>509</v>
      </c>
      <c r="G383" s="192" t="s">
        <v>510</v>
      </c>
      <c r="H383" s="192" t="s">
        <v>296</v>
      </c>
      <c r="I383" s="192" t="s">
        <v>443</v>
      </c>
      <c r="J383" s="192" t="s">
        <v>350</v>
      </c>
      <c r="K383" s="190" t="s">
        <v>351</v>
      </c>
      <c r="L383" s="190" t="s">
        <v>359</v>
      </c>
      <c r="M383" s="192" t="s">
        <v>360</v>
      </c>
      <c r="N383" s="193">
        <v>2</v>
      </c>
      <c r="O383" s="193">
        <v>313636</v>
      </c>
      <c r="P383" s="194">
        <v>627272</v>
      </c>
      <c r="Q383" s="194">
        <v>62727.199999999997</v>
      </c>
      <c r="R383" s="194">
        <v>689999.2</v>
      </c>
      <c r="S383" s="192"/>
      <c r="T383" s="192" t="s">
        <v>310</v>
      </c>
      <c r="U383" s="190">
        <v>60459</v>
      </c>
      <c r="V383" s="190"/>
      <c r="W383" s="195" t="s">
        <v>356</v>
      </c>
      <c r="X383" s="196" t="str">
        <f>+IFERROR(VLOOKUP($F383,'[2]Chuyển đổi mã'!$A$1:$C$91,3,0),$F383)&amp;AC383</f>
        <v>Big C Central320445</v>
      </c>
      <c r="Y383" s="196" t="str">
        <f>IFERROR(VLOOKUP($F383,'[2]Chuyển đổi mã'!$A$1:$C$184,3,0),F383)</f>
        <v>Big C Central</v>
      </c>
      <c r="Z383" s="196" t="str">
        <f>VLOOKUP($G383,'[2]Thông tin NPP'!$B:$D,3,0)</f>
        <v>BIG C Central</v>
      </c>
      <c r="AA383" s="196" t="str">
        <f t="shared" si="85"/>
        <v>Na 58g</v>
      </c>
      <c r="AB383" s="196" t="str">
        <f>IFERROR(VLOOKUP(DAY(B383),'[2]Chuyển đổi mã'!$F$1:$G$32,2,0),0)</f>
        <v>W2</v>
      </c>
      <c r="AC383" s="196" t="str">
        <f t="shared" si="86"/>
        <v>320445</v>
      </c>
      <c r="AD383" s="196" t="str">
        <f t="shared" si="87"/>
        <v>NPP</v>
      </c>
      <c r="AE383" s="196" t="str">
        <f t="shared" si="88"/>
        <v>NPP320445</v>
      </c>
      <c r="AF383" s="196">
        <f t="shared" si="89"/>
        <v>0</v>
      </c>
    </row>
    <row r="384" spans="1:32" ht="12.95" hidden="1" customHeight="1">
      <c r="A384" s="190">
        <v>62642</v>
      </c>
      <c r="B384" s="191">
        <v>43566</v>
      </c>
      <c r="C384" s="190" t="s">
        <v>457</v>
      </c>
      <c r="D384" s="190" t="s">
        <v>574</v>
      </c>
      <c r="E384" s="190" t="s">
        <v>346</v>
      </c>
      <c r="F384" s="190" t="s">
        <v>509</v>
      </c>
      <c r="G384" s="192" t="s">
        <v>510</v>
      </c>
      <c r="H384" s="192" t="s">
        <v>296</v>
      </c>
      <c r="I384" s="192" t="s">
        <v>443</v>
      </c>
      <c r="J384" s="192" t="s">
        <v>350</v>
      </c>
      <c r="K384" s="190" t="s">
        <v>351</v>
      </c>
      <c r="L384" s="190" t="s">
        <v>361</v>
      </c>
      <c r="M384" s="192" t="s">
        <v>362</v>
      </c>
      <c r="N384" s="193">
        <v>3</v>
      </c>
      <c r="O384" s="193">
        <v>313636</v>
      </c>
      <c r="P384" s="194">
        <v>940908</v>
      </c>
      <c r="Q384" s="194">
        <v>94090.8</v>
      </c>
      <c r="R384" s="194">
        <v>1034998.8</v>
      </c>
      <c r="S384" s="192"/>
      <c r="T384" s="192" t="s">
        <v>310</v>
      </c>
      <c r="U384" s="190">
        <v>60459</v>
      </c>
      <c r="V384" s="190"/>
      <c r="W384" s="195" t="s">
        <v>356</v>
      </c>
      <c r="X384" s="196" t="str">
        <f>+IFERROR(VLOOKUP($F384,'[2]Chuyển đổi mã'!$A$1:$C$91,3,0),$F384)&amp;AC384</f>
        <v>Big C Central331017</v>
      </c>
      <c r="Y384" s="196" t="str">
        <f>IFERROR(VLOOKUP($F384,'[2]Chuyển đổi mã'!$A$1:$C$184,3,0),F384)</f>
        <v>Big C Central</v>
      </c>
      <c r="Z384" s="196" t="str">
        <f>VLOOKUP($G384,'[2]Thông tin NPP'!$B:$D,3,0)</f>
        <v>BIG C Central</v>
      </c>
      <c r="AA384" s="196" t="str">
        <f t="shared" si="85"/>
        <v>Richoco Wf</v>
      </c>
      <c r="AB384" s="196" t="str">
        <f>IFERROR(VLOOKUP(DAY(B384),'[2]Chuyển đổi mã'!$F$1:$G$32,2,0),0)</f>
        <v>W2</v>
      </c>
      <c r="AC384" s="196" t="str">
        <f t="shared" si="86"/>
        <v>331017</v>
      </c>
      <c r="AD384" s="196" t="str">
        <f t="shared" si="87"/>
        <v>NPP</v>
      </c>
      <c r="AE384" s="196" t="str">
        <f t="shared" si="88"/>
        <v>NPP331017</v>
      </c>
      <c r="AF384" s="196">
        <f t="shared" si="89"/>
        <v>0</v>
      </c>
    </row>
    <row r="385" spans="1:32" ht="12.95" hidden="1" customHeight="1">
      <c r="A385" s="190">
        <v>62642</v>
      </c>
      <c r="B385" s="191">
        <v>43566</v>
      </c>
      <c r="C385" s="190" t="s">
        <v>457</v>
      </c>
      <c r="D385" s="190" t="s">
        <v>574</v>
      </c>
      <c r="E385" s="190" t="s">
        <v>346</v>
      </c>
      <c r="F385" s="190" t="s">
        <v>509</v>
      </c>
      <c r="G385" s="192" t="s">
        <v>510</v>
      </c>
      <c r="H385" s="192" t="s">
        <v>296</v>
      </c>
      <c r="I385" s="192" t="s">
        <v>443</v>
      </c>
      <c r="J385" s="192" t="s">
        <v>350</v>
      </c>
      <c r="K385" s="190" t="s">
        <v>351</v>
      </c>
      <c r="L385" s="190" t="s">
        <v>363</v>
      </c>
      <c r="M385" s="192" t="s">
        <v>364</v>
      </c>
      <c r="N385" s="193">
        <v>1</v>
      </c>
      <c r="O385" s="193">
        <v>334545</v>
      </c>
      <c r="P385" s="194">
        <v>334545</v>
      </c>
      <c r="Q385" s="194">
        <v>33454.5</v>
      </c>
      <c r="R385" s="194">
        <v>367999.5</v>
      </c>
      <c r="S385" s="192"/>
      <c r="T385" s="192" t="s">
        <v>310</v>
      </c>
      <c r="U385" s="190">
        <v>60459</v>
      </c>
      <c r="V385" s="190"/>
      <c r="W385" s="195" t="s">
        <v>356</v>
      </c>
      <c r="X385" s="196" t="str">
        <f>+IFERROR(VLOOKUP($F385,'[2]Chuyển đổi mã'!$A$1:$C$91,3,0),$F385)&amp;AC385</f>
        <v>Big C Central323708</v>
      </c>
      <c r="Y385" s="196" t="str">
        <f>IFERROR(VLOOKUP($F385,'[2]Chuyển đổi mã'!$A$1:$C$184,3,0),F385)</f>
        <v>Big C Central</v>
      </c>
      <c r="Z385" s="196" t="str">
        <f>VLOOKUP($G385,'[2]Thông tin NPP'!$B:$D,3,0)</f>
        <v>BIG C Central</v>
      </c>
      <c r="AA385" s="196" t="str">
        <f t="shared" si="85"/>
        <v>Nextar Bro</v>
      </c>
      <c r="AB385" s="196" t="str">
        <f>IFERROR(VLOOKUP(DAY(B385),'[2]Chuyển đổi mã'!$F$1:$G$32,2,0),0)</f>
        <v>W2</v>
      </c>
      <c r="AC385" s="196" t="str">
        <f t="shared" si="86"/>
        <v>323708</v>
      </c>
      <c r="AD385" s="196" t="str">
        <f t="shared" si="87"/>
        <v>NPP</v>
      </c>
      <c r="AE385" s="196" t="str">
        <f t="shared" si="88"/>
        <v>NPP323708</v>
      </c>
      <c r="AF385" s="196">
        <f t="shared" si="89"/>
        <v>0</v>
      </c>
    </row>
    <row r="386" spans="1:32" ht="12.95" hidden="1" customHeight="1">
      <c r="A386" s="190">
        <v>62643</v>
      </c>
      <c r="B386" s="191">
        <v>43566</v>
      </c>
      <c r="C386" s="190" t="s">
        <v>457</v>
      </c>
      <c r="D386" s="190" t="s">
        <v>575</v>
      </c>
      <c r="E386" s="190" t="s">
        <v>346</v>
      </c>
      <c r="F386" s="190" t="s">
        <v>576</v>
      </c>
      <c r="G386" s="192" t="s">
        <v>577</v>
      </c>
      <c r="H386" s="192" t="s">
        <v>296</v>
      </c>
      <c r="I386" s="192" t="s">
        <v>443</v>
      </c>
      <c r="J386" s="192" t="s">
        <v>350</v>
      </c>
      <c r="K386" s="190" t="s">
        <v>351</v>
      </c>
      <c r="L386" s="190" t="s">
        <v>357</v>
      </c>
      <c r="M386" s="192" t="s">
        <v>358</v>
      </c>
      <c r="N386" s="193">
        <v>1</v>
      </c>
      <c r="O386" s="193">
        <v>213273</v>
      </c>
      <c r="P386" s="194">
        <v>213273</v>
      </c>
      <c r="Q386" s="194">
        <v>21327.3</v>
      </c>
      <c r="R386" s="194">
        <v>234600.3</v>
      </c>
      <c r="S386" s="192"/>
      <c r="T386" s="192" t="s">
        <v>310</v>
      </c>
      <c r="U386" s="190">
        <v>60464</v>
      </c>
      <c r="V386" s="190"/>
      <c r="W386" s="195" t="s">
        <v>356</v>
      </c>
      <c r="X386" s="196" t="str">
        <f>+IFERROR(VLOOKUP($F386,'[2]Chuyển đổi mã'!$A$1:$C$91,3,0),$F386)&amp;AC386</f>
        <v>Big C Central323555</v>
      </c>
      <c r="Y386" s="196" t="str">
        <f>IFERROR(VLOOKUP($F386,'[2]Chuyển đổi mã'!$A$1:$C$184,3,0),F386)</f>
        <v>Big C Central</v>
      </c>
      <c r="Z386" s="196" t="str">
        <f>VLOOKUP($G386,'[2]Thông tin NPP'!$B:$D,3,0)</f>
        <v>BIG C Central</v>
      </c>
      <c r="AA386" s="196" t="str">
        <f t="shared" si="85"/>
        <v>Na 17g - M</v>
      </c>
      <c r="AB386" s="196" t="str">
        <f>IFERROR(VLOOKUP(DAY(B386),'[2]Chuyển đổi mã'!$F$1:$G$32,2,0),0)</f>
        <v>W2</v>
      </c>
      <c r="AC386" s="196" t="str">
        <f t="shared" si="86"/>
        <v>323555</v>
      </c>
      <c r="AD386" s="196" t="str">
        <f t="shared" si="87"/>
        <v>NPP</v>
      </c>
      <c r="AE386" s="196" t="str">
        <f t="shared" si="88"/>
        <v>NPP323555</v>
      </c>
      <c r="AF386" s="196">
        <f t="shared" si="89"/>
        <v>0</v>
      </c>
    </row>
    <row r="387" spans="1:32" ht="12.95" hidden="1" customHeight="1">
      <c r="A387" s="190">
        <v>62643</v>
      </c>
      <c r="B387" s="191">
        <v>43566</v>
      </c>
      <c r="C387" s="190" t="s">
        <v>457</v>
      </c>
      <c r="D387" s="190" t="s">
        <v>575</v>
      </c>
      <c r="E387" s="190" t="s">
        <v>346</v>
      </c>
      <c r="F387" s="190" t="s">
        <v>576</v>
      </c>
      <c r="G387" s="192" t="s">
        <v>577</v>
      </c>
      <c r="H387" s="192" t="s">
        <v>296</v>
      </c>
      <c r="I387" s="192" t="s">
        <v>443</v>
      </c>
      <c r="J387" s="192" t="s">
        <v>350</v>
      </c>
      <c r="K387" s="190" t="s">
        <v>351</v>
      </c>
      <c r="L387" s="190" t="s">
        <v>359</v>
      </c>
      <c r="M387" s="192" t="s">
        <v>360</v>
      </c>
      <c r="N387" s="193">
        <v>1</v>
      </c>
      <c r="O387" s="193">
        <v>313636</v>
      </c>
      <c r="P387" s="194">
        <v>313636</v>
      </c>
      <c r="Q387" s="194">
        <v>31363.599999999999</v>
      </c>
      <c r="R387" s="194">
        <v>344999.6</v>
      </c>
      <c r="S387" s="192"/>
      <c r="T387" s="192" t="s">
        <v>310</v>
      </c>
      <c r="U387" s="190">
        <v>60464</v>
      </c>
      <c r="V387" s="190"/>
      <c r="W387" s="195" t="s">
        <v>356</v>
      </c>
      <c r="X387" s="196" t="str">
        <f>+IFERROR(VLOOKUP($F387,'[2]Chuyển đổi mã'!$A$1:$C$91,3,0),$F387)&amp;AC387</f>
        <v>Big C Central320445</v>
      </c>
      <c r="Y387" s="196" t="str">
        <f>IFERROR(VLOOKUP($F387,'[2]Chuyển đổi mã'!$A$1:$C$184,3,0),F387)</f>
        <v>Big C Central</v>
      </c>
      <c r="Z387" s="196" t="str">
        <f>VLOOKUP($G387,'[2]Thông tin NPP'!$B:$D,3,0)</f>
        <v>BIG C Central</v>
      </c>
      <c r="AA387" s="196" t="str">
        <f t="shared" si="85"/>
        <v>Na 58g</v>
      </c>
      <c r="AB387" s="196" t="str">
        <f>IFERROR(VLOOKUP(DAY(B387),'[2]Chuyển đổi mã'!$F$1:$G$32,2,0),0)</f>
        <v>W2</v>
      </c>
      <c r="AC387" s="196" t="str">
        <f t="shared" si="86"/>
        <v>320445</v>
      </c>
      <c r="AD387" s="196" t="str">
        <f t="shared" si="87"/>
        <v>NPP</v>
      </c>
      <c r="AE387" s="196" t="str">
        <f t="shared" si="88"/>
        <v>NPP320445</v>
      </c>
      <c r="AF387" s="196">
        <f t="shared" si="89"/>
        <v>0</v>
      </c>
    </row>
    <row r="388" spans="1:32" ht="12.95" hidden="1" customHeight="1">
      <c r="A388" s="190">
        <v>62643</v>
      </c>
      <c r="B388" s="191">
        <v>43566</v>
      </c>
      <c r="C388" s="190" t="s">
        <v>457</v>
      </c>
      <c r="D388" s="190" t="s">
        <v>575</v>
      </c>
      <c r="E388" s="190" t="s">
        <v>346</v>
      </c>
      <c r="F388" s="190" t="s">
        <v>576</v>
      </c>
      <c r="G388" s="192" t="s">
        <v>577</v>
      </c>
      <c r="H388" s="192" t="s">
        <v>296</v>
      </c>
      <c r="I388" s="192" t="s">
        <v>443</v>
      </c>
      <c r="J388" s="192" t="s">
        <v>350</v>
      </c>
      <c r="K388" s="190" t="s">
        <v>351</v>
      </c>
      <c r="L388" s="190" t="s">
        <v>361</v>
      </c>
      <c r="M388" s="192" t="s">
        <v>362</v>
      </c>
      <c r="N388" s="193">
        <v>3</v>
      </c>
      <c r="O388" s="193">
        <v>313636</v>
      </c>
      <c r="P388" s="194">
        <v>940908</v>
      </c>
      <c r="Q388" s="194">
        <v>94090.8</v>
      </c>
      <c r="R388" s="194">
        <v>1034998.8</v>
      </c>
      <c r="S388" s="192"/>
      <c r="T388" s="192" t="s">
        <v>310</v>
      </c>
      <c r="U388" s="190">
        <v>60464</v>
      </c>
      <c r="V388" s="190"/>
      <c r="W388" s="195" t="s">
        <v>356</v>
      </c>
      <c r="X388" s="196" t="str">
        <f>+IFERROR(VLOOKUP($F388,'[2]Chuyển đổi mã'!$A$1:$C$91,3,0),$F388)&amp;AC388</f>
        <v>Big C Central331017</v>
      </c>
      <c r="Y388" s="196" t="str">
        <f>IFERROR(VLOOKUP($F388,'[2]Chuyển đổi mã'!$A$1:$C$184,3,0),F388)</f>
        <v>Big C Central</v>
      </c>
      <c r="Z388" s="196" t="str">
        <f>VLOOKUP($G388,'[2]Thông tin NPP'!$B:$D,3,0)</f>
        <v>BIG C Central</v>
      </c>
      <c r="AA388" s="196" t="str">
        <f t="shared" si="85"/>
        <v>Richoco Wf</v>
      </c>
      <c r="AB388" s="196" t="str">
        <f>IFERROR(VLOOKUP(DAY(B388),'[2]Chuyển đổi mã'!$F$1:$G$32,2,0),0)</f>
        <v>W2</v>
      </c>
      <c r="AC388" s="196" t="str">
        <f t="shared" si="86"/>
        <v>331017</v>
      </c>
      <c r="AD388" s="196" t="str">
        <f t="shared" si="87"/>
        <v>NPP</v>
      </c>
      <c r="AE388" s="196" t="str">
        <f t="shared" si="88"/>
        <v>NPP331017</v>
      </c>
      <c r="AF388" s="196">
        <f t="shared" si="89"/>
        <v>0</v>
      </c>
    </row>
    <row r="389" spans="1:32" ht="12.95" hidden="1" customHeight="1">
      <c r="A389" s="190">
        <v>62644</v>
      </c>
      <c r="B389" s="191">
        <v>43566</v>
      </c>
      <c r="C389" s="190" t="s">
        <v>457</v>
      </c>
      <c r="D389" s="190" t="s">
        <v>578</v>
      </c>
      <c r="E389" s="190" t="s">
        <v>346</v>
      </c>
      <c r="F389" s="190" t="s">
        <v>576</v>
      </c>
      <c r="G389" s="192" t="s">
        <v>577</v>
      </c>
      <c r="H389" s="192" t="s">
        <v>296</v>
      </c>
      <c r="I389" s="192" t="s">
        <v>443</v>
      </c>
      <c r="J389" s="192" t="s">
        <v>350</v>
      </c>
      <c r="K389" s="190" t="s">
        <v>351</v>
      </c>
      <c r="L389" s="190" t="s">
        <v>352</v>
      </c>
      <c r="M389" s="192" t="s">
        <v>353</v>
      </c>
      <c r="N389" s="193">
        <v>5</v>
      </c>
      <c r="O389" s="193">
        <v>119700.35</v>
      </c>
      <c r="P389" s="194">
        <v>598501.75</v>
      </c>
      <c r="Q389" s="194">
        <v>59850.175000000003</v>
      </c>
      <c r="R389" s="194">
        <v>658351.92500000005</v>
      </c>
      <c r="S389" s="192" t="s">
        <v>354</v>
      </c>
      <c r="T389" s="192" t="s">
        <v>355</v>
      </c>
      <c r="U389" s="190">
        <v>60460</v>
      </c>
      <c r="V389" s="190"/>
      <c r="W389" s="195" t="s">
        <v>356</v>
      </c>
      <c r="X389" s="196" t="str">
        <f>+IFERROR(VLOOKUP($F389,'[2]Chuyển đổi mã'!$A$1:$C$91,3,0),$F389)&amp;AC389</f>
        <v>Big C Central320463</v>
      </c>
      <c r="Y389" s="196" t="str">
        <f>IFERROR(VLOOKUP($F389,'[2]Chuyển đổi mã'!$A$1:$C$184,3,0),F389)</f>
        <v>Big C Central</v>
      </c>
      <c r="Z389" s="196" t="str">
        <f>VLOOKUP($G389,'[2]Thông tin NPP'!$B:$D,3,0)</f>
        <v>BIG C Central</v>
      </c>
      <c r="AA389" s="196" t="str">
        <f t="shared" si="85"/>
        <v>Na 8,5g</v>
      </c>
      <c r="AB389" s="196" t="str">
        <f>IFERROR(VLOOKUP(DAY(B389),'[2]Chuyển đổi mã'!$F$1:$G$32,2,0),0)</f>
        <v>W2</v>
      </c>
      <c r="AC389" s="196" t="str">
        <f t="shared" si="86"/>
        <v>320463</v>
      </c>
      <c r="AD389" s="196" t="str">
        <f t="shared" si="87"/>
        <v>NPP</v>
      </c>
      <c r="AE389" s="196" t="str">
        <f t="shared" si="88"/>
        <v>NPP320463</v>
      </c>
      <c r="AF389" s="196">
        <f t="shared" si="89"/>
        <v>0</v>
      </c>
    </row>
    <row r="390" spans="1:32" ht="12.95" hidden="1" customHeight="1">
      <c r="A390" s="190">
        <v>62644</v>
      </c>
      <c r="B390" s="191">
        <v>43566</v>
      </c>
      <c r="C390" s="190" t="s">
        <v>457</v>
      </c>
      <c r="D390" s="190" t="s">
        <v>578</v>
      </c>
      <c r="E390" s="190" t="s">
        <v>346</v>
      </c>
      <c r="F390" s="190" t="s">
        <v>576</v>
      </c>
      <c r="G390" s="192" t="s">
        <v>577</v>
      </c>
      <c r="H390" s="192" t="s">
        <v>296</v>
      </c>
      <c r="I390" s="192" t="s">
        <v>443</v>
      </c>
      <c r="J390" s="192" t="s">
        <v>350</v>
      </c>
      <c r="K390" s="190" t="s">
        <v>351</v>
      </c>
      <c r="L390" s="190" t="s">
        <v>387</v>
      </c>
      <c r="M390" s="192" t="s">
        <v>388</v>
      </c>
      <c r="N390" s="193">
        <v>3</v>
      </c>
      <c r="O390" s="193">
        <v>355455</v>
      </c>
      <c r="P390" s="194">
        <v>1066365</v>
      </c>
      <c r="Q390" s="194">
        <v>106636.5</v>
      </c>
      <c r="R390" s="194">
        <v>1173001.5</v>
      </c>
      <c r="S390" s="192"/>
      <c r="T390" s="192" t="s">
        <v>310</v>
      </c>
      <c r="U390" s="190">
        <v>60460</v>
      </c>
      <c r="V390" s="190"/>
      <c r="W390" s="195" t="s">
        <v>356</v>
      </c>
      <c r="X390" s="196" t="str">
        <f>+IFERROR(VLOOKUP($F390,'[2]Chuyển đổi mã'!$A$1:$C$91,3,0),$F390)&amp;AC390</f>
        <v>Big C Central323620</v>
      </c>
      <c r="Y390" s="196" t="str">
        <f>IFERROR(VLOOKUP($F390,'[2]Chuyển đổi mã'!$A$1:$C$184,3,0),F390)</f>
        <v>Big C Central</v>
      </c>
      <c r="Z390" s="196" t="str">
        <f>VLOOKUP($G390,'[2]Thông tin NPP'!$B:$D,3,0)</f>
        <v>BIG C Central</v>
      </c>
      <c r="AA390" s="196" t="str">
        <f t="shared" si="85"/>
        <v>Ahh 16g</v>
      </c>
      <c r="AB390" s="196" t="str">
        <f>IFERROR(VLOOKUP(DAY(B390),'[2]Chuyển đổi mã'!$F$1:$G$32,2,0),0)</f>
        <v>W2</v>
      </c>
      <c r="AC390" s="196" t="str">
        <f t="shared" si="86"/>
        <v>323620</v>
      </c>
      <c r="AD390" s="196" t="str">
        <f t="shared" si="87"/>
        <v>NPP</v>
      </c>
      <c r="AE390" s="196" t="str">
        <f t="shared" si="88"/>
        <v>NPP323620</v>
      </c>
      <c r="AF390" s="196">
        <f t="shared" si="89"/>
        <v>0</v>
      </c>
    </row>
    <row r="391" spans="1:32" ht="12.95" hidden="1" customHeight="1">
      <c r="A391" s="190">
        <v>62644</v>
      </c>
      <c r="B391" s="191">
        <v>43566</v>
      </c>
      <c r="C391" s="190" t="s">
        <v>457</v>
      </c>
      <c r="D391" s="190" t="s">
        <v>578</v>
      </c>
      <c r="E391" s="190" t="s">
        <v>346</v>
      </c>
      <c r="F391" s="190" t="s">
        <v>576</v>
      </c>
      <c r="G391" s="192" t="s">
        <v>577</v>
      </c>
      <c r="H391" s="192" t="s">
        <v>296</v>
      </c>
      <c r="I391" s="192" t="s">
        <v>443</v>
      </c>
      <c r="J391" s="192" t="s">
        <v>350</v>
      </c>
      <c r="K391" s="190" t="s">
        <v>351</v>
      </c>
      <c r="L391" s="190" t="s">
        <v>357</v>
      </c>
      <c r="M391" s="192" t="s">
        <v>358</v>
      </c>
      <c r="N391" s="193">
        <v>5</v>
      </c>
      <c r="O391" s="193">
        <v>213273</v>
      </c>
      <c r="P391" s="194">
        <v>1066365</v>
      </c>
      <c r="Q391" s="194">
        <v>106636.5</v>
      </c>
      <c r="R391" s="194">
        <v>1173001.5</v>
      </c>
      <c r="S391" s="192"/>
      <c r="T391" s="192" t="s">
        <v>310</v>
      </c>
      <c r="U391" s="190">
        <v>60460</v>
      </c>
      <c r="V391" s="190"/>
      <c r="W391" s="195" t="s">
        <v>356</v>
      </c>
      <c r="X391" s="196" t="str">
        <f>+IFERROR(VLOOKUP($F391,'[2]Chuyển đổi mã'!$A$1:$C$91,3,0),$F391)&amp;AC391</f>
        <v>Big C Central323555</v>
      </c>
      <c r="Y391" s="196" t="str">
        <f>IFERROR(VLOOKUP($F391,'[2]Chuyển đổi mã'!$A$1:$C$184,3,0),F391)</f>
        <v>Big C Central</v>
      </c>
      <c r="Z391" s="196" t="str">
        <f>VLOOKUP($G391,'[2]Thông tin NPP'!$B:$D,3,0)</f>
        <v>BIG C Central</v>
      </c>
      <c r="AA391" s="196" t="str">
        <f t="shared" si="85"/>
        <v>Na 17g - M</v>
      </c>
      <c r="AB391" s="196" t="str">
        <f>IFERROR(VLOOKUP(DAY(B391),'[2]Chuyển đổi mã'!$F$1:$G$32,2,0),0)</f>
        <v>W2</v>
      </c>
      <c r="AC391" s="196" t="str">
        <f t="shared" si="86"/>
        <v>323555</v>
      </c>
      <c r="AD391" s="196" t="str">
        <f t="shared" si="87"/>
        <v>NPP</v>
      </c>
      <c r="AE391" s="196" t="str">
        <f t="shared" si="88"/>
        <v>NPP323555</v>
      </c>
      <c r="AF391" s="196">
        <f t="shared" si="89"/>
        <v>0</v>
      </c>
    </row>
    <row r="392" spans="1:32" ht="12.95" hidden="1" customHeight="1">
      <c r="A392" s="190">
        <v>62644</v>
      </c>
      <c r="B392" s="191">
        <v>43566</v>
      </c>
      <c r="C392" s="190" t="s">
        <v>457</v>
      </c>
      <c r="D392" s="190" t="s">
        <v>578</v>
      </c>
      <c r="E392" s="190" t="s">
        <v>346</v>
      </c>
      <c r="F392" s="190" t="s">
        <v>576</v>
      </c>
      <c r="G392" s="192" t="s">
        <v>577</v>
      </c>
      <c r="H392" s="192" t="s">
        <v>296</v>
      </c>
      <c r="I392" s="192" t="s">
        <v>443</v>
      </c>
      <c r="J392" s="192" t="s">
        <v>350</v>
      </c>
      <c r="K392" s="190" t="s">
        <v>351</v>
      </c>
      <c r="L392" s="190" t="s">
        <v>359</v>
      </c>
      <c r="M392" s="192" t="s">
        <v>360</v>
      </c>
      <c r="N392" s="193">
        <v>5</v>
      </c>
      <c r="O392" s="193">
        <v>313636</v>
      </c>
      <c r="P392" s="194">
        <v>1568180</v>
      </c>
      <c r="Q392" s="194">
        <v>156818</v>
      </c>
      <c r="R392" s="194">
        <v>1724998</v>
      </c>
      <c r="S392" s="192"/>
      <c r="T392" s="192" t="s">
        <v>310</v>
      </c>
      <c r="U392" s="190">
        <v>60460</v>
      </c>
      <c r="V392" s="190"/>
      <c r="W392" s="195" t="s">
        <v>356</v>
      </c>
      <c r="X392" s="196" t="str">
        <f>+IFERROR(VLOOKUP($F392,'[2]Chuyển đổi mã'!$A$1:$C$91,3,0),$F392)&amp;AC392</f>
        <v>Big C Central320445</v>
      </c>
      <c r="Y392" s="196" t="str">
        <f>IFERROR(VLOOKUP($F392,'[2]Chuyển đổi mã'!$A$1:$C$184,3,0),F392)</f>
        <v>Big C Central</v>
      </c>
      <c r="Z392" s="196" t="str">
        <f>VLOOKUP($G392,'[2]Thông tin NPP'!$B:$D,3,0)</f>
        <v>BIG C Central</v>
      </c>
      <c r="AA392" s="196" t="str">
        <f t="shared" si="85"/>
        <v>Na 58g</v>
      </c>
      <c r="AB392" s="196" t="str">
        <f>IFERROR(VLOOKUP(DAY(B392),'[2]Chuyển đổi mã'!$F$1:$G$32,2,0),0)</f>
        <v>W2</v>
      </c>
      <c r="AC392" s="196" t="str">
        <f t="shared" si="86"/>
        <v>320445</v>
      </c>
      <c r="AD392" s="196" t="str">
        <f t="shared" si="87"/>
        <v>NPP</v>
      </c>
      <c r="AE392" s="196" t="str">
        <f t="shared" si="88"/>
        <v>NPP320445</v>
      </c>
      <c r="AF392" s="196">
        <f t="shared" si="89"/>
        <v>0</v>
      </c>
    </row>
    <row r="393" spans="1:32" ht="12.95" hidden="1" customHeight="1">
      <c r="A393" s="190">
        <v>62644</v>
      </c>
      <c r="B393" s="191">
        <v>43566</v>
      </c>
      <c r="C393" s="190" t="s">
        <v>457</v>
      </c>
      <c r="D393" s="190" t="s">
        <v>578</v>
      </c>
      <c r="E393" s="190" t="s">
        <v>346</v>
      </c>
      <c r="F393" s="190" t="s">
        <v>576</v>
      </c>
      <c r="G393" s="192" t="s">
        <v>577</v>
      </c>
      <c r="H393" s="192" t="s">
        <v>296</v>
      </c>
      <c r="I393" s="192" t="s">
        <v>443</v>
      </c>
      <c r="J393" s="192" t="s">
        <v>350</v>
      </c>
      <c r="K393" s="190" t="s">
        <v>351</v>
      </c>
      <c r="L393" s="190" t="s">
        <v>361</v>
      </c>
      <c r="M393" s="192" t="s">
        <v>362</v>
      </c>
      <c r="N393" s="193">
        <v>5</v>
      </c>
      <c r="O393" s="193">
        <v>313636</v>
      </c>
      <c r="P393" s="194">
        <v>1568180</v>
      </c>
      <c r="Q393" s="194">
        <v>156818</v>
      </c>
      <c r="R393" s="194">
        <v>1724998</v>
      </c>
      <c r="S393" s="192"/>
      <c r="T393" s="192" t="s">
        <v>310</v>
      </c>
      <c r="U393" s="190">
        <v>60460</v>
      </c>
      <c r="V393" s="190"/>
      <c r="W393" s="195" t="s">
        <v>356</v>
      </c>
      <c r="X393" s="196" t="str">
        <f>+IFERROR(VLOOKUP($F393,'[2]Chuyển đổi mã'!$A$1:$C$91,3,0),$F393)&amp;AC393</f>
        <v>Big C Central331017</v>
      </c>
      <c r="Y393" s="196" t="str">
        <f>IFERROR(VLOOKUP($F393,'[2]Chuyển đổi mã'!$A$1:$C$184,3,0),F393)</f>
        <v>Big C Central</v>
      </c>
      <c r="Z393" s="196" t="str">
        <f>VLOOKUP($G393,'[2]Thông tin NPP'!$B:$D,3,0)</f>
        <v>BIG C Central</v>
      </c>
      <c r="AA393" s="196" t="str">
        <f t="shared" si="85"/>
        <v>Richoco Wf</v>
      </c>
      <c r="AB393" s="196" t="str">
        <f>IFERROR(VLOOKUP(DAY(B393),'[2]Chuyển đổi mã'!$F$1:$G$32,2,0),0)</f>
        <v>W2</v>
      </c>
      <c r="AC393" s="196" t="str">
        <f t="shared" si="86"/>
        <v>331017</v>
      </c>
      <c r="AD393" s="196" t="str">
        <f t="shared" si="87"/>
        <v>NPP</v>
      </c>
      <c r="AE393" s="196" t="str">
        <f t="shared" si="88"/>
        <v>NPP331017</v>
      </c>
      <c r="AF393" s="196">
        <f t="shared" si="89"/>
        <v>0</v>
      </c>
    </row>
    <row r="394" spans="1:32" ht="12.95" hidden="1" customHeight="1">
      <c r="A394" s="190">
        <v>62644</v>
      </c>
      <c r="B394" s="191">
        <v>43566</v>
      </c>
      <c r="C394" s="190" t="s">
        <v>457</v>
      </c>
      <c r="D394" s="190" t="s">
        <v>578</v>
      </c>
      <c r="E394" s="190" t="s">
        <v>346</v>
      </c>
      <c r="F394" s="190" t="s">
        <v>576</v>
      </c>
      <c r="G394" s="192" t="s">
        <v>577</v>
      </c>
      <c r="H394" s="192" t="s">
        <v>296</v>
      </c>
      <c r="I394" s="192" t="s">
        <v>443</v>
      </c>
      <c r="J394" s="192" t="s">
        <v>350</v>
      </c>
      <c r="K394" s="190" t="s">
        <v>351</v>
      </c>
      <c r="L394" s="190" t="s">
        <v>363</v>
      </c>
      <c r="M394" s="192" t="s">
        <v>364</v>
      </c>
      <c r="N394" s="193">
        <v>1</v>
      </c>
      <c r="O394" s="193">
        <v>334545</v>
      </c>
      <c r="P394" s="194">
        <v>334545</v>
      </c>
      <c r="Q394" s="194">
        <v>33454.5</v>
      </c>
      <c r="R394" s="194">
        <v>367999.5</v>
      </c>
      <c r="S394" s="192"/>
      <c r="T394" s="192" t="s">
        <v>310</v>
      </c>
      <c r="U394" s="190">
        <v>60460</v>
      </c>
      <c r="V394" s="190"/>
      <c r="W394" s="195" t="s">
        <v>356</v>
      </c>
      <c r="X394" s="196" t="str">
        <f>+IFERROR(VLOOKUP($F394,'[2]Chuyển đổi mã'!$A$1:$C$91,3,0),$F394)&amp;AC394</f>
        <v>Big C Central323708</v>
      </c>
      <c r="Y394" s="196" t="str">
        <f>IFERROR(VLOOKUP($F394,'[2]Chuyển đổi mã'!$A$1:$C$184,3,0),F394)</f>
        <v>Big C Central</v>
      </c>
      <c r="Z394" s="196" t="str">
        <f>VLOOKUP($G394,'[2]Thông tin NPP'!$B:$D,3,0)</f>
        <v>BIG C Central</v>
      </c>
      <c r="AA394" s="196" t="str">
        <f t="shared" si="85"/>
        <v>Nextar Bro</v>
      </c>
      <c r="AB394" s="196" t="str">
        <f>IFERROR(VLOOKUP(DAY(B394),'[2]Chuyển đổi mã'!$F$1:$G$32,2,0),0)</f>
        <v>W2</v>
      </c>
      <c r="AC394" s="196" t="str">
        <f t="shared" si="86"/>
        <v>323708</v>
      </c>
      <c r="AD394" s="196" t="str">
        <f t="shared" si="87"/>
        <v>NPP</v>
      </c>
      <c r="AE394" s="196" t="str">
        <f t="shared" si="88"/>
        <v>NPP323708</v>
      </c>
      <c r="AF394" s="196">
        <f t="shared" si="89"/>
        <v>0</v>
      </c>
    </row>
    <row r="395" spans="1:32" ht="12.95" hidden="1" customHeight="1">
      <c r="A395" s="190">
        <v>62645</v>
      </c>
      <c r="B395" s="191">
        <v>43566</v>
      </c>
      <c r="C395" s="190" t="s">
        <v>457</v>
      </c>
      <c r="D395" s="190" t="s">
        <v>579</v>
      </c>
      <c r="E395" s="190" t="s">
        <v>346</v>
      </c>
      <c r="F395" s="190" t="s">
        <v>580</v>
      </c>
      <c r="G395" s="192" t="s">
        <v>581</v>
      </c>
      <c r="H395" s="192" t="s">
        <v>296</v>
      </c>
      <c r="I395" s="192" t="s">
        <v>395</v>
      </c>
      <c r="J395" s="192" t="s">
        <v>350</v>
      </c>
      <c r="K395" s="190" t="s">
        <v>351</v>
      </c>
      <c r="L395" s="190" t="s">
        <v>352</v>
      </c>
      <c r="M395" s="192" t="s">
        <v>353</v>
      </c>
      <c r="N395" s="193">
        <v>6</v>
      </c>
      <c r="O395" s="193">
        <v>119700.35</v>
      </c>
      <c r="P395" s="194">
        <v>718202.1</v>
      </c>
      <c r="Q395" s="194">
        <v>71820.210000000006</v>
      </c>
      <c r="R395" s="194">
        <v>790022.31</v>
      </c>
      <c r="S395" s="192" t="s">
        <v>354</v>
      </c>
      <c r="T395" s="192" t="s">
        <v>355</v>
      </c>
      <c r="U395" s="190">
        <v>60466</v>
      </c>
      <c r="V395" s="190"/>
      <c r="W395" s="195" t="s">
        <v>356</v>
      </c>
      <c r="X395" s="196" t="str">
        <f>+IFERROR(VLOOKUP($F395,'[2]Chuyển đổi mã'!$A$1:$C$91,3,0),$F395)&amp;AC395</f>
        <v>Big C North320463</v>
      </c>
      <c r="Y395" s="196" t="str">
        <f>IFERROR(VLOOKUP($F395,'[2]Chuyển đổi mã'!$A$1:$C$184,3,0),F395)</f>
        <v>Big C North</v>
      </c>
      <c r="Z395" s="196" t="str">
        <f>VLOOKUP($G395,'[2]Thông tin NPP'!$B:$D,3,0)</f>
        <v>BIG C North</v>
      </c>
      <c r="AA395" s="196" t="str">
        <f t="shared" si="85"/>
        <v>Na 8,5g</v>
      </c>
      <c r="AB395" s="196" t="str">
        <f>IFERROR(VLOOKUP(DAY(B395),'[2]Chuyển đổi mã'!$F$1:$G$32,2,0),0)</f>
        <v>W2</v>
      </c>
      <c r="AC395" s="196" t="str">
        <f t="shared" si="86"/>
        <v>320463</v>
      </c>
      <c r="AD395" s="196" t="str">
        <f t="shared" si="87"/>
        <v>NPP</v>
      </c>
      <c r="AE395" s="196" t="str">
        <f t="shared" si="88"/>
        <v>NPP320463</v>
      </c>
      <c r="AF395" s="196">
        <f t="shared" si="89"/>
        <v>0</v>
      </c>
    </row>
    <row r="396" spans="1:32" ht="12.95" hidden="1" customHeight="1">
      <c r="A396" s="190">
        <v>62645</v>
      </c>
      <c r="B396" s="191">
        <v>43566</v>
      </c>
      <c r="C396" s="190" t="s">
        <v>457</v>
      </c>
      <c r="D396" s="190" t="s">
        <v>579</v>
      </c>
      <c r="E396" s="190" t="s">
        <v>346</v>
      </c>
      <c r="F396" s="190" t="s">
        <v>580</v>
      </c>
      <c r="G396" s="192" t="s">
        <v>581</v>
      </c>
      <c r="H396" s="192" t="s">
        <v>296</v>
      </c>
      <c r="I396" s="192" t="s">
        <v>395</v>
      </c>
      <c r="J396" s="192" t="s">
        <v>350</v>
      </c>
      <c r="K396" s="190" t="s">
        <v>351</v>
      </c>
      <c r="L396" s="190" t="s">
        <v>387</v>
      </c>
      <c r="M396" s="192" t="s">
        <v>388</v>
      </c>
      <c r="N396" s="193">
        <v>7</v>
      </c>
      <c r="O396" s="193">
        <v>355455</v>
      </c>
      <c r="P396" s="194">
        <v>2488185</v>
      </c>
      <c r="Q396" s="194">
        <v>248818.5</v>
      </c>
      <c r="R396" s="194">
        <v>2737003.5</v>
      </c>
      <c r="S396" s="192"/>
      <c r="T396" s="192" t="s">
        <v>310</v>
      </c>
      <c r="U396" s="190">
        <v>60466</v>
      </c>
      <c r="V396" s="190"/>
      <c r="W396" s="195" t="s">
        <v>356</v>
      </c>
      <c r="X396" s="196" t="str">
        <f>+IFERROR(VLOOKUP($F396,'[2]Chuyển đổi mã'!$A$1:$C$91,3,0),$F396)&amp;AC396</f>
        <v>Big C North323620</v>
      </c>
      <c r="Y396" s="196" t="str">
        <f>IFERROR(VLOOKUP($F396,'[2]Chuyển đổi mã'!$A$1:$C$184,3,0),F396)</f>
        <v>Big C North</v>
      </c>
      <c r="Z396" s="196" t="str">
        <f>VLOOKUP($G396,'[2]Thông tin NPP'!$B:$D,3,0)</f>
        <v>BIG C North</v>
      </c>
      <c r="AA396" s="196" t="str">
        <f t="shared" si="85"/>
        <v>Ahh 16g</v>
      </c>
      <c r="AB396" s="196" t="str">
        <f>IFERROR(VLOOKUP(DAY(B396),'[2]Chuyển đổi mã'!$F$1:$G$32,2,0),0)</f>
        <v>W2</v>
      </c>
      <c r="AC396" s="196" t="str">
        <f t="shared" si="86"/>
        <v>323620</v>
      </c>
      <c r="AD396" s="196" t="str">
        <f t="shared" si="87"/>
        <v>NPP</v>
      </c>
      <c r="AE396" s="196" t="str">
        <f t="shared" si="88"/>
        <v>NPP323620</v>
      </c>
      <c r="AF396" s="196">
        <f t="shared" si="89"/>
        <v>0</v>
      </c>
    </row>
    <row r="397" spans="1:32" ht="12.95" hidden="1" customHeight="1">
      <c r="A397" s="190">
        <v>62645</v>
      </c>
      <c r="B397" s="191">
        <v>43566</v>
      </c>
      <c r="C397" s="190" t="s">
        <v>457</v>
      </c>
      <c r="D397" s="190" t="s">
        <v>579</v>
      </c>
      <c r="E397" s="190" t="s">
        <v>346</v>
      </c>
      <c r="F397" s="190" t="s">
        <v>580</v>
      </c>
      <c r="G397" s="192" t="s">
        <v>581</v>
      </c>
      <c r="H397" s="192" t="s">
        <v>296</v>
      </c>
      <c r="I397" s="192" t="s">
        <v>395</v>
      </c>
      <c r="J397" s="192" t="s">
        <v>350</v>
      </c>
      <c r="K397" s="190" t="s">
        <v>351</v>
      </c>
      <c r="L397" s="190" t="s">
        <v>361</v>
      </c>
      <c r="M397" s="192" t="s">
        <v>362</v>
      </c>
      <c r="N397" s="193">
        <v>4</v>
      </c>
      <c r="O397" s="193">
        <v>313636</v>
      </c>
      <c r="P397" s="194">
        <v>1254544</v>
      </c>
      <c r="Q397" s="194">
        <v>125454.39999999999</v>
      </c>
      <c r="R397" s="194">
        <v>1379998.4</v>
      </c>
      <c r="S397" s="192"/>
      <c r="T397" s="192" t="s">
        <v>310</v>
      </c>
      <c r="U397" s="190">
        <v>60466</v>
      </c>
      <c r="V397" s="190"/>
      <c r="W397" s="195" t="s">
        <v>356</v>
      </c>
      <c r="X397" s="196" t="str">
        <f>+IFERROR(VLOOKUP($F397,'[2]Chuyển đổi mã'!$A$1:$C$91,3,0),$F397)&amp;AC397</f>
        <v>Big C North331017</v>
      </c>
      <c r="Y397" s="196" t="str">
        <f>IFERROR(VLOOKUP($F397,'[2]Chuyển đổi mã'!$A$1:$C$184,3,0),F397)</f>
        <v>Big C North</v>
      </c>
      <c r="Z397" s="196" t="str">
        <f>VLOOKUP($G397,'[2]Thông tin NPP'!$B:$D,3,0)</f>
        <v>BIG C North</v>
      </c>
      <c r="AA397" s="196" t="str">
        <f t="shared" si="85"/>
        <v>Richoco Wf</v>
      </c>
      <c r="AB397" s="196" t="str">
        <f>IFERROR(VLOOKUP(DAY(B397),'[2]Chuyển đổi mã'!$F$1:$G$32,2,0),0)</f>
        <v>W2</v>
      </c>
      <c r="AC397" s="196" t="str">
        <f t="shared" si="86"/>
        <v>331017</v>
      </c>
      <c r="AD397" s="196" t="str">
        <f t="shared" si="87"/>
        <v>NPP</v>
      </c>
      <c r="AE397" s="196" t="str">
        <f t="shared" si="88"/>
        <v>NPP331017</v>
      </c>
      <c r="AF397" s="196">
        <f t="shared" si="89"/>
        <v>0</v>
      </c>
    </row>
    <row r="398" spans="1:32" ht="12.95" hidden="1" customHeight="1">
      <c r="A398" s="190">
        <v>62645</v>
      </c>
      <c r="B398" s="191">
        <v>43566</v>
      </c>
      <c r="C398" s="190" t="s">
        <v>457</v>
      </c>
      <c r="D398" s="190" t="s">
        <v>579</v>
      </c>
      <c r="E398" s="190" t="s">
        <v>346</v>
      </c>
      <c r="F398" s="190" t="s">
        <v>580</v>
      </c>
      <c r="G398" s="192" t="s">
        <v>581</v>
      </c>
      <c r="H398" s="192" t="s">
        <v>296</v>
      </c>
      <c r="I398" s="192" t="s">
        <v>395</v>
      </c>
      <c r="J398" s="192" t="s">
        <v>350</v>
      </c>
      <c r="K398" s="190" t="s">
        <v>351</v>
      </c>
      <c r="L398" s="190" t="s">
        <v>363</v>
      </c>
      <c r="M398" s="192" t="s">
        <v>364</v>
      </c>
      <c r="N398" s="193">
        <v>1</v>
      </c>
      <c r="O398" s="193">
        <v>334545</v>
      </c>
      <c r="P398" s="194">
        <v>334545</v>
      </c>
      <c r="Q398" s="194">
        <v>33454.5</v>
      </c>
      <c r="R398" s="194">
        <v>367999.5</v>
      </c>
      <c r="S398" s="192"/>
      <c r="T398" s="192" t="s">
        <v>310</v>
      </c>
      <c r="U398" s="190">
        <v>60466</v>
      </c>
      <c r="V398" s="190"/>
      <c r="W398" s="195" t="s">
        <v>356</v>
      </c>
      <c r="X398" s="196" t="str">
        <f>+IFERROR(VLOOKUP($F398,'[2]Chuyển đổi mã'!$A$1:$C$91,3,0),$F398)&amp;AC398</f>
        <v>Big C North323708</v>
      </c>
      <c r="Y398" s="196" t="str">
        <f>IFERROR(VLOOKUP($F398,'[2]Chuyển đổi mã'!$A$1:$C$184,3,0),F398)</f>
        <v>Big C North</v>
      </c>
      <c r="Z398" s="196" t="str">
        <f>VLOOKUP($G398,'[2]Thông tin NPP'!$B:$D,3,0)</f>
        <v>BIG C North</v>
      </c>
      <c r="AA398" s="196" t="str">
        <f t="shared" si="85"/>
        <v>Nextar Bro</v>
      </c>
      <c r="AB398" s="196" t="str">
        <f>IFERROR(VLOOKUP(DAY(B398),'[2]Chuyển đổi mã'!$F$1:$G$32,2,0),0)</f>
        <v>W2</v>
      </c>
      <c r="AC398" s="196" t="str">
        <f t="shared" si="86"/>
        <v>323708</v>
      </c>
      <c r="AD398" s="196" t="str">
        <f t="shared" si="87"/>
        <v>NPP</v>
      </c>
      <c r="AE398" s="196" t="str">
        <f t="shared" si="88"/>
        <v>NPP323708</v>
      </c>
      <c r="AF398" s="196">
        <f t="shared" si="89"/>
        <v>0</v>
      </c>
    </row>
    <row r="399" spans="1:32" ht="12.95" hidden="1" customHeight="1">
      <c r="A399" s="190">
        <v>62646</v>
      </c>
      <c r="B399" s="191">
        <v>43566</v>
      </c>
      <c r="C399" s="190" t="s">
        <v>457</v>
      </c>
      <c r="D399" s="190" t="s">
        <v>582</v>
      </c>
      <c r="E399" s="190" t="s">
        <v>346</v>
      </c>
      <c r="F399" s="190" t="s">
        <v>583</v>
      </c>
      <c r="G399" s="192" t="s">
        <v>584</v>
      </c>
      <c r="H399" s="192" t="s">
        <v>296</v>
      </c>
      <c r="I399" s="192" t="s">
        <v>395</v>
      </c>
      <c r="J399" s="192" t="s">
        <v>350</v>
      </c>
      <c r="K399" s="190" t="s">
        <v>351</v>
      </c>
      <c r="L399" s="190" t="s">
        <v>352</v>
      </c>
      <c r="M399" s="192" t="s">
        <v>353</v>
      </c>
      <c r="N399" s="193">
        <v>5</v>
      </c>
      <c r="O399" s="193">
        <v>119700.35</v>
      </c>
      <c r="P399" s="194">
        <v>598501.75</v>
      </c>
      <c r="Q399" s="194">
        <v>59850.175000000003</v>
      </c>
      <c r="R399" s="194">
        <v>658351.92500000005</v>
      </c>
      <c r="S399" s="192" t="s">
        <v>354</v>
      </c>
      <c r="T399" s="192" t="s">
        <v>355</v>
      </c>
      <c r="U399" s="190">
        <v>60461</v>
      </c>
      <c r="V399" s="190"/>
      <c r="W399" s="195" t="s">
        <v>356</v>
      </c>
      <c r="X399" s="196" t="str">
        <f>+IFERROR(VLOOKUP($F399,'[2]Chuyển đổi mã'!$A$1:$C$91,3,0),$F399)&amp;AC399</f>
        <v>Big C North320463</v>
      </c>
      <c r="Y399" s="196" t="str">
        <f>IFERROR(VLOOKUP($F399,'[2]Chuyển đổi mã'!$A$1:$C$184,3,0),F399)</f>
        <v>Big C North</v>
      </c>
      <c r="Z399" s="196" t="str">
        <f>VLOOKUP($G399,'[2]Thông tin NPP'!$B:$D,3,0)</f>
        <v>BIG C North</v>
      </c>
      <c r="AA399" s="196" t="str">
        <f t="shared" si="85"/>
        <v>Na 8,5g</v>
      </c>
      <c r="AB399" s="196" t="str">
        <f>IFERROR(VLOOKUP(DAY(B399),'[2]Chuyển đổi mã'!$F$1:$G$32,2,0),0)</f>
        <v>W2</v>
      </c>
      <c r="AC399" s="196" t="str">
        <f t="shared" si="86"/>
        <v>320463</v>
      </c>
      <c r="AD399" s="196" t="str">
        <f t="shared" si="87"/>
        <v>NPP</v>
      </c>
      <c r="AE399" s="196" t="str">
        <f t="shared" si="88"/>
        <v>NPP320463</v>
      </c>
      <c r="AF399" s="196">
        <f t="shared" si="89"/>
        <v>0</v>
      </c>
    </row>
    <row r="400" spans="1:32" ht="12.95" hidden="1" customHeight="1">
      <c r="A400" s="190">
        <v>62646</v>
      </c>
      <c r="B400" s="191">
        <v>43566</v>
      </c>
      <c r="C400" s="190" t="s">
        <v>457</v>
      </c>
      <c r="D400" s="190" t="s">
        <v>582</v>
      </c>
      <c r="E400" s="190" t="s">
        <v>346</v>
      </c>
      <c r="F400" s="190" t="s">
        <v>583</v>
      </c>
      <c r="G400" s="192" t="s">
        <v>584</v>
      </c>
      <c r="H400" s="192" t="s">
        <v>296</v>
      </c>
      <c r="I400" s="192" t="s">
        <v>395</v>
      </c>
      <c r="J400" s="192" t="s">
        <v>350</v>
      </c>
      <c r="K400" s="190" t="s">
        <v>351</v>
      </c>
      <c r="L400" s="190" t="s">
        <v>357</v>
      </c>
      <c r="M400" s="192" t="s">
        <v>358</v>
      </c>
      <c r="N400" s="193">
        <v>5</v>
      </c>
      <c r="O400" s="193">
        <v>213273</v>
      </c>
      <c r="P400" s="194">
        <v>1066365</v>
      </c>
      <c r="Q400" s="194">
        <v>106636.5</v>
      </c>
      <c r="R400" s="194">
        <v>1173001.5</v>
      </c>
      <c r="S400" s="192"/>
      <c r="T400" s="192" t="s">
        <v>310</v>
      </c>
      <c r="U400" s="190">
        <v>60461</v>
      </c>
      <c r="V400" s="190"/>
      <c r="W400" s="195" t="s">
        <v>356</v>
      </c>
      <c r="X400" s="196" t="str">
        <f>+IFERROR(VLOOKUP($F400,'[2]Chuyển đổi mã'!$A$1:$C$91,3,0),$F400)&amp;AC400</f>
        <v>Big C North323555</v>
      </c>
      <c r="Y400" s="196" t="str">
        <f>IFERROR(VLOOKUP($F400,'[2]Chuyển đổi mã'!$A$1:$C$184,3,0),F400)</f>
        <v>Big C North</v>
      </c>
      <c r="Z400" s="196" t="str">
        <f>VLOOKUP($G400,'[2]Thông tin NPP'!$B:$D,3,0)</f>
        <v>BIG C North</v>
      </c>
      <c r="AA400" s="196" t="str">
        <f t="shared" si="85"/>
        <v>Na 17g - M</v>
      </c>
      <c r="AB400" s="196" t="str">
        <f>IFERROR(VLOOKUP(DAY(B400),'[2]Chuyển đổi mã'!$F$1:$G$32,2,0),0)</f>
        <v>W2</v>
      </c>
      <c r="AC400" s="196" t="str">
        <f t="shared" si="86"/>
        <v>323555</v>
      </c>
      <c r="AD400" s="196" t="str">
        <f t="shared" si="87"/>
        <v>NPP</v>
      </c>
      <c r="AE400" s="196" t="str">
        <f t="shared" si="88"/>
        <v>NPP323555</v>
      </c>
      <c r="AF400" s="196">
        <f t="shared" si="89"/>
        <v>0</v>
      </c>
    </row>
    <row r="401" spans="1:32" ht="12.95" hidden="1" customHeight="1">
      <c r="A401" s="190">
        <v>62646</v>
      </c>
      <c r="B401" s="191">
        <v>43566</v>
      </c>
      <c r="C401" s="190" t="s">
        <v>457</v>
      </c>
      <c r="D401" s="190" t="s">
        <v>582</v>
      </c>
      <c r="E401" s="190" t="s">
        <v>346</v>
      </c>
      <c r="F401" s="190" t="s">
        <v>583</v>
      </c>
      <c r="G401" s="192" t="s">
        <v>584</v>
      </c>
      <c r="H401" s="192" t="s">
        <v>296</v>
      </c>
      <c r="I401" s="192" t="s">
        <v>395</v>
      </c>
      <c r="J401" s="192" t="s">
        <v>350</v>
      </c>
      <c r="K401" s="190" t="s">
        <v>351</v>
      </c>
      <c r="L401" s="190" t="s">
        <v>359</v>
      </c>
      <c r="M401" s="192" t="s">
        <v>360</v>
      </c>
      <c r="N401" s="193">
        <v>5</v>
      </c>
      <c r="O401" s="193">
        <v>313636</v>
      </c>
      <c r="P401" s="194">
        <v>1568180</v>
      </c>
      <c r="Q401" s="194">
        <v>156818</v>
      </c>
      <c r="R401" s="194">
        <v>1724998</v>
      </c>
      <c r="S401" s="192"/>
      <c r="T401" s="192" t="s">
        <v>310</v>
      </c>
      <c r="U401" s="190">
        <v>60461</v>
      </c>
      <c r="V401" s="190"/>
      <c r="W401" s="195" t="s">
        <v>356</v>
      </c>
      <c r="X401" s="196" t="str">
        <f>+IFERROR(VLOOKUP($F401,'[2]Chuyển đổi mã'!$A$1:$C$91,3,0),$F401)&amp;AC401</f>
        <v>Big C North320445</v>
      </c>
      <c r="Y401" s="196" t="str">
        <f>IFERROR(VLOOKUP($F401,'[2]Chuyển đổi mã'!$A$1:$C$184,3,0),F401)</f>
        <v>Big C North</v>
      </c>
      <c r="Z401" s="196" t="str">
        <f>VLOOKUP($G401,'[2]Thông tin NPP'!$B:$D,3,0)</f>
        <v>BIG C North</v>
      </c>
      <c r="AA401" s="196" t="str">
        <f t="shared" si="85"/>
        <v>Na 58g</v>
      </c>
      <c r="AB401" s="196" t="str">
        <f>IFERROR(VLOOKUP(DAY(B401),'[2]Chuyển đổi mã'!$F$1:$G$32,2,0),0)</f>
        <v>W2</v>
      </c>
      <c r="AC401" s="196" t="str">
        <f t="shared" si="86"/>
        <v>320445</v>
      </c>
      <c r="AD401" s="196" t="str">
        <f t="shared" si="87"/>
        <v>NPP</v>
      </c>
      <c r="AE401" s="196" t="str">
        <f t="shared" si="88"/>
        <v>NPP320445</v>
      </c>
      <c r="AF401" s="196">
        <f t="shared" si="89"/>
        <v>0</v>
      </c>
    </row>
    <row r="402" spans="1:32" ht="12.95" hidden="1" customHeight="1">
      <c r="A402" s="190">
        <v>62646</v>
      </c>
      <c r="B402" s="191">
        <v>43566</v>
      </c>
      <c r="C402" s="190" t="s">
        <v>457</v>
      </c>
      <c r="D402" s="190" t="s">
        <v>582</v>
      </c>
      <c r="E402" s="190" t="s">
        <v>346</v>
      </c>
      <c r="F402" s="190" t="s">
        <v>583</v>
      </c>
      <c r="G402" s="192" t="s">
        <v>584</v>
      </c>
      <c r="H402" s="192" t="s">
        <v>296</v>
      </c>
      <c r="I402" s="192" t="s">
        <v>395</v>
      </c>
      <c r="J402" s="192" t="s">
        <v>350</v>
      </c>
      <c r="K402" s="190" t="s">
        <v>351</v>
      </c>
      <c r="L402" s="190" t="s">
        <v>361</v>
      </c>
      <c r="M402" s="192" t="s">
        <v>362</v>
      </c>
      <c r="N402" s="193">
        <v>5</v>
      </c>
      <c r="O402" s="193">
        <v>313636</v>
      </c>
      <c r="P402" s="194">
        <v>1568180</v>
      </c>
      <c r="Q402" s="194">
        <v>156818</v>
      </c>
      <c r="R402" s="194">
        <v>1724998</v>
      </c>
      <c r="S402" s="192"/>
      <c r="T402" s="192" t="s">
        <v>310</v>
      </c>
      <c r="U402" s="190">
        <v>60461</v>
      </c>
      <c r="V402" s="190"/>
      <c r="W402" s="195" t="s">
        <v>356</v>
      </c>
      <c r="X402" s="196" t="str">
        <f>+IFERROR(VLOOKUP($F402,'[2]Chuyển đổi mã'!$A$1:$C$91,3,0),$F402)&amp;AC402</f>
        <v>Big C North331017</v>
      </c>
      <c r="Y402" s="196" t="str">
        <f>IFERROR(VLOOKUP($F402,'[2]Chuyển đổi mã'!$A$1:$C$184,3,0),F402)</f>
        <v>Big C North</v>
      </c>
      <c r="Z402" s="196" t="str">
        <f>VLOOKUP($G402,'[2]Thông tin NPP'!$B:$D,3,0)</f>
        <v>BIG C North</v>
      </c>
      <c r="AA402" s="196" t="str">
        <f t="shared" si="85"/>
        <v>Richoco Wf</v>
      </c>
      <c r="AB402" s="196" t="str">
        <f>IFERROR(VLOOKUP(DAY(B402),'[2]Chuyển đổi mã'!$F$1:$G$32,2,0),0)</f>
        <v>W2</v>
      </c>
      <c r="AC402" s="196" t="str">
        <f t="shared" si="86"/>
        <v>331017</v>
      </c>
      <c r="AD402" s="196" t="str">
        <f t="shared" si="87"/>
        <v>NPP</v>
      </c>
      <c r="AE402" s="196" t="str">
        <f t="shared" si="88"/>
        <v>NPP331017</v>
      </c>
      <c r="AF402" s="196">
        <f t="shared" si="89"/>
        <v>0</v>
      </c>
    </row>
    <row r="403" spans="1:32" ht="12.95" customHeight="1">
      <c r="A403" s="190">
        <v>62647</v>
      </c>
      <c r="B403" s="191">
        <v>43566</v>
      </c>
      <c r="C403" s="190" t="s">
        <v>457</v>
      </c>
      <c r="D403" s="190" t="s">
        <v>585</v>
      </c>
      <c r="E403" s="190" t="s">
        <v>346</v>
      </c>
      <c r="F403" s="190" t="s">
        <v>499</v>
      </c>
      <c r="G403" s="192" t="s">
        <v>500</v>
      </c>
      <c r="H403" s="192" t="s">
        <v>296</v>
      </c>
      <c r="I403" s="192" t="s">
        <v>349</v>
      </c>
      <c r="J403" s="192" t="s">
        <v>350</v>
      </c>
      <c r="K403" s="190" t="s">
        <v>351</v>
      </c>
      <c r="L403" s="190" t="s">
        <v>352</v>
      </c>
      <c r="M403" s="192" t="s">
        <v>353</v>
      </c>
      <c r="N403" s="193">
        <v>15</v>
      </c>
      <c r="O403" s="193">
        <v>119700.35</v>
      </c>
      <c r="P403" s="194">
        <v>1795505.25</v>
      </c>
      <c r="Q403" s="194">
        <v>179550.52499999999</v>
      </c>
      <c r="R403" s="194">
        <v>1975055.7749999999</v>
      </c>
      <c r="S403" s="192" t="s">
        <v>354</v>
      </c>
      <c r="T403" s="192" t="s">
        <v>355</v>
      </c>
      <c r="U403" s="190">
        <v>60462</v>
      </c>
      <c r="V403" s="190"/>
      <c r="W403" s="195" t="s">
        <v>356</v>
      </c>
      <c r="X403" s="196" t="str">
        <f>+IFERROR(VLOOKUP($F403,'[2]Chuyển đổi mã'!$A$1:$C$91,3,0),$F403)&amp;AC403</f>
        <v>Big C South320463</v>
      </c>
      <c r="Y403" s="196" t="str">
        <f>IFERROR(VLOOKUP($F403,'[2]Chuyển đổi mã'!$A$1:$C$184,3,0),F403)</f>
        <v>Big C South</v>
      </c>
      <c r="Z403" s="196" t="str">
        <f>VLOOKUP($G403,'[2]Thông tin NPP'!$B:$D,3,0)</f>
        <v>Big C South</v>
      </c>
      <c r="AA403" s="196" t="str">
        <f t="shared" si="85"/>
        <v>Na 8,5g</v>
      </c>
      <c r="AB403" s="196" t="str">
        <f>IFERROR(VLOOKUP(DAY(B403),'[2]Chuyển đổi mã'!$F$1:$G$32,2,0),0)</f>
        <v>W2</v>
      </c>
      <c r="AC403" s="196" t="str">
        <f t="shared" si="86"/>
        <v>320463</v>
      </c>
      <c r="AD403" s="196" t="str">
        <f t="shared" si="87"/>
        <v>NPP</v>
      </c>
      <c r="AE403" s="196" t="str">
        <f t="shared" si="88"/>
        <v>NPP320463</v>
      </c>
      <c r="AF403" s="196">
        <f t="shared" si="89"/>
        <v>0</v>
      </c>
    </row>
    <row r="404" spans="1:32" ht="12.95" customHeight="1">
      <c r="A404" s="190">
        <v>62647</v>
      </c>
      <c r="B404" s="191">
        <v>43566</v>
      </c>
      <c r="C404" s="190" t="s">
        <v>457</v>
      </c>
      <c r="D404" s="190" t="s">
        <v>585</v>
      </c>
      <c r="E404" s="190" t="s">
        <v>346</v>
      </c>
      <c r="F404" s="190" t="s">
        <v>499</v>
      </c>
      <c r="G404" s="192" t="s">
        <v>500</v>
      </c>
      <c r="H404" s="192" t="s">
        <v>296</v>
      </c>
      <c r="I404" s="192" t="s">
        <v>349</v>
      </c>
      <c r="J404" s="192" t="s">
        <v>350</v>
      </c>
      <c r="K404" s="190" t="s">
        <v>351</v>
      </c>
      <c r="L404" s="190" t="s">
        <v>357</v>
      </c>
      <c r="M404" s="192" t="s">
        <v>358</v>
      </c>
      <c r="N404" s="193">
        <v>3</v>
      </c>
      <c r="O404" s="193">
        <v>213273</v>
      </c>
      <c r="P404" s="194">
        <v>639819</v>
      </c>
      <c r="Q404" s="194">
        <v>63981.9</v>
      </c>
      <c r="R404" s="194">
        <v>703800.9</v>
      </c>
      <c r="S404" s="192"/>
      <c r="T404" s="192" t="s">
        <v>310</v>
      </c>
      <c r="U404" s="190">
        <v>60462</v>
      </c>
      <c r="V404" s="190"/>
      <c r="W404" s="195" t="s">
        <v>356</v>
      </c>
      <c r="X404" s="196" t="str">
        <f>+IFERROR(VLOOKUP($F404,'[2]Chuyển đổi mã'!$A$1:$C$91,3,0),$F404)&amp;AC404</f>
        <v>Big C South323555</v>
      </c>
      <c r="Y404" s="196" t="str">
        <f>IFERROR(VLOOKUP($F404,'[2]Chuyển đổi mã'!$A$1:$C$184,3,0),F404)</f>
        <v>Big C South</v>
      </c>
      <c r="Z404" s="196" t="str">
        <f>VLOOKUP($G404,'[2]Thông tin NPP'!$B:$D,3,0)</f>
        <v>Big C South</v>
      </c>
      <c r="AA404" s="196" t="str">
        <f t="shared" si="85"/>
        <v>Na 17g - M</v>
      </c>
      <c r="AB404" s="196" t="str">
        <f>IFERROR(VLOOKUP(DAY(B404),'[2]Chuyển đổi mã'!$F$1:$G$32,2,0),0)</f>
        <v>W2</v>
      </c>
      <c r="AC404" s="196" t="str">
        <f t="shared" si="86"/>
        <v>323555</v>
      </c>
      <c r="AD404" s="196" t="str">
        <f t="shared" si="87"/>
        <v>NPP</v>
      </c>
      <c r="AE404" s="196" t="str">
        <f t="shared" si="88"/>
        <v>NPP323555</v>
      </c>
      <c r="AF404" s="196">
        <f t="shared" si="89"/>
        <v>0</v>
      </c>
    </row>
    <row r="405" spans="1:32" ht="12.95" customHeight="1">
      <c r="A405" s="190">
        <v>62647</v>
      </c>
      <c r="B405" s="191">
        <v>43566</v>
      </c>
      <c r="C405" s="190" t="s">
        <v>457</v>
      </c>
      <c r="D405" s="190" t="s">
        <v>585</v>
      </c>
      <c r="E405" s="190" t="s">
        <v>346</v>
      </c>
      <c r="F405" s="190" t="s">
        <v>499</v>
      </c>
      <c r="G405" s="192" t="s">
        <v>500</v>
      </c>
      <c r="H405" s="192" t="s">
        <v>296</v>
      </c>
      <c r="I405" s="192" t="s">
        <v>349</v>
      </c>
      <c r="J405" s="192" t="s">
        <v>350</v>
      </c>
      <c r="K405" s="190" t="s">
        <v>351</v>
      </c>
      <c r="L405" s="190" t="s">
        <v>359</v>
      </c>
      <c r="M405" s="192" t="s">
        <v>360</v>
      </c>
      <c r="N405" s="193">
        <v>3</v>
      </c>
      <c r="O405" s="193">
        <v>313636</v>
      </c>
      <c r="P405" s="194">
        <v>940908</v>
      </c>
      <c r="Q405" s="194">
        <v>94090.8</v>
      </c>
      <c r="R405" s="194">
        <v>1034998.8</v>
      </c>
      <c r="S405" s="192"/>
      <c r="T405" s="192" t="s">
        <v>310</v>
      </c>
      <c r="U405" s="190">
        <v>60462</v>
      </c>
      <c r="V405" s="190"/>
      <c r="W405" s="195" t="s">
        <v>356</v>
      </c>
      <c r="X405" s="196" t="str">
        <f>+IFERROR(VLOOKUP($F405,'[2]Chuyển đổi mã'!$A$1:$C$91,3,0),$F405)&amp;AC405</f>
        <v>Big C South320445</v>
      </c>
      <c r="Y405" s="196" t="str">
        <f>IFERROR(VLOOKUP($F405,'[2]Chuyển đổi mã'!$A$1:$C$184,3,0),F405)</f>
        <v>Big C South</v>
      </c>
      <c r="Z405" s="196" t="str">
        <f>VLOOKUP($G405,'[2]Thông tin NPP'!$B:$D,3,0)</f>
        <v>Big C South</v>
      </c>
      <c r="AA405" s="196" t="str">
        <f t="shared" si="85"/>
        <v>Na 58g</v>
      </c>
      <c r="AB405" s="196" t="str">
        <f>IFERROR(VLOOKUP(DAY(B405),'[2]Chuyển đổi mã'!$F$1:$G$32,2,0),0)</f>
        <v>W2</v>
      </c>
      <c r="AC405" s="196" t="str">
        <f t="shared" si="86"/>
        <v>320445</v>
      </c>
      <c r="AD405" s="196" t="str">
        <f t="shared" si="87"/>
        <v>NPP</v>
      </c>
      <c r="AE405" s="196" t="str">
        <f t="shared" si="88"/>
        <v>NPP320445</v>
      </c>
      <c r="AF405" s="196">
        <f t="shared" si="89"/>
        <v>0</v>
      </c>
    </row>
    <row r="406" spans="1:32" ht="12.95" customHeight="1">
      <c r="A406" s="190">
        <v>62647</v>
      </c>
      <c r="B406" s="191">
        <v>43566</v>
      </c>
      <c r="C406" s="190" t="s">
        <v>457</v>
      </c>
      <c r="D406" s="190" t="s">
        <v>585</v>
      </c>
      <c r="E406" s="190" t="s">
        <v>346</v>
      </c>
      <c r="F406" s="190" t="s">
        <v>499</v>
      </c>
      <c r="G406" s="192" t="s">
        <v>500</v>
      </c>
      <c r="H406" s="192" t="s">
        <v>296</v>
      </c>
      <c r="I406" s="192" t="s">
        <v>349</v>
      </c>
      <c r="J406" s="192" t="s">
        <v>350</v>
      </c>
      <c r="K406" s="190" t="s">
        <v>351</v>
      </c>
      <c r="L406" s="190" t="s">
        <v>363</v>
      </c>
      <c r="M406" s="192" t="s">
        <v>364</v>
      </c>
      <c r="N406" s="193">
        <v>3</v>
      </c>
      <c r="O406" s="193">
        <v>334545</v>
      </c>
      <c r="P406" s="194">
        <v>1003635</v>
      </c>
      <c r="Q406" s="194">
        <v>100363.5</v>
      </c>
      <c r="R406" s="194">
        <v>1103998.5</v>
      </c>
      <c r="S406" s="192"/>
      <c r="T406" s="192" t="s">
        <v>310</v>
      </c>
      <c r="U406" s="190">
        <v>60462</v>
      </c>
      <c r="V406" s="190"/>
      <c r="W406" s="195" t="s">
        <v>356</v>
      </c>
      <c r="X406" s="196" t="str">
        <f>+IFERROR(VLOOKUP($F406,'[2]Chuyển đổi mã'!$A$1:$C$91,3,0),$F406)&amp;AC406</f>
        <v>Big C South323708</v>
      </c>
      <c r="Y406" s="196" t="str">
        <f>IFERROR(VLOOKUP($F406,'[2]Chuyển đổi mã'!$A$1:$C$184,3,0),F406)</f>
        <v>Big C South</v>
      </c>
      <c r="Z406" s="196" t="str">
        <f>VLOOKUP($G406,'[2]Thông tin NPP'!$B:$D,3,0)</f>
        <v>Big C South</v>
      </c>
      <c r="AA406" s="196" t="str">
        <f t="shared" si="85"/>
        <v>Nextar Bro</v>
      </c>
      <c r="AB406" s="196" t="str">
        <f>IFERROR(VLOOKUP(DAY(B406),'[2]Chuyển đổi mã'!$F$1:$G$32,2,0),0)</f>
        <v>W2</v>
      </c>
      <c r="AC406" s="196" t="str">
        <f t="shared" si="86"/>
        <v>323708</v>
      </c>
      <c r="AD406" s="196" t="str">
        <f t="shared" si="87"/>
        <v>NPP</v>
      </c>
      <c r="AE406" s="196" t="str">
        <f t="shared" si="88"/>
        <v>NPP323708</v>
      </c>
      <c r="AF406" s="196">
        <f t="shared" si="89"/>
        <v>0</v>
      </c>
    </row>
    <row r="407" spans="1:32" ht="12.95" hidden="1" customHeight="1">
      <c r="A407" s="190">
        <v>62648</v>
      </c>
      <c r="B407" s="191">
        <v>43566</v>
      </c>
      <c r="C407" s="190" t="s">
        <v>457</v>
      </c>
      <c r="D407" s="190" t="s">
        <v>586</v>
      </c>
      <c r="E407" s="190" t="s">
        <v>346</v>
      </c>
      <c r="F407" s="190" t="s">
        <v>397</v>
      </c>
      <c r="G407" s="192" t="s">
        <v>398</v>
      </c>
      <c r="H407" s="192" t="s">
        <v>296</v>
      </c>
      <c r="I407" s="192" t="s">
        <v>395</v>
      </c>
      <c r="J407" s="192" t="s">
        <v>350</v>
      </c>
      <c r="K407" s="190" t="s">
        <v>351</v>
      </c>
      <c r="L407" s="190" t="s">
        <v>387</v>
      </c>
      <c r="M407" s="192" t="s">
        <v>388</v>
      </c>
      <c r="N407" s="193">
        <v>2</v>
      </c>
      <c r="O407" s="193">
        <v>355455</v>
      </c>
      <c r="P407" s="194">
        <v>710910</v>
      </c>
      <c r="Q407" s="194">
        <v>71091</v>
      </c>
      <c r="R407" s="194">
        <v>782001</v>
      </c>
      <c r="S407" s="192"/>
      <c r="T407" s="192" t="s">
        <v>310</v>
      </c>
      <c r="U407" s="190">
        <v>60463</v>
      </c>
      <c r="V407" s="190"/>
      <c r="W407" s="195" t="s">
        <v>356</v>
      </c>
      <c r="X407" s="196" t="str">
        <f>+IFERROR(VLOOKUP($F407,'[2]Chuyển đổi mã'!$A$1:$C$91,3,0),$F407)&amp;AC407</f>
        <v>Big C North323620</v>
      </c>
      <c r="Y407" s="196" t="str">
        <f>IFERROR(VLOOKUP($F407,'[2]Chuyển đổi mã'!$A$1:$C$184,3,0),F407)</f>
        <v>Big C North</v>
      </c>
      <c r="Z407" s="196" t="str">
        <f>VLOOKUP($G407,'[2]Thông tin NPP'!$B:$D,3,0)</f>
        <v>BIG C North</v>
      </c>
      <c r="AA407" s="196" t="str">
        <f t="shared" si="85"/>
        <v>Ahh 16g</v>
      </c>
      <c r="AB407" s="196" t="str">
        <f>IFERROR(VLOOKUP(DAY(B407),'[2]Chuyển đổi mã'!$F$1:$G$32,2,0),0)</f>
        <v>W2</v>
      </c>
      <c r="AC407" s="196" t="str">
        <f t="shared" si="86"/>
        <v>323620</v>
      </c>
      <c r="AD407" s="196" t="str">
        <f t="shared" si="87"/>
        <v>NPP</v>
      </c>
      <c r="AE407" s="196" t="str">
        <f t="shared" si="88"/>
        <v>NPP323620</v>
      </c>
      <c r="AF407" s="196">
        <f t="shared" si="89"/>
        <v>0</v>
      </c>
    </row>
    <row r="408" spans="1:32" ht="12.95" hidden="1" customHeight="1">
      <c r="A408" s="190">
        <v>62648</v>
      </c>
      <c r="B408" s="191">
        <v>43566</v>
      </c>
      <c r="C408" s="190" t="s">
        <v>457</v>
      </c>
      <c r="D408" s="190" t="s">
        <v>586</v>
      </c>
      <c r="E408" s="190" t="s">
        <v>346</v>
      </c>
      <c r="F408" s="190" t="s">
        <v>397</v>
      </c>
      <c r="G408" s="192" t="s">
        <v>398</v>
      </c>
      <c r="H408" s="192" t="s">
        <v>296</v>
      </c>
      <c r="I408" s="192" t="s">
        <v>395</v>
      </c>
      <c r="J408" s="192" t="s">
        <v>350</v>
      </c>
      <c r="K408" s="190" t="s">
        <v>351</v>
      </c>
      <c r="L408" s="190" t="s">
        <v>357</v>
      </c>
      <c r="M408" s="192" t="s">
        <v>358</v>
      </c>
      <c r="N408" s="193">
        <v>1</v>
      </c>
      <c r="O408" s="193">
        <v>213273</v>
      </c>
      <c r="P408" s="194">
        <v>213273</v>
      </c>
      <c r="Q408" s="194">
        <v>21327.3</v>
      </c>
      <c r="R408" s="194">
        <v>234600.3</v>
      </c>
      <c r="S408" s="192"/>
      <c r="T408" s="192" t="s">
        <v>310</v>
      </c>
      <c r="U408" s="190">
        <v>60463</v>
      </c>
      <c r="V408" s="190"/>
      <c r="W408" s="195" t="s">
        <v>356</v>
      </c>
      <c r="X408" s="196" t="str">
        <f>+IFERROR(VLOOKUP($F408,'[2]Chuyển đổi mã'!$A$1:$C$91,3,0),$F408)&amp;AC408</f>
        <v>Big C North323555</v>
      </c>
      <c r="Y408" s="196" t="str">
        <f>IFERROR(VLOOKUP($F408,'[2]Chuyển đổi mã'!$A$1:$C$184,3,0),F408)</f>
        <v>Big C North</v>
      </c>
      <c r="Z408" s="196" t="str">
        <f>VLOOKUP($G408,'[2]Thông tin NPP'!$B:$D,3,0)</f>
        <v>BIG C North</v>
      </c>
      <c r="AA408" s="196" t="str">
        <f t="shared" si="85"/>
        <v>Na 17g - M</v>
      </c>
      <c r="AB408" s="196" t="str">
        <f>IFERROR(VLOOKUP(DAY(B408),'[2]Chuyển đổi mã'!$F$1:$G$32,2,0),0)</f>
        <v>W2</v>
      </c>
      <c r="AC408" s="196" t="str">
        <f t="shared" si="86"/>
        <v>323555</v>
      </c>
      <c r="AD408" s="196" t="str">
        <f t="shared" si="87"/>
        <v>NPP</v>
      </c>
      <c r="AE408" s="196" t="str">
        <f t="shared" si="88"/>
        <v>NPP323555</v>
      </c>
      <c r="AF408" s="196">
        <f t="shared" si="89"/>
        <v>0</v>
      </c>
    </row>
    <row r="409" spans="1:32" ht="12.95" hidden="1" customHeight="1">
      <c r="A409" s="190">
        <v>62648</v>
      </c>
      <c r="B409" s="191">
        <v>43566</v>
      </c>
      <c r="C409" s="190" t="s">
        <v>457</v>
      </c>
      <c r="D409" s="190" t="s">
        <v>586</v>
      </c>
      <c r="E409" s="190" t="s">
        <v>346</v>
      </c>
      <c r="F409" s="190" t="s">
        <v>397</v>
      </c>
      <c r="G409" s="192" t="s">
        <v>398</v>
      </c>
      <c r="H409" s="192" t="s">
        <v>296</v>
      </c>
      <c r="I409" s="192" t="s">
        <v>395</v>
      </c>
      <c r="J409" s="192" t="s">
        <v>350</v>
      </c>
      <c r="K409" s="190" t="s">
        <v>351</v>
      </c>
      <c r="L409" s="190" t="s">
        <v>359</v>
      </c>
      <c r="M409" s="192" t="s">
        <v>360</v>
      </c>
      <c r="N409" s="193">
        <v>5</v>
      </c>
      <c r="O409" s="193">
        <v>313636</v>
      </c>
      <c r="P409" s="194">
        <v>1568180</v>
      </c>
      <c r="Q409" s="194">
        <v>156818</v>
      </c>
      <c r="R409" s="194">
        <v>1724998</v>
      </c>
      <c r="S409" s="192"/>
      <c r="T409" s="192" t="s">
        <v>310</v>
      </c>
      <c r="U409" s="190">
        <v>60463</v>
      </c>
      <c r="V409" s="190"/>
      <c r="W409" s="195" t="s">
        <v>356</v>
      </c>
      <c r="X409" s="196" t="str">
        <f>+IFERROR(VLOOKUP($F409,'[2]Chuyển đổi mã'!$A$1:$C$91,3,0),$F409)&amp;AC409</f>
        <v>Big C North320445</v>
      </c>
      <c r="Y409" s="196" t="str">
        <f>IFERROR(VLOOKUP($F409,'[2]Chuyển đổi mã'!$A$1:$C$184,3,0),F409)</f>
        <v>Big C North</v>
      </c>
      <c r="Z409" s="196" t="str">
        <f>VLOOKUP($G409,'[2]Thông tin NPP'!$B:$D,3,0)</f>
        <v>BIG C North</v>
      </c>
      <c r="AA409" s="196" t="str">
        <f t="shared" si="85"/>
        <v>Na 58g</v>
      </c>
      <c r="AB409" s="196" t="str">
        <f>IFERROR(VLOOKUP(DAY(B409),'[2]Chuyển đổi mã'!$F$1:$G$32,2,0),0)</f>
        <v>W2</v>
      </c>
      <c r="AC409" s="196" t="str">
        <f t="shared" si="86"/>
        <v>320445</v>
      </c>
      <c r="AD409" s="196" t="str">
        <f t="shared" si="87"/>
        <v>NPP</v>
      </c>
      <c r="AE409" s="196" t="str">
        <f t="shared" si="88"/>
        <v>NPP320445</v>
      </c>
      <c r="AF409" s="196">
        <f t="shared" si="89"/>
        <v>0</v>
      </c>
    </row>
    <row r="410" spans="1:32" ht="12.95" hidden="1" customHeight="1">
      <c r="A410" s="190">
        <v>62648</v>
      </c>
      <c r="B410" s="191">
        <v>43566</v>
      </c>
      <c r="C410" s="190" t="s">
        <v>457</v>
      </c>
      <c r="D410" s="190" t="s">
        <v>586</v>
      </c>
      <c r="E410" s="190" t="s">
        <v>346</v>
      </c>
      <c r="F410" s="190" t="s">
        <v>397</v>
      </c>
      <c r="G410" s="192" t="s">
        <v>398</v>
      </c>
      <c r="H410" s="192" t="s">
        <v>296</v>
      </c>
      <c r="I410" s="192" t="s">
        <v>395</v>
      </c>
      <c r="J410" s="192" t="s">
        <v>350</v>
      </c>
      <c r="K410" s="190" t="s">
        <v>351</v>
      </c>
      <c r="L410" s="190" t="s">
        <v>361</v>
      </c>
      <c r="M410" s="192" t="s">
        <v>362</v>
      </c>
      <c r="N410" s="193">
        <v>5</v>
      </c>
      <c r="O410" s="193">
        <v>313636</v>
      </c>
      <c r="P410" s="194">
        <v>1568180</v>
      </c>
      <c r="Q410" s="194">
        <v>156818</v>
      </c>
      <c r="R410" s="194">
        <v>1724998</v>
      </c>
      <c r="S410" s="192"/>
      <c r="T410" s="192" t="s">
        <v>310</v>
      </c>
      <c r="U410" s="190">
        <v>60463</v>
      </c>
      <c r="V410" s="190"/>
      <c r="W410" s="195" t="s">
        <v>356</v>
      </c>
      <c r="X410" s="196" t="str">
        <f>+IFERROR(VLOOKUP($F410,'[2]Chuyển đổi mã'!$A$1:$C$91,3,0),$F410)&amp;AC410</f>
        <v>Big C North331017</v>
      </c>
      <c r="Y410" s="196" t="str">
        <f>IFERROR(VLOOKUP($F410,'[2]Chuyển đổi mã'!$A$1:$C$184,3,0),F410)</f>
        <v>Big C North</v>
      </c>
      <c r="Z410" s="196" t="str">
        <f>VLOOKUP($G410,'[2]Thông tin NPP'!$B:$D,3,0)</f>
        <v>BIG C North</v>
      </c>
      <c r="AA410" s="196" t="str">
        <f t="shared" si="85"/>
        <v>Richoco Wf</v>
      </c>
      <c r="AB410" s="196" t="str">
        <f>IFERROR(VLOOKUP(DAY(B410),'[2]Chuyển đổi mã'!$F$1:$G$32,2,0),0)</f>
        <v>W2</v>
      </c>
      <c r="AC410" s="196" t="str">
        <f t="shared" si="86"/>
        <v>331017</v>
      </c>
      <c r="AD410" s="196" t="str">
        <f t="shared" si="87"/>
        <v>NPP</v>
      </c>
      <c r="AE410" s="196" t="str">
        <f t="shared" si="88"/>
        <v>NPP331017</v>
      </c>
      <c r="AF410" s="196">
        <f t="shared" si="89"/>
        <v>0</v>
      </c>
    </row>
    <row r="411" spans="1:32" ht="12.95" hidden="1" customHeight="1">
      <c r="A411" s="190">
        <v>62648</v>
      </c>
      <c r="B411" s="191">
        <v>43566</v>
      </c>
      <c r="C411" s="190" t="s">
        <v>457</v>
      </c>
      <c r="D411" s="190" t="s">
        <v>586</v>
      </c>
      <c r="E411" s="190" t="s">
        <v>346</v>
      </c>
      <c r="F411" s="190" t="s">
        <v>397</v>
      </c>
      <c r="G411" s="192" t="s">
        <v>398</v>
      </c>
      <c r="H411" s="192" t="s">
        <v>296</v>
      </c>
      <c r="I411" s="192" t="s">
        <v>395</v>
      </c>
      <c r="J411" s="192" t="s">
        <v>350</v>
      </c>
      <c r="K411" s="190" t="s">
        <v>351</v>
      </c>
      <c r="L411" s="190" t="s">
        <v>363</v>
      </c>
      <c r="M411" s="192" t="s">
        <v>364</v>
      </c>
      <c r="N411" s="193">
        <v>3</v>
      </c>
      <c r="O411" s="193">
        <v>334545</v>
      </c>
      <c r="P411" s="194">
        <v>1003635</v>
      </c>
      <c r="Q411" s="194">
        <v>100363.5</v>
      </c>
      <c r="R411" s="194">
        <v>1103998.5</v>
      </c>
      <c r="S411" s="192"/>
      <c r="T411" s="192" t="s">
        <v>310</v>
      </c>
      <c r="U411" s="190">
        <v>60463</v>
      </c>
      <c r="V411" s="190"/>
      <c r="W411" s="195" t="s">
        <v>356</v>
      </c>
      <c r="X411" s="196" t="str">
        <f>+IFERROR(VLOOKUP($F411,'[2]Chuyển đổi mã'!$A$1:$C$91,3,0),$F411)&amp;AC411</f>
        <v>Big C North323708</v>
      </c>
      <c r="Y411" s="196" t="str">
        <f>IFERROR(VLOOKUP($F411,'[2]Chuyển đổi mã'!$A$1:$C$184,3,0),F411)</f>
        <v>Big C North</v>
      </c>
      <c r="Z411" s="196" t="str">
        <f>VLOOKUP($G411,'[2]Thông tin NPP'!$B:$D,3,0)</f>
        <v>BIG C North</v>
      </c>
      <c r="AA411" s="196" t="str">
        <f t="shared" ref="AA411:AA418" si="90">LEFT($M411,10)</f>
        <v>Nextar Bro</v>
      </c>
      <c r="AB411" s="196" t="str">
        <f>IFERROR(VLOOKUP(DAY(B411),'[2]Chuyển đổi mã'!$F$1:$G$32,2,0),0)</f>
        <v>W2</v>
      </c>
      <c r="AC411" s="196" t="str">
        <f t="shared" ref="AC411:AC418" si="91">LEFT(L411,6)</f>
        <v>323708</v>
      </c>
      <c r="AD411" s="196" t="str">
        <f t="shared" ref="AD411:AD418" si="92">LEFT(F411,3)</f>
        <v>NPP</v>
      </c>
      <c r="AE411" s="196" t="str">
        <f t="shared" ref="AE411:AE418" si="93">AD411&amp;AC411</f>
        <v>NPP323708</v>
      </c>
      <c r="AF411" s="196">
        <f t="shared" ref="AF411:AF418" si="94">IF(RIGHT(L411,1)="P","P",0)</f>
        <v>0</v>
      </c>
    </row>
    <row r="412" spans="1:32" ht="12.95" customHeight="1">
      <c r="A412" s="190">
        <v>62650</v>
      </c>
      <c r="B412" s="191">
        <v>43566</v>
      </c>
      <c r="C412" s="190" t="s">
        <v>457</v>
      </c>
      <c r="D412" s="190" t="s">
        <v>587</v>
      </c>
      <c r="E412" s="190" t="s">
        <v>346</v>
      </c>
      <c r="F412" s="190" t="s">
        <v>466</v>
      </c>
      <c r="G412" s="192" t="s">
        <v>467</v>
      </c>
      <c r="H412" s="192" t="s">
        <v>296</v>
      </c>
      <c r="I412" s="192" t="s">
        <v>349</v>
      </c>
      <c r="J412" s="192" t="s">
        <v>350</v>
      </c>
      <c r="K412" s="190" t="s">
        <v>351</v>
      </c>
      <c r="L412" s="190" t="s">
        <v>352</v>
      </c>
      <c r="M412" s="192" t="s">
        <v>353</v>
      </c>
      <c r="N412" s="193">
        <v>5</v>
      </c>
      <c r="O412" s="193">
        <v>119700.35</v>
      </c>
      <c r="P412" s="194">
        <v>598501.75</v>
      </c>
      <c r="Q412" s="194">
        <v>59850.175000000003</v>
      </c>
      <c r="R412" s="194">
        <v>658351.92500000005</v>
      </c>
      <c r="S412" s="192" t="s">
        <v>354</v>
      </c>
      <c r="T412" s="192" t="s">
        <v>355</v>
      </c>
      <c r="U412" s="190">
        <v>60465</v>
      </c>
      <c r="V412" s="190"/>
      <c r="W412" s="195" t="s">
        <v>356</v>
      </c>
      <c r="X412" s="196" t="str">
        <f>+IFERROR(VLOOKUP($F412,'[2]Chuyển đổi mã'!$A$1:$C$91,3,0),$F412)&amp;AC412</f>
        <v>Big C South320463</v>
      </c>
      <c r="Y412" s="196" t="str">
        <f>IFERROR(VLOOKUP($F412,'[2]Chuyển đổi mã'!$A$1:$C$184,3,0),F412)</f>
        <v>Big C South</v>
      </c>
      <c r="Z412" s="196" t="str">
        <f>VLOOKUP($G412,'[2]Thông tin NPP'!$B:$D,3,0)</f>
        <v>Big C South</v>
      </c>
      <c r="AA412" s="196" t="str">
        <f t="shared" si="90"/>
        <v>Na 8,5g</v>
      </c>
      <c r="AB412" s="196" t="str">
        <f>IFERROR(VLOOKUP(DAY(B412),'[2]Chuyển đổi mã'!$F$1:$G$32,2,0),0)</f>
        <v>W2</v>
      </c>
      <c r="AC412" s="196" t="str">
        <f t="shared" si="91"/>
        <v>320463</v>
      </c>
      <c r="AD412" s="196" t="str">
        <f t="shared" si="92"/>
        <v>NPP</v>
      </c>
      <c r="AE412" s="196" t="str">
        <f t="shared" si="93"/>
        <v>NPP320463</v>
      </c>
      <c r="AF412" s="196">
        <f t="shared" si="94"/>
        <v>0</v>
      </c>
    </row>
    <row r="413" spans="1:32" ht="12.95" customHeight="1">
      <c r="A413" s="190">
        <v>62650</v>
      </c>
      <c r="B413" s="191">
        <v>43566</v>
      </c>
      <c r="C413" s="190" t="s">
        <v>457</v>
      </c>
      <c r="D413" s="190" t="s">
        <v>587</v>
      </c>
      <c r="E413" s="190" t="s">
        <v>346</v>
      </c>
      <c r="F413" s="190" t="s">
        <v>466</v>
      </c>
      <c r="G413" s="192" t="s">
        <v>467</v>
      </c>
      <c r="H413" s="192" t="s">
        <v>296</v>
      </c>
      <c r="I413" s="192" t="s">
        <v>349</v>
      </c>
      <c r="J413" s="192" t="s">
        <v>350</v>
      </c>
      <c r="K413" s="190" t="s">
        <v>351</v>
      </c>
      <c r="L413" s="190" t="s">
        <v>387</v>
      </c>
      <c r="M413" s="192" t="s">
        <v>388</v>
      </c>
      <c r="N413" s="193">
        <v>3</v>
      </c>
      <c r="O413" s="193">
        <v>355455</v>
      </c>
      <c r="P413" s="194">
        <v>1066365</v>
      </c>
      <c r="Q413" s="194">
        <v>106636.5</v>
      </c>
      <c r="R413" s="194">
        <v>1173001.5</v>
      </c>
      <c r="S413" s="192"/>
      <c r="T413" s="192" t="s">
        <v>310</v>
      </c>
      <c r="U413" s="190">
        <v>60465</v>
      </c>
      <c r="V413" s="190"/>
      <c r="W413" s="195" t="s">
        <v>356</v>
      </c>
      <c r="X413" s="196" t="str">
        <f>+IFERROR(VLOOKUP($F413,'[2]Chuyển đổi mã'!$A$1:$C$91,3,0),$F413)&amp;AC413</f>
        <v>Big C South323620</v>
      </c>
      <c r="Y413" s="196" t="str">
        <f>IFERROR(VLOOKUP($F413,'[2]Chuyển đổi mã'!$A$1:$C$184,3,0),F413)</f>
        <v>Big C South</v>
      </c>
      <c r="Z413" s="196" t="str">
        <f>VLOOKUP($G413,'[2]Thông tin NPP'!$B:$D,3,0)</f>
        <v>Big C South</v>
      </c>
      <c r="AA413" s="196" t="str">
        <f t="shared" si="90"/>
        <v>Ahh 16g</v>
      </c>
      <c r="AB413" s="196" t="str">
        <f>IFERROR(VLOOKUP(DAY(B413),'[2]Chuyển đổi mã'!$F$1:$G$32,2,0),0)</f>
        <v>W2</v>
      </c>
      <c r="AC413" s="196" t="str">
        <f t="shared" si="91"/>
        <v>323620</v>
      </c>
      <c r="AD413" s="196" t="str">
        <f t="shared" si="92"/>
        <v>NPP</v>
      </c>
      <c r="AE413" s="196" t="str">
        <f t="shared" si="93"/>
        <v>NPP323620</v>
      </c>
      <c r="AF413" s="196">
        <f t="shared" si="94"/>
        <v>0</v>
      </c>
    </row>
    <row r="414" spans="1:32" ht="12.95" customHeight="1">
      <c r="A414" s="190">
        <v>62650</v>
      </c>
      <c r="B414" s="191">
        <v>43566</v>
      </c>
      <c r="C414" s="190" t="s">
        <v>457</v>
      </c>
      <c r="D414" s="190" t="s">
        <v>587</v>
      </c>
      <c r="E414" s="190" t="s">
        <v>346</v>
      </c>
      <c r="F414" s="190" t="s">
        <v>466</v>
      </c>
      <c r="G414" s="192" t="s">
        <v>467</v>
      </c>
      <c r="H414" s="192" t="s">
        <v>296</v>
      </c>
      <c r="I414" s="192" t="s">
        <v>349</v>
      </c>
      <c r="J414" s="192" t="s">
        <v>350</v>
      </c>
      <c r="K414" s="190" t="s">
        <v>351</v>
      </c>
      <c r="L414" s="190" t="s">
        <v>357</v>
      </c>
      <c r="M414" s="192" t="s">
        <v>358</v>
      </c>
      <c r="N414" s="193">
        <v>5</v>
      </c>
      <c r="O414" s="193">
        <v>213273</v>
      </c>
      <c r="P414" s="194">
        <v>1066365</v>
      </c>
      <c r="Q414" s="194">
        <v>106636.5</v>
      </c>
      <c r="R414" s="194">
        <v>1173001.5</v>
      </c>
      <c r="S414" s="192"/>
      <c r="T414" s="192" t="s">
        <v>310</v>
      </c>
      <c r="U414" s="190">
        <v>60465</v>
      </c>
      <c r="V414" s="190"/>
      <c r="W414" s="195" t="s">
        <v>356</v>
      </c>
      <c r="X414" s="196" t="str">
        <f>+IFERROR(VLOOKUP($F414,'[2]Chuyển đổi mã'!$A$1:$C$91,3,0),$F414)&amp;AC414</f>
        <v>Big C South323555</v>
      </c>
      <c r="Y414" s="196" t="str">
        <f>IFERROR(VLOOKUP($F414,'[2]Chuyển đổi mã'!$A$1:$C$184,3,0),F414)</f>
        <v>Big C South</v>
      </c>
      <c r="Z414" s="196" t="str">
        <f>VLOOKUP($G414,'[2]Thông tin NPP'!$B:$D,3,0)</f>
        <v>Big C South</v>
      </c>
      <c r="AA414" s="196" t="str">
        <f t="shared" si="90"/>
        <v>Na 17g - M</v>
      </c>
      <c r="AB414" s="196" t="str">
        <f>IFERROR(VLOOKUP(DAY(B414),'[2]Chuyển đổi mã'!$F$1:$G$32,2,0),0)</f>
        <v>W2</v>
      </c>
      <c r="AC414" s="196" t="str">
        <f t="shared" si="91"/>
        <v>323555</v>
      </c>
      <c r="AD414" s="196" t="str">
        <f t="shared" si="92"/>
        <v>NPP</v>
      </c>
      <c r="AE414" s="196" t="str">
        <f t="shared" si="93"/>
        <v>NPP323555</v>
      </c>
      <c r="AF414" s="196">
        <f t="shared" si="94"/>
        <v>0</v>
      </c>
    </row>
    <row r="415" spans="1:32" ht="12.95" customHeight="1">
      <c r="A415" s="190">
        <v>62650</v>
      </c>
      <c r="B415" s="191">
        <v>43566</v>
      </c>
      <c r="C415" s="190" t="s">
        <v>457</v>
      </c>
      <c r="D415" s="190" t="s">
        <v>587</v>
      </c>
      <c r="E415" s="190" t="s">
        <v>346</v>
      </c>
      <c r="F415" s="190" t="s">
        <v>466</v>
      </c>
      <c r="G415" s="192" t="s">
        <v>467</v>
      </c>
      <c r="H415" s="192" t="s">
        <v>296</v>
      </c>
      <c r="I415" s="192" t="s">
        <v>349</v>
      </c>
      <c r="J415" s="192" t="s">
        <v>350</v>
      </c>
      <c r="K415" s="190" t="s">
        <v>351</v>
      </c>
      <c r="L415" s="190" t="s">
        <v>363</v>
      </c>
      <c r="M415" s="192" t="s">
        <v>364</v>
      </c>
      <c r="N415" s="193">
        <v>5</v>
      </c>
      <c r="O415" s="193">
        <v>334545</v>
      </c>
      <c r="P415" s="194">
        <v>1672725</v>
      </c>
      <c r="Q415" s="194">
        <v>167272.5</v>
      </c>
      <c r="R415" s="194">
        <v>1839997.5</v>
      </c>
      <c r="S415" s="192"/>
      <c r="T415" s="192" t="s">
        <v>310</v>
      </c>
      <c r="U415" s="190">
        <v>60465</v>
      </c>
      <c r="V415" s="190"/>
      <c r="W415" s="195" t="s">
        <v>356</v>
      </c>
      <c r="X415" s="196" t="str">
        <f>+IFERROR(VLOOKUP($F415,'[2]Chuyển đổi mã'!$A$1:$C$91,3,0),$F415)&amp;AC415</f>
        <v>Big C South323708</v>
      </c>
      <c r="Y415" s="196" t="str">
        <f>IFERROR(VLOOKUP($F415,'[2]Chuyển đổi mã'!$A$1:$C$184,3,0),F415)</f>
        <v>Big C South</v>
      </c>
      <c r="Z415" s="196" t="str">
        <f>VLOOKUP($G415,'[2]Thông tin NPP'!$B:$D,3,0)</f>
        <v>Big C South</v>
      </c>
      <c r="AA415" s="196" t="str">
        <f t="shared" si="90"/>
        <v>Nextar Bro</v>
      </c>
      <c r="AB415" s="196" t="str">
        <f>IFERROR(VLOOKUP(DAY(B415),'[2]Chuyển đổi mã'!$F$1:$G$32,2,0),0)</f>
        <v>W2</v>
      </c>
      <c r="AC415" s="196" t="str">
        <f t="shared" si="91"/>
        <v>323708</v>
      </c>
      <c r="AD415" s="196" t="str">
        <f t="shared" si="92"/>
        <v>NPP</v>
      </c>
      <c r="AE415" s="196" t="str">
        <f t="shared" si="93"/>
        <v>NPP323708</v>
      </c>
      <c r="AF415" s="196">
        <f t="shared" si="94"/>
        <v>0</v>
      </c>
    </row>
    <row r="416" spans="1:32" ht="12.95" hidden="1" customHeight="1">
      <c r="A416" s="190">
        <v>62653</v>
      </c>
      <c r="B416" s="191">
        <v>43566</v>
      </c>
      <c r="C416" s="190" t="s">
        <v>457</v>
      </c>
      <c r="D416" s="190" t="s">
        <v>588</v>
      </c>
      <c r="E416" s="190" t="s">
        <v>346</v>
      </c>
      <c r="F416" s="190" t="s">
        <v>389</v>
      </c>
      <c r="G416" s="192" t="s">
        <v>390</v>
      </c>
      <c r="H416" s="192" t="s">
        <v>296</v>
      </c>
      <c r="I416" s="192" t="s">
        <v>391</v>
      </c>
      <c r="J416" s="192" t="s">
        <v>350</v>
      </c>
      <c r="K416" s="190" t="s">
        <v>351</v>
      </c>
      <c r="L416" s="190" t="s">
        <v>378</v>
      </c>
      <c r="M416" s="192" t="s">
        <v>379</v>
      </c>
      <c r="N416" s="193">
        <v>500</v>
      </c>
      <c r="O416" s="193">
        <v>185640</v>
      </c>
      <c r="P416" s="194">
        <v>92820000</v>
      </c>
      <c r="Q416" s="194">
        <v>9282000</v>
      </c>
      <c r="R416" s="194">
        <v>102102000</v>
      </c>
      <c r="S416" s="192"/>
      <c r="T416" s="192" t="s">
        <v>310</v>
      </c>
      <c r="U416" s="190">
        <v>60455</v>
      </c>
      <c r="V416" s="190"/>
      <c r="W416" s="195" t="s">
        <v>356</v>
      </c>
      <c r="X416" s="196" t="str">
        <f>+IFERROR(VLOOKUP($F416,'[2]Chuyển đổi mã'!$A$1:$C$91,3,0),$F416)&amp;AC416</f>
        <v>NPP00000468321238</v>
      </c>
      <c r="Y416" s="196" t="str">
        <f>IFERROR(VLOOKUP($F416,'[2]Chuyển đổi mã'!$A$1:$C$184,3,0),F416)</f>
        <v>NPP00000468</v>
      </c>
      <c r="Z416" s="196" t="e">
        <f>VLOOKUP($G416,'[2]Thông tin NPP'!$B:$D,3,0)</f>
        <v>#N/A</v>
      </c>
      <c r="AA416" s="196" t="str">
        <f t="shared" si="90"/>
        <v>Richoco Wf</v>
      </c>
      <c r="AB416" s="196" t="str">
        <f>IFERROR(VLOOKUP(DAY(B416),'[2]Chuyển đổi mã'!$F$1:$G$32,2,0),0)</f>
        <v>W2</v>
      </c>
      <c r="AC416" s="196" t="str">
        <f t="shared" si="91"/>
        <v>321238</v>
      </c>
      <c r="AD416" s="196" t="str">
        <f t="shared" si="92"/>
        <v>NPP</v>
      </c>
      <c r="AE416" s="196" t="str">
        <f t="shared" si="93"/>
        <v>NPP321238</v>
      </c>
      <c r="AF416" s="196">
        <f t="shared" si="94"/>
        <v>0</v>
      </c>
    </row>
    <row r="417" spans="1:32" ht="12.95" hidden="1" customHeight="1">
      <c r="A417" s="190">
        <v>62656</v>
      </c>
      <c r="B417" s="191">
        <v>43566</v>
      </c>
      <c r="C417" s="190" t="s">
        <v>457</v>
      </c>
      <c r="D417" s="190" t="s">
        <v>589</v>
      </c>
      <c r="E417" s="190" t="s">
        <v>346</v>
      </c>
      <c r="F417" s="190" t="s">
        <v>414</v>
      </c>
      <c r="G417" s="192" t="s">
        <v>415</v>
      </c>
      <c r="H417" s="192" t="s">
        <v>296</v>
      </c>
      <c r="I417" s="192" t="s">
        <v>416</v>
      </c>
      <c r="J417" s="192" t="s">
        <v>350</v>
      </c>
      <c r="K417" s="190" t="s">
        <v>367</v>
      </c>
      <c r="L417" s="190" t="s">
        <v>352</v>
      </c>
      <c r="M417" s="192" t="s">
        <v>353</v>
      </c>
      <c r="N417" s="193">
        <v>400</v>
      </c>
      <c r="O417" s="193">
        <v>107728</v>
      </c>
      <c r="P417" s="194">
        <v>43091200</v>
      </c>
      <c r="Q417" s="194">
        <v>4309120</v>
      </c>
      <c r="R417" s="194">
        <v>47400320</v>
      </c>
      <c r="S417" s="192"/>
      <c r="T417" s="192" t="s">
        <v>310</v>
      </c>
      <c r="U417" s="190">
        <v>60470</v>
      </c>
      <c r="V417" s="190"/>
      <c r="W417" s="195" t="s">
        <v>356</v>
      </c>
      <c r="X417" s="196" t="str">
        <f>+IFERROR(VLOOKUP($F417,'[2]Chuyển đổi mã'!$A$1:$C$91,3,0),$F417)&amp;AC417</f>
        <v>NPP00000119320463</v>
      </c>
      <c r="Y417" s="196" t="str">
        <f>IFERROR(VLOOKUP($F417,'[2]Chuyển đổi mã'!$A$1:$C$184,3,0),F417)</f>
        <v>NPP00000119</v>
      </c>
      <c r="Z417" s="196" t="str">
        <f>VLOOKUP($G417,'[2]Thông tin NPP'!$B:$D,3,0)</f>
        <v>NGUYỄN DUNG</v>
      </c>
      <c r="AA417" s="196" t="str">
        <f t="shared" si="90"/>
        <v>Na 8,5g</v>
      </c>
      <c r="AB417" s="196" t="str">
        <f>IFERROR(VLOOKUP(DAY(B417),'[2]Chuyển đổi mã'!$F$1:$G$32,2,0),0)</f>
        <v>W2</v>
      </c>
      <c r="AC417" s="196" t="str">
        <f t="shared" si="91"/>
        <v>320463</v>
      </c>
      <c r="AD417" s="196" t="str">
        <f t="shared" si="92"/>
        <v>NPP</v>
      </c>
      <c r="AE417" s="196" t="str">
        <f t="shared" si="93"/>
        <v>NPP320463</v>
      </c>
      <c r="AF417" s="196">
        <f t="shared" si="94"/>
        <v>0</v>
      </c>
    </row>
    <row r="418" spans="1:32" ht="12.95" hidden="1" customHeight="1">
      <c r="A418" s="190">
        <v>62656</v>
      </c>
      <c r="B418" s="191">
        <v>43566</v>
      </c>
      <c r="C418" s="190" t="s">
        <v>457</v>
      </c>
      <c r="D418" s="190" t="s">
        <v>589</v>
      </c>
      <c r="E418" s="190" t="s">
        <v>346</v>
      </c>
      <c r="F418" s="190" t="s">
        <v>414</v>
      </c>
      <c r="G418" s="192" t="s">
        <v>415</v>
      </c>
      <c r="H418" s="192" t="s">
        <v>296</v>
      </c>
      <c r="I418" s="192" t="s">
        <v>416</v>
      </c>
      <c r="J418" s="192" t="s">
        <v>350</v>
      </c>
      <c r="K418" s="190" t="s">
        <v>367</v>
      </c>
      <c r="L418" s="190" t="s">
        <v>357</v>
      </c>
      <c r="M418" s="192" t="s">
        <v>358</v>
      </c>
      <c r="N418" s="193">
        <v>200</v>
      </c>
      <c r="O418" s="193">
        <v>187680</v>
      </c>
      <c r="P418" s="194">
        <v>37536000</v>
      </c>
      <c r="Q418" s="194">
        <v>3753600</v>
      </c>
      <c r="R418" s="194">
        <v>41289600</v>
      </c>
      <c r="S418" s="192"/>
      <c r="T418" s="192" t="s">
        <v>310</v>
      </c>
      <c r="U418" s="190">
        <v>60470</v>
      </c>
      <c r="V418" s="190"/>
      <c r="W418" s="195" t="s">
        <v>356</v>
      </c>
      <c r="X418" s="196" t="str">
        <f>+IFERROR(VLOOKUP($F418,'[2]Chuyển đổi mã'!$A$1:$C$91,3,0),$F418)&amp;AC418</f>
        <v>NPP00000119323555</v>
      </c>
      <c r="Y418" s="196" t="str">
        <f>IFERROR(VLOOKUP($F418,'[2]Chuyển đổi mã'!$A$1:$C$184,3,0),F418)</f>
        <v>NPP00000119</v>
      </c>
      <c r="Z418" s="196" t="str">
        <f>VLOOKUP($G418,'[2]Thông tin NPP'!$B:$D,3,0)</f>
        <v>NGUYỄN DUNG</v>
      </c>
      <c r="AA418" s="196" t="str">
        <f t="shared" si="90"/>
        <v>Na 17g - M</v>
      </c>
      <c r="AB418" s="196" t="str">
        <f>IFERROR(VLOOKUP(DAY(B418),'[2]Chuyển đổi mã'!$F$1:$G$32,2,0),0)</f>
        <v>W2</v>
      </c>
      <c r="AC418" s="196" t="str">
        <f t="shared" si="91"/>
        <v>323555</v>
      </c>
      <c r="AD418" s="196" t="str">
        <f t="shared" si="92"/>
        <v>NPP</v>
      </c>
      <c r="AE418" s="196" t="str">
        <f t="shared" si="93"/>
        <v>NPP323555</v>
      </c>
      <c r="AF418" s="196">
        <f t="shared" si="94"/>
        <v>0</v>
      </c>
    </row>
    <row r="419" spans="1:32" ht="12.95" customHeight="1">
      <c r="A419" s="190">
        <v>62671</v>
      </c>
      <c r="B419" s="191">
        <v>43567</v>
      </c>
      <c r="C419" s="190" t="s">
        <v>457</v>
      </c>
      <c r="D419" s="190" t="s">
        <v>590</v>
      </c>
      <c r="E419" s="190" t="s">
        <v>346</v>
      </c>
      <c r="F419" s="190" t="s">
        <v>484</v>
      </c>
      <c r="G419" s="192" t="s">
        <v>485</v>
      </c>
      <c r="H419" s="192" t="s">
        <v>296</v>
      </c>
      <c r="I419" s="192" t="s">
        <v>349</v>
      </c>
      <c r="J419" s="192" t="s">
        <v>350</v>
      </c>
      <c r="K419" s="190" t="s">
        <v>351</v>
      </c>
      <c r="L419" s="190" t="s">
        <v>352</v>
      </c>
      <c r="M419" s="192" t="s">
        <v>353</v>
      </c>
      <c r="N419" s="193">
        <v>10</v>
      </c>
      <c r="O419" s="193">
        <v>115036.7</v>
      </c>
      <c r="P419" s="194">
        <v>1150367</v>
      </c>
      <c r="Q419" s="194">
        <v>115036.7</v>
      </c>
      <c r="R419" s="194">
        <v>1265403.7</v>
      </c>
      <c r="S419" s="192" t="s">
        <v>544</v>
      </c>
      <c r="T419" s="192" t="s">
        <v>545</v>
      </c>
      <c r="U419" s="190">
        <v>60485</v>
      </c>
      <c r="V419" s="190"/>
      <c r="W419" s="195" t="s">
        <v>356</v>
      </c>
      <c r="X419" s="196" t="str">
        <f>+IFERROR(VLOOKUP($F419,'[2]Chuyển đổi mã'!$A$1:$C$91,3,0),$F419)&amp;AC419</f>
        <v>Lotte South320463</v>
      </c>
      <c r="Y419" s="196" t="str">
        <f>IFERROR(VLOOKUP($F419,'[2]Chuyển đổi mã'!$A$1:$C$184,3,0),F419)</f>
        <v>Lotte South</v>
      </c>
      <c r="Z419" s="196" t="str">
        <f>VLOOKUP($G419,'[2]Thông tin NPP'!$B:$D,3,0)</f>
        <v>Lotte South</v>
      </c>
      <c r="AA419" s="196" t="str">
        <f t="shared" ref="AA419:AA431" si="95">LEFT($M419,10)</f>
        <v>Na 8,5g</v>
      </c>
      <c r="AB419" s="196" t="str">
        <f>IFERROR(VLOOKUP(DAY(B419),'[2]Chuyển đổi mã'!$F$1:$G$32,2,0),0)</f>
        <v>W2</v>
      </c>
      <c r="AC419" s="196" t="str">
        <f t="shared" ref="AC419:AC431" si="96">LEFT(L419,6)</f>
        <v>320463</v>
      </c>
      <c r="AD419" s="196" t="str">
        <f t="shared" ref="AD419:AD431" si="97">LEFT(F419,3)</f>
        <v>NPP</v>
      </c>
      <c r="AE419" s="196" t="str">
        <f t="shared" ref="AE419:AE431" si="98">AD419&amp;AC419</f>
        <v>NPP320463</v>
      </c>
      <c r="AF419" s="196">
        <f t="shared" ref="AF419:AF431" si="99">IF(RIGHT(L419,1)="P","P",0)</f>
        <v>0</v>
      </c>
    </row>
    <row r="420" spans="1:32" ht="12.95" customHeight="1">
      <c r="A420" s="190">
        <v>62671</v>
      </c>
      <c r="B420" s="191">
        <v>43567</v>
      </c>
      <c r="C420" s="190" t="s">
        <v>457</v>
      </c>
      <c r="D420" s="190" t="s">
        <v>590</v>
      </c>
      <c r="E420" s="190" t="s">
        <v>346</v>
      </c>
      <c r="F420" s="190" t="s">
        <v>484</v>
      </c>
      <c r="G420" s="192" t="s">
        <v>485</v>
      </c>
      <c r="H420" s="192" t="s">
        <v>296</v>
      </c>
      <c r="I420" s="192" t="s">
        <v>349</v>
      </c>
      <c r="J420" s="192" t="s">
        <v>350</v>
      </c>
      <c r="K420" s="190" t="s">
        <v>351</v>
      </c>
      <c r="L420" s="190" t="s">
        <v>378</v>
      </c>
      <c r="M420" s="192" t="s">
        <v>379</v>
      </c>
      <c r="N420" s="193">
        <v>5</v>
      </c>
      <c r="O420" s="193">
        <v>213273</v>
      </c>
      <c r="P420" s="194">
        <v>1066365</v>
      </c>
      <c r="Q420" s="194">
        <v>106636.5</v>
      </c>
      <c r="R420" s="194">
        <v>1173001.5</v>
      </c>
      <c r="S420" s="192"/>
      <c r="T420" s="192" t="s">
        <v>310</v>
      </c>
      <c r="U420" s="190">
        <v>60485</v>
      </c>
      <c r="V420" s="190"/>
      <c r="W420" s="195" t="s">
        <v>356</v>
      </c>
      <c r="X420" s="196" t="str">
        <f>+IFERROR(VLOOKUP($F420,'[2]Chuyển đổi mã'!$A$1:$C$91,3,0),$F420)&amp;AC420</f>
        <v>Lotte South321238</v>
      </c>
      <c r="Y420" s="196" t="str">
        <f>IFERROR(VLOOKUP($F420,'[2]Chuyển đổi mã'!$A$1:$C$184,3,0),F420)</f>
        <v>Lotte South</v>
      </c>
      <c r="Z420" s="196" t="str">
        <f>VLOOKUP($G420,'[2]Thông tin NPP'!$B:$D,3,0)</f>
        <v>Lotte South</v>
      </c>
      <c r="AA420" s="196" t="str">
        <f t="shared" si="95"/>
        <v>Richoco Wf</v>
      </c>
      <c r="AB420" s="196" t="str">
        <f>IFERROR(VLOOKUP(DAY(B420),'[2]Chuyển đổi mã'!$F$1:$G$32,2,0),0)</f>
        <v>W2</v>
      </c>
      <c r="AC420" s="196" t="str">
        <f t="shared" si="96"/>
        <v>321238</v>
      </c>
      <c r="AD420" s="196" t="str">
        <f t="shared" si="97"/>
        <v>NPP</v>
      </c>
      <c r="AE420" s="196" t="str">
        <f t="shared" si="98"/>
        <v>NPP321238</v>
      </c>
      <c r="AF420" s="196">
        <f t="shared" si="99"/>
        <v>0</v>
      </c>
    </row>
    <row r="421" spans="1:32" ht="12.95" customHeight="1">
      <c r="A421" s="190">
        <v>62671</v>
      </c>
      <c r="B421" s="191">
        <v>43567</v>
      </c>
      <c r="C421" s="190" t="s">
        <v>457</v>
      </c>
      <c r="D421" s="190" t="s">
        <v>590</v>
      </c>
      <c r="E421" s="190" t="s">
        <v>346</v>
      </c>
      <c r="F421" s="190" t="s">
        <v>484</v>
      </c>
      <c r="G421" s="192" t="s">
        <v>485</v>
      </c>
      <c r="H421" s="192" t="s">
        <v>296</v>
      </c>
      <c r="I421" s="192" t="s">
        <v>349</v>
      </c>
      <c r="J421" s="192" t="s">
        <v>350</v>
      </c>
      <c r="K421" s="190" t="s">
        <v>351</v>
      </c>
      <c r="L421" s="190" t="s">
        <v>361</v>
      </c>
      <c r="M421" s="192" t="s">
        <v>362</v>
      </c>
      <c r="N421" s="193">
        <v>1</v>
      </c>
      <c r="O421" s="193">
        <v>300000</v>
      </c>
      <c r="P421" s="194">
        <v>300000</v>
      </c>
      <c r="Q421" s="194">
        <v>30000</v>
      </c>
      <c r="R421" s="194">
        <v>330000</v>
      </c>
      <c r="S421" s="192"/>
      <c r="T421" s="192" t="s">
        <v>310</v>
      </c>
      <c r="U421" s="190">
        <v>60485</v>
      </c>
      <c r="V421" s="190"/>
      <c r="W421" s="195" t="s">
        <v>356</v>
      </c>
      <c r="X421" s="196" t="str">
        <f>+IFERROR(VLOOKUP($F421,'[2]Chuyển đổi mã'!$A$1:$C$91,3,0),$F421)&amp;AC421</f>
        <v>Lotte South331017</v>
      </c>
      <c r="Y421" s="196" t="str">
        <f>IFERROR(VLOOKUP($F421,'[2]Chuyển đổi mã'!$A$1:$C$184,3,0),F421)</f>
        <v>Lotte South</v>
      </c>
      <c r="Z421" s="196" t="str">
        <f>VLOOKUP($G421,'[2]Thông tin NPP'!$B:$D,3,0)</f>
        <v>Lotte South</v>
      </c>
      <c r="AA421" s="196" t="str">
        <f t="shared" si="95"/>
        <v>Richoco Wf</v>
      </c>
      <c r="AB421" s="196" t="str">
        <f>IFERROR(VLOOKUP(DAY(B421),'[2]Chuyển đổi mã'!$F$1:$G$32,2,0),0)</f>
        <v>W2</v>
      </c>
      <c r="AC421" s="196" t="str">
        <f t="shared" si="96"/>
        <v>331017</v>
      </c>
      <c r="AD421" s="196" t="str">
        <f t="shared" si="97"/>
        <v>NPP</v>
      </c>
      <c r="AE421" s="196" t="str">
        <f t="shared" si="98"/>
        <v>NPP331017</v>
      </c>
      <c r="AF421" s="196">
        <f t="shared" si="99"/>
        <v>0</v>
      </c>
    </row>
    <row r="422" spans="1:32" ht="12.95" customHeight="1">
      <c r="A422" s="190">
        <v>62671</v>
      </c>
      <c r="B422" s="191">
        <v>43567</v>
      </c>
      <c r="C422" s="190" t="s">
        <v>457</v>
      </c>
      <c r="D422" s="190" t="s">
        <v>590</v>
      </c>
      <c r="E422" s="190" t="s">
        <v>346</v>
      </c>
      <c r="F422" s="190" t="s">
        <v>484</v>
      </c>
      <c r="G422" s="192" t="s">
        <v>485</v>
      </c>
      <c r="H422" s="192" t="s">
        <v>296</v>
      </c>
      <c r="I422" s="192" t="s">
        <v>349</v>
      </c>
      <c r="J422" s="192" t="s">
        <v>350</v>
      </c>
      <c r="K422" s="190" t="s">
        <v>351</v>
      </c>
      <c r="L422" s="190" t="s">
        <v>357</v>
      </c>
      <c r="M422" s="192" t="s">
        <v>358</v>
      </c>
      <c r="N422" s="193">
        <v>10</v>
      </c>
      <c r="O422" s="193">
        <v>213273</v>
      </c>
      <c r="P422" s="194">
        <v>2132730</v>
      </c>
      <c r="Q422" s="194">
        <v>213273</v>
      </c>
      <c r="R422" s="194">
        <v>2346003</v>
      </c>
      <c r="S422" s="192"/>
      <c r="T422" s="192" t="s">
        <v>310</v>
      </c>
      <c r="U422" s="190">
        <v>60485</v>
      </c>
      <c r="V422" s="190"/>
      <c r="W422" s="195" t="s">
        <v>356</v>
      </c>
      <c r="X422" s="196" t="str">
        <f>+IFERROR(VLOOKUP($F422,'[2]Chuyển đổi mã'!$A$1:$C$91,3,0),$F422)&amp;AC422</f>
        <v>Lotte South323555</v>
      </c>
      <c r="Y422" s="196" t="str">
        <f>IFERROR(VLOOKUP($F422,'[2]Chuyển đổi mã'!$A$1:$C$184,3,0),F422)</f>
        <v>Lotte South</v>
      </c>
      <c r="Z422" s="196" t="str">
        <f>VLOOKUP($G422,'[2]Thông tin NPP'!$B:$D,3,0)</f>
        <v>Lotte South</v>
      </c>
      <c r="AA422" s="196" t="str">
        <f t="shared" si="95"/>
        <v>Na 17g - M</v>
      </c>
      <c r="AB422" s="196" t="str">
        <f>IFERROR(VLOOKUP(DAY(B422),'[2]Chuyển đổi mã'!$F$1:$G$32,2,0),0)</f>
        <v>W2</v>
      </c>
      <c r="AC422" s="196" t="str">
        <f t="shared" si="96"/>
        <v>323555</v>
      </c>
      <c r="AD422" s="196" t="str">
        <f t="shared" si="97"/>
        <v>NPP</v>
      </c>
      <c r="AE422" s="196" t="str">
        <f t="shared" si="98"/>
        <v>NPP323555</v>
      </c>
      <c r="AF422" s="196">
        <f t="shared" si="99"/>
        <v>0</v>
      </c>
    </row>
    <row r="423" spans="1:32" ht="12.95" customHeight="1">
      <c r="A423" s="190">
        <v>62671</v>
      </c>
      <c r="B423" s="191">
        <v>43567</v>
      </c>
      <c r="C423" s="190" t="s">
        <v>457</v>
      </c>
      <c r="D423" s="190" t="s">
        <v>590</v>
      </c>
      <c r="E423" s="190" t="s">
        <v>346</v>
      </c>
      <c r="F423" s="190" t="s">
        <v>484</v>
      </c>
      <c r="G423" s="192" t="s">
        <v>485</v>
      </c>
      <c r="H423" s="192" t="s">
        <v>296</v>
      </c>
      <c r="I423" s="192" t="s">
        <v>349</v>
      </c>
      <c r="J423" s="192" t="s">
        <v>350</v>
      </c>
      <c r="K423" s="190" t="s">
        <v>351</v>
      </c>
      <c r="L423" s="190" t="s">
        <v>363</v>
      </c>
      <c r="M423" s="192" t="s">
        <v>364</v>
      </c>
      <c r="N423" s="193">
        <v>1</v>
      </c>
      <c r="O423" s="193">
        <v>320000</v>
      </c>
      <c r="P423" s="194">
        <v>320000</v>
      </c>
      <c r="Q423" s="194">
        <v>32000</v>
      </c>
      <c r="R423" s="194">
        <v>352000</v>
      </c>
      <c r="S423" s="192"/>
      <c r="T423" s="192" t="s">
        <v>310</v>
      </c>
      <c r="U423" s="190">
        <v>60485</v>
      </c>
      <c r="V423" s="190"/>
      <c r="W423" s="195" t="s">
        <v>356</v>
      </c>
      <c r="X423" s="196" t="str">
        <f>+IFERROR(VLOOKUP($F423,'[2]Chuyển đổi mã'!$A$1:$C$91,3,0),$F423)&amp;AC423</f>
        <v>Lotte South323708</v>
      </c>
      <c r="Y423" s="196" t="str">
        <f>IFERROR(VLOOKUP($F423,'[2]Chuyển đổi mã'!$A$1:$C$184,3,0),F423)</f>
        <v>Lotte South</v>
      </c>
      <c r="Z423" s="196" t="str">
        <f>VLOOKUP($G423,'[2]Thông tin NPP'!$B:$D,3,0)</f>
        <v>Lotte South</v>
      </c>
      <c r="AA423" s="196" t="str">
        <f t="shared" si="95"/>
        <v>Nextar Bro</v>
      </c>
      <c r="AB423" s="196" t="str">
        <f>IFERROR(VLOOKUP(DAY(B423),'[2]Chuyển đổi mã'!$F$1:$G$32,2,0),0)</f>
        <v>W2</v>
      </c>
      <c r="AC423" s="196" t="str">
        <f t="shared" si="96"/>
        <v>323708</v>
      </c>
      <c r="AD423" s="196" t="str">
        <f t="shared" si="97"/>
        <v>NPP</v>
      </c>
      <c r="AE423" s="196" t="str">
        <f t="shared" si="98"/>
        <v>NPP323708</v>
      </c>
      <c r="AF423" s="196">
        <f t="shared" si="99"/>
        <v>0</v>
      </c>
    </row>
    <row r="424" spans="1:32" ht="12.95" customHeight="1">
      <c r="A424" s="190">
        <v>62672</v>
      </c>
      <c r="B424" s="191">
        <v>43567</v>
      </c>
      <c r="C424" s="190" t="s">
        <v>457</v>
      </c>
      <c r="D424" s="190" t="s">
        <v>591</v>
      </c>
      <c r="E424" s="190" t="s">
        <v>346</v>
      </c>
      <c r="F424" s="190" t="s">
        <v>484</v>
      </c>
      <c r="G424" s="192" t="s">
        <v>485</v>
      </c>
      <c r="H424" s="192" t="s">
        <v>296</v>
      </c>
      <c r="I424" s="192" t="s">
        <v>349</v>
      </c>
      <c r="J424" s="192" t="s">
        <v>350</v>
      </c>
      <c r="K424" s="190" t="s">
        <v>351</v>
      </c>
      <c r="L424" s="190" t="s">
        <v>352</v>
      </c>
      <c r="M424" s="192" t="s">
        <v>353</v>
      </c>
      <c r="N424" s="193">
        <v>345</v>
      </c>
      <c r="O424" s="193">
        <v>115036.7</v>
      </c>
      <c r="P424" s="194">
        <v>39687661.5</v>
      </c>
      <c r="Q424" s="194">
        <v>3968766.15</v>
      </c>
      <c r="R424" s="194">
        <v>43656427.649999999</v>
      </c>
      <c r="S424" s="192" t="s">
        <v>544</v>
      </c>
      <c r="T424" s="192" t="s">
        <v>545</v>
      </c>
      <c r="U424" s="190">
        <v>60486</v>
      </c>
      <c r="V424" s="190"/>
      <c r="W424" s="195" t="s">
        <v>356</v>
      </c>
      <c r="X424" s="196" t="str">
        <f>+IFERROR(VLOOKUP($F424,'[2]Chuyển đổi mã'!$A$1:$C$91,3,0),$F424)&amp;AC424</f>
        <v>Lotte South320463</v>
      </c>
      <c r="Y424" s="196" t="str">
        <f>IFERROR(VLOOKUP($F424,'[2]Chuyển đổi mã'!$A$1:$C$184,3,0),F424)</f>
        <v>Lotte South</v>
      </c>
      <c r="Z424" s="196" t="str">
        <f>VLOOKUP($G424,'[2]Thông tin NPP'!$B:$D,3,0)</f>
        <v>Lotte South</v>
      </c>
      <c r="AA424" s="196" t="str">
        <f t="shared" si="95"/>
        <v>Na 8,5g</v>
      </c>
      <c r="AB424" s="196" t="str">
        <f>IFERROR(VLOOKUP(DAY(B424),'[2]Chuyển đổi mã'!$F$1:$G$32,2,0),0)</f>
        <v>W2</v>
      </c>
      <c r="AC424" s="196" t="str">
        <f t="shared" si="96"/>
        <v>320463</v>
      </c>
      <c r="AD424" s="196" t="str">
        <f t="shared" si="97"/>
        <v>NPP</v>
      </c>
      <c r="AE424" s="196" t="str">
        <f t="shared" si="98"/>
        <v>NPP320463</v>
      </c>
      <c r="AF424" s="196">
        <f t="shared" si="99"/>
        <v>0</v>
      </c>
    </row>
    <row r="425" spans="1:32" ht="12.95" customHeight="1">
      <c r="A425" s="190">
        <v>62672</v>
      </c>
      <c r="B425" s="191">
        <v>43567</v>
      </c>
      <c r="C425" s="190" t="s">
        <v>457</v>
      </c>
      <c r="D425" s="190" t="s">
        <v>591</v>
      </c>
      <c r="E425" s="190" t="s">
        <v>346</v>
      </c>
      <c r="F425" s="190" t="s">
        <v>484</v>
      </c>
      <c r="G425" s="192" t="s">
        <v>485</v>
      </c>
      <c r="H425" s="192" t="s">
        <v>296</v>
      </c>
      <c r="I425" s="192" t="s">
        <v>349</v>
      </c>
      <c r="J425" s="192" t="s">
        <v>350</v>
      </c>
      <c r="K425" s="190" t="s">
        <v>351</v>
      </c>
      <c r="L425" s="190" t="s">
        <v>387</v>
      </c>
      <c r="M425" s="192" t="s">
        <v>388</v>
      </c>
      <c r="N425" s="193">
        <v>2</v>
      </c>
      <c r="O425" s="193">
        <v>340000</v>
      </c>
      <c r="P425" s="194">
        <v>680000</v>
      </c>
      <c r="Q425" s="194">
        <v>68000</v>
      </c>
      <c r="R425" s="194">
        <v>748000</v>
      </c>
      <c r="S425" s="192"/>
      <c r="T425" s="192" t="s">
        <v>310</v>
      </c>
      <c r="U425" s="190">
        <v>60486</v>
      </c>
      <c r="V425" s="190"/>
      <c r="W425" s="195" t="s">
        <v>356</v>
      </c>
      <c r="X425" s="196" t="str">
        <f>+IFERROR(VLOOKUP($F425,'[2]Chuyển đổi mã'!$A$1:$C$91,3,0),$F425)&amp;AC425</f>
        <v>Lotte South323620</v>
      </c>
      <c r="Y425" s="196" t="str">
        <f>IFERROR(VLOOKUP($F425,'[2]Chuyển đổi mã'!$A$1:$C$184,3,0),F425)</f>
        <v>Lotte South</v>
      </c>
      <c r="Z425" s="196" t="str">
        <f>VLOOKUP($G425,'[2]Thông tin NPP'!$B:$D,3,0)</f>
        <v>Lotte South</v>
      </c>
      <c r="AA425" s="196" t="str">
        <f t="shared" si="95"/>
        <v>Ahh 16g</v>
      </c>
      <c r="AB425" s="196" t="str">
        <f>IFERROR(VLOOKUP(DAY(B425),'[2]Chuyển đổi mã'!$F$1:$G$32,2,0),0)</f>
        <v>W2</v>
      </c>
      <c r="AC425" s="196" t="str">
        <f t="shared" si="96"/>
        <v>323620</v>
      </c>
      <c r="AD425" s="196" t="str">
        <f t="shared" si="97"/>
        <v>NPP</v>
      </c>
      <c r="AE425" s="196" t="str">
        <f t="shared" si="98"/>
        <v>NPP323620</v>
      </c>
      <c r="AF425" s="196">
        <f t="shared" si="99"/>
        <v>0</v>
      </c>
    </row>
    <row r="426" spans="1:32" ht="12.95" customHeight="1">
      <c r="A426" s="190">
        <v>62672</v>
      </c>
      <c r="B426" s="191">
        <v>43567</v>
      </c>
      <c r="C426" s="190" t="s">
        <v>457</v>
      </c>
      <c r="D426" s="190" t="s">
        <v>591</v>
      </c>
      <c r="E426" s="190" t="s">
        <v>346</v>
      </c>
      <c r="F426" s="190" t="s">
        <v>484</v>
      </c>
      <c r="G426" s="192" t="s">
        <v>485</v>
      </c>
      <c r="H426" s="192" t="s">
        <v>296</v>
      </c>
      <c r="I426" s="192" t="s">
        <v>349</v>
      </c>
      <c r="J426" s="192" t="s">
        <v>350</v>
      </c>
      <c r="K426" s="190" t="s">
        <v>351</v>
      </c>
      <c r="L426" s="190" t="s">
        <v>359</v>
      </c>
      <c r="M426" s="192" t="s">
        <v>360</v>
      </c>
      <c r="N426" s="193">
        <v>3</v>
      </c>
      <c r="O426" s="193">
        <v>300000</v>
      </c>
      <c r="P426" s="194">
        <v>900000</v>
      </c>
      <c r="Q426" s="194">
        <v>90000</v>
      </c>
      <c r="R426" s="194">
        <v>990000</v>
      </c>
      <c r="S426" s="192"/>
      <c r="T426" s="192" t="s">
        <v>310</v>
      </c>
      <c r="U426" s="190">
        <v>60486</v>
      </c>
      <c r="V426" s="190"/>
      <c r="W426" s="195" t="s">
        <v>356</v>
      </c>
      <c r="X426" s="196" t="str">
        <f>+IFERROR(VLOOKUP($F426,'[2]Chuyển đổi mã'!$A$1:$C$91,3,0),$F426)&amp;AC426</f>
        <v>Lotte South320445</v>
      </c>
      <c r="Y426" s="196" t="str">
        <f>IFERROR(VLOOKUP($F426,'[2]Chuyển đổi mã'!$A$1:$C$184,3,0),F426)</f>
        <v>Lotte South</v>
      </c>
      <c r="Z426" s="196" t="str">
        <f>VLOOKUP($G426,'[2]Thông tin NPP'!$B:$D,3,0)</f>
        <v>Lotte South</v>
      </c>
      <c r="AA426" s="196" t="str">
        <f t="shared" si="95"/>
        <v>Na 58g</v>
      </c>
      <c r="AB426" s="196" t="str">
        <f>IFERROR(VLOOKUP(DAY(B426),'[2]Chuyển đổi mã'!$F$1:$G$32,2,0),0)</f>
        <v>W2</v>
      </c>
      <c r="AC426" s="196" t="str">
        <f t="shared" si="96"/>
        <v>320445</v>
      </c>
      <c r="AD426" s="196" t="str">
        <f t="shared" si="97"/>
        <v>NPP</v>
      </c>
      <c r="AE426" s="196" t="str">
        <f t="shared" si="98"/>
        <v>NPP320445</v>
      </c>
      <c r="AF426" s="196">
        <f t="shared" si="99"/>
        <v>0</v>
      </c>
    </row>
    <row r="427" spans="1:32" ht="12.95" customHeight="1">
      <c r="A427" s="190">
        <v>62672</v>
      </c>
      <c r="B427" s="191">
        <v>43567</v>
      </c>
      <c r="C427" s="190" t="s">
        <v>457</v>
      </c>
      <c r="D427" s="190" t="s">
        <v>591</v>
      </c>
      <c r="E427" s="190" t="s">
        <v>346</v>
      </c>
      <c r="F427" s="190" t="s">
        <v>484</v>
      </c>
      <c r="G427" s="192" t="s">
        <v>485</v>
      </c>
      <c r="H427" s="192" t="s">
        <v>296</v>
      </c>
      <c r="I427" s="192" t="s">
        <v>349</v>
      </c>
      <c r="J427" s="192" t="s">
        <v>350</v>
      </c>
      <c r="K427" s="190" t="s">
        <v>351</v>
      </c>
      <c r="L427" s="190" t="s">
        <v>363</v>
      </c>
      <c r="M427" s="192" t="s">
        <v>364</v>
      </c>
      <c r="N427" s="193">
        <v>2</v>
      </c>
      <c r="O427" s="193">
        <v>320000</v>
      </c>
      <c r="P427" s="194">
        <v>640000</v>
      </c>
      <c r="Q427" s="194">
        <v>64000</v>
      </c>
      <c r="R427" s="194">
        <v>704000</v>
      </c>
      <c r="S427" s="192"/>
      <c r="T427" s="192" t="s">
        <v>310</v>
      </c>
      <c r="U427" s="190">
        <v>60486</v>
      </c>
      <c r="V427" s="190"/>
      <c r="W427" s="195" t="s">
        <v>356</v>
      </c>
      <c r="X427" s="196" t="str">
        <f>+IFERROR(VLOOKUP($F427,'[2]Chuyển đổi mã'!$A$1:$C$91,3,0),$F427)&amp;AC427</f>
        <v>Lotte South323708</v>
      </c>
      <c r="Y427" s="196" t="str">
        <f>IFERROR(VLOOKUP($F427,'[2]Chuyển đổi mã'!$A$1:$C$184,3,0),F427)</f>
        <v>Lotte South</v>
      </c>
      <c r="Z427" s="196" t="str">
        <f>VLOOKUP($G427,'[2]Thông tin NPP'!$B:$D,3,0)</f>
        <v>Lotte South</v>
      </c>
      <c r="AA427" s="196" t="str">
        <f t="shared" si="95"/>
        <v>Nextar Bro</v>
      </c>
      <c r="AB427" s="196" t="str">
        <f>IFERROR(VLOOKUP(DAY(B427),'[2]Chuyển đổi mã'!$F$1:$G$32,2,0),0)</f>
        <v>W2</v>
      </c>
      <c r="AC427" s="196" t="str">
        <f t="shared" si="96"/>
        <v>323708</v>
      </c>
      <c r="AD427" s="196" t="str">
        <f t="shared" si="97"/>
        <v>NPP</v>
      </c>
      <c r="AE427" s="196" t="str">
        <f t="shared" si="98"/>
        <v>NPP323708</v>
      </c>
      <c r="AF427" s="196">
        <f t="shared" si="99"/>
        <v>0</v>
      </c>
    </row>
    <row r="428" spans="1:32" ht="12.95" customHeight="1">
      <c r="A428" s="190">
        <v>62673</v>
      </c>
      <c r="B428" s="191">
        <v>43567</v>
      </c>
      <c r="C428" s="190" t="s">
        <v>457</v>
      </c>
      <c r="D428" s="190" t="s">
        <v>592</v>
      </c>
      <c r="E428" s="190" t="s">
        <v>346</v>
      </c>
      <c r="F428" s="190" t="s">
        <v>459</v>
      </c>
      <c r="G428" s="192" t="s">
        <v>460</v>
      </c>
      <c r="H428" s="192" t="s">
        <v>296</v>
      </c>
      <c r="I428" s="192" t="s">
        <v>349</v>
      </c>
      <c r="J428" s="192" t="s">
        <v>350</v>
      </c>
      <c r="K428" s="190" t="s">
        <v>351</v>
      </c>
      <c r="L428" s="190" t="s">
        <v>352</v>
      </c>
      <c r="M428" s="192" t="s">
        <v>353</v>
      </c>
      <c r="N428" s="193">
        <v>40</v>
      </c>
      <c r="O428" s="193">
        <v>115036.7</v>
      </c>
      <c r="P428" s="194">
        <v>4601468</v>
      </c>
      <c r="Q428" s="194">
        <v>460146.8</v>
      </c>
      <c r="R428" s="194">
        <v>5061614.8</v>
      </c>
      <c r="S428" s="192" t="s">
        <v>544</v>
      </c>
      <c r="T428" s="192" t="s">
        <v>545</v>
      </c>
      <c r="U428" s="190">
        <v>60487</v>
      </c>
      <c r="V428" s="190"/>
      <c r="W428" s="195" t="s">
        <v>356</v>
      </c>
      <c r="X428" s="196" t="str">
        <f>+IFERROR(VLOOKUP($F428,'[2]Chuyển đổi mã'!$A$1:$C$91,3,0),$F428)&amp;AC428</f>
        <v>Lotte South320463</v>
      </c>
      <c r="Y428" s="196" t="str">
        <f>IFERROR(VLOOKUP($F428,'[2]Chuyển đổi mã'!$A$1:$C$184,3,0),F428)</f>
        <v>Lotte South</v>
      </c>
      <c r="Z428" s="196" t="str">
        <f>VLOOKUP($G428,'[2]Thông tin NPP'!$B:$D,3,0)</f>
        <v>Lotte South</v>
      </c>
      <c r="AA428" s="196" t="str">
        <f t="shared" si="95"/>
        <v>Na 8,5g</v>
      </c>
      <c r="AB428" s="196" t="str">
        <f>IFERROR(VLOOKUP(DAY(B428),'[2]Chuyển đổi mã'!$F$1:$G$32,2,0),0)</f>
        <v>W2</v>
      </c>
      <c r="AC428" s="196" t="str">
        <f t="shared" si="96"/>
        <v>320463</v>
      </c>
      <c r="AD428" s="196" t="str">
        <f t="shared" si="97"/>
        <v>NPP</v>
      </c>
      <c r="AE428" s="196" t="str">
        <f t="shared" si="98"/>
        <v>NPP320463</v>
      </c>
      <c r="AF428" s="196">
        <f t="shared" si="99"/>
        <v>0</v>
      </c>
    </row>
    <row r="429" spans="1:32" ht="12.95" customHeight="1">
      <c r="A429" s="190">
        <v>62673</v>
      </c>
      <c r="B429" s="191">
        <v>43567</v>
      </c>
      <c r="C429" s="190" t="s">
        <v>457</v>
      </c>
      <c r="D429" s="190" t="s">
        <v>592</v>
      </c>
      <c r="E429" s="190" t="s">
        <v>346</v>
      </c>
      <c r="F429" s="190" t="s">
        <v>459</v>
      </c>
      <c r="G429" s="192" t="s">
        <v>460</v>
      </c>
      <c r="H429" s="192" t="s">
        <v>296</v>
      </c>
      <c r="I429" s="192" t="s">
        <v>349</v>
      </c>
      <c r="J429" s="192" t="s">
        <v>350</v>
      </c>
      <c r="K429" s="190" t="s">
        <v>351</v>
      </c>
      <c r="L429" s="190" t="s">
        <v>387</v>
      </c>
      <c r="M429" s="192" t="s">
        <v>388</v>
      </c>
      <c r="N429" s="193">
        <v>5</v>
      </c>
      <c r="O429" s="193">
        <v>340000</v>
      </c>
      <c r="P429" s="194">
        <v>1700000</v>
      </c>
      <c r="Q429" s="194">
        <v>170000</v>
      </c>
      <c r="R429" s="194">
        <v>1870000</v>
      </c>
      <c r="S429" s="192"/>
      <c r="T429" s="192" t="s">
        <v>310</v>
      </c>
      <c r="U429" s="190">
        <v>60487</v>
      </c>
      <c r="V429" s="190"/>
      <c r="W429" s="195" t="s">
        <v>356</v>
      </c>
      <c r="X429" s="196" t="str">
        <f>+IFERROR(VLOOKUP($F429,'[2]Chuyển đổi mã'!$A$1:$C$91,3,0),$F429)&amp;AC429</f>
        <v>Lotte South323620</v>
      </c>
      <c r="Y429" s="196" t="str">
        <f>IFERROR(VLOOKUP($F429,'[2]Chuyển đổi mã'!$A$1:$C$184,3,0),F429)</f>
        <v>Lotte South</v>
      </c>
      <c r="Z429" s="196" t="str">
        <f>VLOOKUP($G429,'[2]Thông tin NPP'!$B:$D,3,0)</f>
        <v>Lotte South</v>
      </c>
      <c r="AA429" s="196" t="str">
        <f t="shared" si="95"/>
        <v>Ahh 16g</v>
      </c>
      <c r="AB429" s="196" t="str">
        <f>IFERROR(VLOOKUP(DAY(B429),'[2]Chuyển đổi mã'!$F$1:$G$32,2,0),0)</f>
        <v>W2</v>
      </c>
      <c r="AC429" s="196" t="str">
        <f t="shared" si="96"/>
        <v>323620</v>
      </c>
      <c r="AD429" s="196" t="str">
        <f t="shared" si="97"/>
        <v>NPP</v>
      </c>
      <c r="AE429" s="196" t="str">
        <f t="shared" si="98"/>
        <v>NPP323620</v>
      </c>
      <c r="AF429" s="196">
        <f t="shared" si="99"/>
        <v>0</v>
      </c>
    </row>
    <row r="430" spans="1:32" ht="12.95" customHeight="1">
      <c r="A430" s="190">
        <v>62673</v>
      </c>
      <c r="B430" s="191">
        <v>43567</v>
      </c>
      <c r="C430" s="190" t="s">
        <v>457</v>
      </c>
      <c r="D430" s="190" t="s">
        <v>592</v>
      </c>
      <c r="E430" s="190" t="s">
        <v>346</v>
      </c>
      <c r="F430" s="190" t="s">
        <v>459</v>
      </c>
      <c r="G430" s="192" t="s">
        <v>460</v>
      </c>
      <c r="H430" s="192" t="s">
        <v>296</v>
      </c>
      <c r="I430" s="192" t="s">
        <v>349</v>
      </c>
      <c r="J430" s="192" t="s">
        <v>350</v>
      </c>
      <c r="K430" s="190" t="s">
        <v>351</v>
      </c>
      <c r="L430" s="190" t="s">
        <v>359</v>
      </c>
      <c r="M430" s="192" t="s">
        <v>360</v>
      </c>
      <c r="N430" s="193">
        <v>2</v>
      </c>
      <c r="O430" s="193">
        <v>300000</v>
      </c>
      <c r="P430" s="194">
        <v>600000</v>
      </c>
      <c r="Q430" s="194">
        <v>60000</v>
      </c>
      <c r="R430" s="194">
        <v>660000</v>
      </c>
      <c r="S430" s="192"/>
      <c r="T430" s="192" t="s">
        <v>310</v>
      </c>
      <c r="U430" s="190">
        <v>60487</v>
      </c>
      <c r="V430" s="190"/>
      <c r="W430" s="195" t="s">
        <v>356</v>
      </c>
      <c r="X430" s="196" t="str">
        <f>+IFERROR(VLOOKUP($F430,'[2]Chuyển đổi mã'!$A$1:$C$91,3,0),$F430)&amp;AC430</f>
        <v>Lotte South320445</v>
      </c>
      <c r="Y430" s="196" t="str">
        <f>IFERROR(VLOOKUP($F430,'[2]Chuyển đổi mã'!$A$1:$C$184,3,0),F430)</f>
        <v>Lotte South</v>
      </c>
      <c r="Z430" s="196" t="str">
        <f>VLOOKUP($G430,'[2]Thông tin NPP'!$B:$D,3,0)</f>
        <v>Lotte South</v>
      </c>
      <c r="AA430" s="196" t="str">
        <f t="shared" si="95"/>
        <v>Na 58g</v>
      </c>
      <c r="AB430" s="196" t="str">
        <f>IFERROR(VLOOKUP(DAY(B430),'[2]Chuyển đổi mã'!$F$1:$G$32,2,0),0)</f>
        <v>W2</v>
      </c>
      <c r="AC430" s="196" t="str">
        <f t="shared" si="96"/>
        <v>320445</v>
      </c>
      <c r="AD430" s="196" t="str">
        <f t="shared" si="97"/>
        <v>NPP</v>
      </c>
      <c r="AE430" s="196" t="str">
        <f t="shared" si="98"/>
        <v>NPP320445</v>
      </c>
      <c r="AF430" s="196">
        <f t="shared" si="99"/>
        <v>0</v>
      </c>
    </row>
    <row r="431" spans="1:32" ht="12.95" customHeight="1">
      <c r="A431" s="190">
        <v>62673</v>
      </c>
      <c r="B431" s="191">
        <v>43567</v>
      </c>
      <c r="C431" s="190" t="s">
        <v>457</v>
      </c>
      <c r="D431" s="190" t="s">
        <v>592</v>
      </c>
      <c r="E431" s="190" t="s">
        <v>346</v>
      </c>
      <c r="F431" s="190" t="s">
        <v>459</v>
      </c>
      <c r="G431" s="192" t="s">
        <v>460</v>
      </c>
      <c r="H431" s="192" t="s">
        <v>296</v>
      </c>
      <c r="I431" s="192" t="s">
        <v>349</v>
      </c>
      <c r="J431" s="192" t="s">
        <v>350</v>
      </c>
      <c r="K431" s="190" t="s">
        <v>351</v>
      </c>
      <c r="L431" s="190" t="s">
        <v>357</v>
      </c>
      <c r="M431" s="192" t="s">
        <v>358</v>
      </c>
      <c r="N431" s="193">
        <v>5</v>
      </c>
      <c r="O431" s="193">
        <v>213273</v>
      </c>
      <c r="P431" s="194">
        <v>1066365</v>
      </c>
      <c r="Q431" s="194">
        <v>106636.5</v>
      </c>
      <c r="R431" s="194">
        <v>1173001.5</v>
      </c>
      <c r="S431" s="192"/>
      <c r="T431" s="192" t="s">
        <v>310</v>
      </c>
      <c r="U431" s="190">
        <v>60487</v>
      </c>
      <c r="V431" s="190"/>
      <c r="W431" s="195" t="s">
        <v>356</v>
      </c>
      <c r="X431" s="196" t="str">
        <f>+IFERROR(VLOOKUP($F431,'[2]Chuyển đổi mã'!$A$1:$C$91,3,0),$F431)&amp;AC431</f>
        <v>Lotte South323555</v>
      </c>
      <c r="Y431" s="196" t="str">
        <f>IFERROR(VLOOKUP($F431,'[2]Chuyển đổi mã'!$A$1:$C$184,3,0),F431)</f>
        <v>Lotte South</v>
      </c>
      <c r="Z431" s="196" t="str">
        <f>VLOOKUP($G431,'[2]Thông tin NPP'!$B:$D,3,0)</f>
        <v>Lotte South</v>
      </c>
      <c r="AA431" s="196" t="str">
        <f t="shared" si="95"/>
        <v>Na 17g - M</v>
      </c>
      <c r="AB431" s="196" t="str">
        <f>IFERROR(VLOOKUP(DAY(B431),'[2]Chuyển đổi mã'!$F$1:$G$32,2,0),0)</f>
        <v>W2</v>
      </c>
      <c r="AC431" s="196" t="str">
        <f t="shared" si="96"/>
        <v>323555</v>
      </c>
      <c r="AD431" s="196" t="str">
        <f t="shared" si="97"/>
        <v>NPP</v>
      </c>
      <c r="AE431" s="196" t="str">
        <f t="shared" si="98"/>
        <v>NPP323555</v>
      </c>
      <c r="AF431" s="196">
        <f t="shared" si="99"/>
        <v>0</v>
      </c>
    </row>
    <row r="432" spans="1:32" ht="12.95" customHeight="1">
      <c r="A432" s="190">
        <v>62689</v>
      </c>
      <c r="B432" s="191">
        <v>43567</v>
      </c>
      <c r="C432" s="190" t="s">
        <v>457</v>
      </c>
      <c r="D432" s="190" t="s">
        <v>593</v>
      </c>
      <c r="E432" s="190" t="s">
        <v>346</v>
      </c>
      <c r="F432" s="190" t="s">
        <v>463</v>
      </c>
      <c r="G432" s="192" t="s">
        <v>464</v>
      </c>
      <c r="H432" s="192" t="s">
        <v>296</v>
      </c>
      <c r="I432" s="192" t="s">
        <v>349</v>
      </c>
      <c r="J432" s="192" t="s">
        <v>350</v>
      </c>
      <c r="K432" s="190" t="s">
        <v>351</v>
      </c>
      <c r="L432" s="190" t="s">
        <v>387</v>
      </c>
      <c r="M432" s="192" t="s">
        <v>388</v>
      </c>
      <c r="N432" s="193">
        <v>2</v>
      </c>
      <c r="O432" s="193">
        <v>355455</v>
      </c>
      <c r="P432" s="194">
        <v>710910</v>
      </c>
      <c r="Q432" s="194">
        <v>71091</v>
      </c>
      <c r="R432" s="194">
        <v>782001</v>
      </c>
      <c r="S432" s="192"/>
      <c r="T432" s="192" t="s">
        <v>310</v>
      </c>
      <c r="U432" s="190">
        <v>60520</v>
      </c>
      <c r="V432" s="190"/>
      <c r="W432" s="195" t="s">
        <v>356</v>
      </c>
      <c r="X432" s="196" t="str">
        <f>+IFERROR(VLOOKUP($F432,'[2]Chuyển đổi mã'!$A$1:$C$91,3,0),$F432)&amp;AC432</f>
        <v>Big C South323620</v>
      </c>
      <c r="Y432" s="196" t="str">
        <f>IFERROR(VLOOKUP($F432,'[2]Chuyển đổi mã'!$A$1:$C$184,3,0),F432)</f>
        <v>Big C South</v>
      </c>
      <c r="Z432" s="196" t="str">
        <f>VLOOKUP($G432,'[2]Thông tin NPP'!$B:$D,3,0)</f>
        <v>BIG C South</v>
      </c>
      <c r="AA432" s="196" t="str">
        <f t="shared" ref="AA432:AA464" si="100">LEFT($M432,10)</f>
        <v>Ahh 16g</v>
      </c>
      <c r="AB432" s="196" t="str">
        <f>IFERROR(VLOOKUP(DAY(B432),'[2]Chuyển đổi mã'!$F$1:$G$32,2,0),0)</f>
        <v>W2</v>
      </c>
      <c r="AC432" s="196" t="str">
        <f t="shared" ref="AC432:AC464" si="101">LEFT(L432,6)</f>
        <v>323620</v>
      </c>
      <c r="AD432" s="196" t="str">
        <f t="shared" ref="AD432:AD464" si="102">LEFT(F432,3)</f>
        <v>NPP</v>
      </c>
      <c r="AE432" s="196" t="str">
        <f t="shared" ref="AE432:AE464" si="103">AD432&amp;AC432</f>
        <v>NPP323620</v>
      </c>
      <c r="AF432" s="196">
        <f t="shared" ref="AF432:AF464" si="104">IF(RIGHT(L432,1)="P","P",0)</f>
        <v>0</v>
      </c>
    </row>
    <row r="433" spans="1:32" ht="12.95" customHeight="1">
      <c r="A433" s="190">
        <v>62680</v>
      </c>
      <c r="B433" s="191">
        <v>43567</v>
      </c>
      <c r="C433" s="190" t="s">
        <v>457</v>
      </c>
      <c r="D433" s="190" t="s">
        <v>594</v>
      </c>
      <c r="E433" s="190" t="s">
        <v>346</v>
      </c>
      <c r="F433" s="190" t="s">
        <v>522</v>
      </c>
      <c r="G433" s="192" t="s">
        <v>523</v>
      </c>
      <c r="H433" s="192" t="s">
        <v>296</v>
      </c>
      <c r="I433" s="192" t="s">
        <v>349</v>
      </c>
      <c r="J433" s="192" t="s">
        <v>350</v>
      </c>
      <c r="K433" s="190" t="s">
        <v>351</v>
      </c>
      <c r="L433" s="190" t="s">
        <v>352</v>
      </c>
      <c r="M433" s="192" t="s">
        <v>353</v>
      </c>
      <c r="N433" s="193">
        <v>7</v>
      </c>
      <c r="O433" s="193">
        <v>155455</v>
      </c>
      <c r="P433" s="194">
        <v>1088185</v>
      </c>
      <c r="Q433" s="194">
        <v>108818.5</v>
      </c>
      <c r="R433" s="194">
        <v>1197003.5</v>
      </c>
      <c r="S433" s="192"/>
      <c r="T433" s="192" t="s">
        <v>310</v>
      </c>
      <c r="U433" s="190">
        <v>60518</v>
      </c>
      <c r="V433" s="190"/>
      <c r="W433" s="195" t="s">
        <v>356</v>
      </c>
      <c r="X433" s="196" t="str">
        <f>+IFERROR(VLOOKUP($F433,'[2]Chuyển đổi mã'!$A$1:$C$91,3,0),$F433)&amp;AC433</f>
        <v>Big C South320463</v>
      </c>
      <c r="Y433" s="196" t="str">
        <f>IFERROR(VLOOKUP($F433,'[2]Chuyển đổi mã'!$A$1:$C$184,3,0),F433)</f>
        <v>Big C South</v>
      </c>
      <c r="Z433" s="196" t="str">
        <f>VLOOKUP($G433,'[2]Thông tin NPP'!$B:$D,3,0)</f>
        <v>Big C South</v>
      </c>
      <c r="AA433" s="196" t="str">
        <f t="shared" si="100"/>
        <v>Na 8,5g</v>
      </c>
      <c r="AB433" s="196" t="str">
        <f>IFERROR(VLOOKUP(DAY(B433),'[2]Chuyển đổi mã'!$F$1:$G$32,2,0),0)</f>
        <v>W2</v>
      </c>
      <c r="AC433" s="196" t="str">
        <f t="shared" si="101"/>
        <v>320463</v>
      </c>
      <c r="AD433" s="196" t="str">
        <f t="shared" si="102"/>
        <v>NPP</v>
      </c>
      <c r="AE433" s="196" t="str">
        <f t="shared" si="103"/>
        <v>NPP320463</v>
      </c>
      <c r="AF433" s="196">
        <f t="shared" si="104"/>
        <v>0</v>
      </c>
    </row>
    <row r="434" spans="1:32" ht="12.95" customHeight="1">
      <c r="A434" s="190">
        <v>62680</v>
      </c>
      <c r="B434" s="191">
        <v>43567</v>
      </c>
      <c r="C434" s="190" t="s">
        <v>457</v>
      </c>
      <c r="D434" s="190" t="s">
        <v>594</v>
      </c>
      <c r="E434" s="190" t="s">
        <v>346</v>
      </c>
      <c r="F434" s="190" t="s">
        <v>522</v>
      </c>
      <c r="G434" s="192" t="s">
        <v>523</v>
      </c>
      <c r="H434" s="192" t="s">
        <v>296</v>
      </c>
      <c r="I434" s="192" t="s">
        <v>349</v>
      </c>
      <c r="J434" s="192" t="s">
        <v>350</v>
      </c>
      <c r="K434" s="190" t="s">
        <v>351</v>
      </c>
      <c r="L434" s="190" t="s">
        <v>357</v>
      </c>
      <c r="M434" s="192" t="s">
        <v>358</v>
      </c>
      <c r="N434" s="193">
        <v>14</v>
      </c>
      <c r="O434" s="193">
        <v>213273</v>
      </c>
      <c r="P434" s="194">
        <v>2985822</v>
      </c>
      <c r="Q434" s="194">
        <v>298582.2</v>
      </c>
      <c r="R434" s="194">
        <v>3284404.2</v>
      </c>
      <c r="S434" s="192"/>
      <c r="T434" s="192" t="s">
        <v>310</v>
      </c>
      <c r="U434" s="190">
        <v>60518</v>
      </c>
      <c r="V434" s="190"/>
      <c r="W434" s="195" t="s">
        <v>356</v>
      </c>
      <c r="X434" s="196" t="str">
        <f>+IFERROR(VLOOKUP($F434,'[2]Chuyển đổi mã'!$A$1:$C$91,3,0),$F434)&amp;AC434</f>
        <v>Big C South323555</v>
      </c>
      <c r="Y434" s="196" t="str">
        <f>IFERROR(VLOOKUP($F434,'[2]Chuyển đổi mã'!$A$1:$C$184,3,0),F434)</f>
        <v>Big C South</v>
      </c>
      <c r="Z434" s="196" t="str">
        <f>VLOOKUP($G434,'[2]Thông tin NPP'!$B:$D,3,0)</f>
        <v>Big C South</v>
      </c>
      <c r="AA434" s="196" t="str">
        <f t="shared" si="100"/>
        <v>Na 17g - M</v>
      </c>
      <c r="AB434" s="196" t="str">
        <f>IFERROR(VLOOKUP(DAY(B434),'[2]Chuyển đổi mã'!$F$1:$G$32,2,0),0)</f>
        <v>W2</v>
      </c>
      <c r="AC434" s="196" t="str">
        <f t="shared" si="101"/>
        <v>323555</v>
      </c>
      <c r="AD434" s="196" t="str">
        <f t="shared" si="102"/>
        <v>NPP</v>
      </c>
      <c r="AE434" s="196" t="str">
        <f t="shared" si="103"/>
        <v>NPP323555</v>
      </c>
      <c r="AF434" s="196">
        <f t="shared" si="104"/>
        <v>0</v>
      </c>
    </row>
    <row r="435" spans="1:32" ht="12.95" customHeight="1">
      <c r="A435" s="190">
        <v>62680</v>
      </c>
      <c r="B435" s="191">
        <v>43567</v>
      </c>
      <c r="C435" s="190" t="s">
        <v>457</v>
      </c>
      <c r="D435" s="190" t="s">
        <v>594</v>
      </c>
      <c r="E435" s="190" t="s">
        <v>346</v>
      </c>
      <c r="F435" s="190" t="s">
        <v>522</v>
      </c>
      <c r="G435" s="192" t="s">
        <v>523</v>
      </c>
      <c r="H435" s="192" t="s">
        <v>296</v>
      </c>
      <c r="I435" s="192" t="s">
        <v>349</v>
      </c>
      <c r="J435" s="192" t="s">
        <v>350</v>
      </c>
      <c r="K435" s="190" t="s">
        <v>351</v>
      </c>
      <c r="L435" s="190" t="s">
        <v>359</v>
      </c>
      <c r="M435" s="192" t="s">
        <v>360</v>
      </c>
      <c r="N435" s="193">
        <v>3</v>
      </c>
      <c r="O435" s="193">
        <v>313636</v>
      </c>
      <c r="P435" s="194">
        <v>940908</v>
      </c>
      <c r="Q435" s="194">
        <v>94090.8</v>
      </c>
      <c r="R435" s="194">
        <v>1034998.8</v>
      </c>
      <c r="S435" s="192"/>
      <c r="T435" s="192" t="s">
        <v>310</v>
      </c>
      <c r="U435" s="190">
        <v>60518</v>
      </c>
      <c r="V435" s="190"/>
      <c r="W435" s="195" t="s">
        <v>356</v>
      </c>
      <c r="X435" s="196" t="str">
        <f>+IFERROR(VLOOKUP($F435,'[2]Chuyển đổi mã'!$A$1:$C$91,3,0),$F435)&amp;AC435</f>
        <v>Big C South320445</v>
      </c>
      <c r="Y435" s="196" t="str">
        <f>IFERROR(VLOOKUP($F435,'[2]Chuyển đổi mã'!$A$1:$C$184,3,0),F435)</f>
        <v>Big C South</v>
      </c>
      <c r="Z435" s="196" t="str">
        <f>VLOOKUP($G435,'[2]Thông tin NPP'!$B:$D,3,0)</f>
        <v>Big C South</v>
      </c>
      <c r="AA435" s="196" t="str">
        <f t="shared" si="100"/>
        <v>Na 58g</v>
      </c>
      <c r="AB435" s="196" t="str">
        <f>IFERROR(VLOOKUP(DAY(B435),'[2]Chuyển đổi mã'!$F$1:$G$32,2,0),0)</f>
        <v>W2</v>
      </c>
      <c r="AC435" s="196" t="str">
        <f t="shared" si="101"/>
        <v>320445</v>
      </c>
      <c r="AD435" s="196" t="str">
        <f t="shared" si="102"/>
        <v>NPP</v>
      </c>
      <c r="AE435" s="196" t="str">
        <f t="shared" si="103"/>
        <v>NPP320445</v>
      </c>
      <c r="AF435" s="196">
        <f t="shared" si="104"/>
        <v>0</v>
      </c>
    </row>
    <row r="436" spans="1:32" ht="12.95" customHeight="1">
      <c r="A436" s="190">
        <v>62680</v>
      </c>
      <c r="B436" s="191">
        <v>43567</v>
      </c>
      <c r="C436" s="190" t="s">
        <v>457</v>
      </c>
      <c r="D436" s="190" t="s">
        <v>594</v>
      </c>
      <c r="E436" s="190" t="s">
        <v>346</v>
      </c>
      <c r="F436" s="190" t="s">
        <v>522</v>
      </c>
      <c r="G436" s="192" t="s">
        <v>523</v>
      </c>
      <c r="H436" s="192" t="s">
        <v>296</v>
      </c>
      <c r="I436" s="192" t="s">
        <v>349</v>
      </c>
      <c r="J436" s="192" t="s">
        <v>350</v>
      </c>
      <c r="K436" s="190" t="s">
        <v>351</v>
      </c>
      <c r="L436" s="190" t="s">
        <v>361</v>
      </c>
      <c r="M436" s="192" t="s">
        <v>362</v>
      </c>
      <c r="N436" s="193">
        <v>3</v>
      </c>
      <c r="O436" s="193">
        <v>313636</v>
      </c>
      <c r="P436" s="194">
        <v>940908</v>
      </c>
      <c r="Q436" s="194">
        <v>94090.8</v>
      </c>
      <c r="R436" s="194">
        <v>1034998.8</v>
      </c>
      <c r="S436" s="192"/>
      <c r="T436" s="192" t="s">
        <v>310</v>
      </c>
      <c r="U436" s="190">
        <v>60518</v>
      </c>
      <c r="V436" s="190"/>
      <c r="W436" s="195" t="s">
        <v>356</v>
      </c>
      <c r="X436" s="196" t="str">
        <f>+IFERROR(VLOOKUP($F436,'[2]Chuyển đổi mã'!$A$1:$C$91,3,0),$F436)&amp;AC436</f>
        <v>Big C South331017</v>
      </c>
      <c r="Y436" s="196" t="str">
        <f>IFERROR(VLOOKUP($F436,'[2]Chuyển đổi mã'!$A$1:$C$184,3,0),F436)</f>
        <v>Big C South</v>
      </c>
      <c r="Z436" s="196" t="str">
        <f>VLOOKUP($G436,'[2]Thông tin NPP'!$B:$D,3,0)</f>
        <v>Big C South</v>
      </c>
      <c r="AA436" s="196" t="str">
        <f t="shared" si="100"/>
        <v>Richoco Wf</v>
      </c>
      <c r="AB436" s="196" t="str">
        <f>IFERROR(VLOOKUP(DAY(B436),'[2]Chuyển đổi mã'!$F$1:$G$32,2,0),0)</f>
        <v>W2</v>
      </c>
      <c r="AC436" s="196" t="str">
        <f t="shared" si="101"/>
        <v>331017</v>
      </c>
      <c r="AD436" s="196" t="str">
        <f t="shared" si="102"/>
        <v>NPP</v>
      </c>
      <c r="AE436" s="196" t="str">
        <f t="shared" si="103"/>
        <v>NPP331017</v>
      </c>
      <c r="AF436" s="196">
        <f t="shared" si="104"/>
        <v>0</v>
      </c>
    </row>
    <row r="437" spans="1:32" ht="12.95" customHeight="1">
      <c r="A437" s="190">
        <v>62683</v>
      </c>
      <c r="B437" s="191">
        <v>43567</v>
      </c>
      <c r="C437" s="190" t="s">
        <v>457</v>
      </c>
      <c r="D437" s="190" t="s">
        <v>595</v>
      </c>
      <c r="E437" s="190" t="s">
        <v>346</v>
      </c>
      <c r="F437" s="190" t="s">
        <v>596</v>
      </c>
      <c r="G437" s="192" t="s">
        <v>597</v>
      </c>
      <c r="H437" s="192" t="s">
        <v>296</v>
      </c>
      <c r="I437" s="192" t="s">
        <v>349</v>
      </c>
      <c r="J437" s="192" t="s">
        <v>350</v>
      </c>
      <c r="K437" s="190" t="s">
        <v>351</v>
      </c>
      <c r="L437" s="190" t="s">
        <v>352</v>
      </c>
      <c r="M437" s="192" t="s">
        <v>353</v>
      </c>
      <c r="N437" s="193">
        <v>6</v>
      </c>
      <c r="O437" s="193">
        <v>155455</v>
      </c>
      <c r="P437" s="194">
        <v>932730</v>
      </c>
      <c r="Q437" s="194">
        <v>93273</v>
      </c>
      <c r="R437" s="194">
        <v>1026003</v>
      </c>
      <c r="S437" s="192"/>
      <c r="T437" s="192" t="s">
        <v>310</v>
      </c>
      <c r="U437" s="190">
        <v>60519</v>
      </c>
      <c r="V437" s="190"/>
      <c r="W437" s="195" t="s">
        <v>356</v>
      </c>
      <c r="X437" s="196" t="str">
        <f>+IFERROR(VLOOKUP($F437,'[2]Chuyển đổi mã'!$A$1:$C$91,3,0),$F437)&amp;AC437</f>
        <v>Big C South320463</v>
      </c>
      <c r="Y437" s="196" t="str">
        <f>IFERROR(VLOOKUP($F437,'[2]Chuyển đổi mã'!$A$1:$C$184,3,0),F437)</f>
        <v>Big C South</v>
      </c>
      <c r="Z437" s="196">
        <f>VLOOKUP($G437,'[2]Thông tin NPP'!$B:$D,3,0)</f>
        <v>0</v>
      </c>
      <c r="AA437" s="196" t="str">
        <f t="shared" si="100"/>
        <v>Na 8,5g</v>
      </c>
      <c r="AB437" s="196" t="str">
        <f>IFERROR(VLOOKUP(DAY(B437),'[2]Chuyển đổi mã'!$F$1:$G$32,2,0),0)</f>
        <v>W2</v>
      </c>
      <c r="AC437" s="196" t="str">
        <f t="shared" si="101"/>
        <v>320463</v>
      </c>
      <c r="AD437" s="196" t="str">
        <f t="shared" si="102"/>
        <v>NPP</v>
      </c>
      <c r="AE437" s="196" t="str">
        <f t="shared" si="103"/>
        <v>NPP320463</v>
      </c>
      <c r="AF437" s="196">
        <f t="shared" si="104"/>
        <v>0</v>
      </c>
    </row>
    <row r="438" spans="1:32" ht="12.95" customHeight="1">
      <c r="A438" s="190">
        <v>62683</v>
      </c>
      <c r="B438" s="191">
        <v>43567</v>
      </c>
      <c r="C438" s="190" t="s">
        <v>457</v>
      </c>
      <c r="D438" s="190" t="s">
        <v>595</v>
      </c>
      <c r="E438" s="190" t="s">
        <v>346</v>
      </c>
      <c r="F438" s="190" t="s">
        <v>596</v>
      </c>
      <c r="G438" s="192" t="s">
        <v>597</v>
      </c>
      <c r="H438" s="192" t="s">
        <v>296</v>
      </c>
      <c r="I438" s="192" t="s">
        <v>349</v>
      </c>
      <c r="J438" s="192" t="s">
        <v>350</v>
      </c>
      <c r="K438" s="190" t="s">
        <v>351</v>
      </c>
      <c r="L438" s="190" t="s">
        <v>387</v>
      </c>
      <c r="M438" s="192" t="s">
        <v>388</v>
      </c>
      <c r="N438" s="193">
        <v>4</v>
      </c>
      <c r="O438" s="193">
        <v>355455</v>
      </c>
      <c r="P438" s="194">
        <v>1421820</v>
      </c>
      <c r="Q438" s="194">
        <v>142182</v>
      </c>
      <c r="R438" s="194">
        <v>1564002</v>
      </c>
      <c r="S438" s="192"/>
      <c r="T438" s="192" t="s">
        <v>310</v>
      </c>
      <c r="U438" s="190">
        <v>60519</v>
      </c>
      <c r="V438" s="190"/>
      <c r="W438" s="195" t="s">
        <v>356</v>
      </c>
      <c r="X438" s="196" t="str">
        <f>+IFERROR(VLOOKUP($F438,'[2]Chuyển đổi mã'!$A$1:$C$91,3,0),$F438)&amp;AC438</f>
        <v>Big C South323620</v>
      </c>
      <c r="Y438" s="196" t="str">
        <f>IFERROR(VLOOKUP($F438,'[2]Chuyển đổi mã'!$A$1:$C$184,3,0),F438)</f>
        <v>Big C South</v>
      </c>
      <c r="Z438" s="196">
        <f>VLOOKUP($G438,'[2]Thông tin NPP'!$B:$D,3,0)</f>
        <v>0</v>
      </c>
      <c r="AA438" s="196" t="str">
        <f t="shared" si="100"/>
        <v>Ahh 16g</v>
      </c>
      <c r="AB438" s="196" t="str">
        <f>IFERROR(VLOOKUP(DAY(B438),'[2]Chuyển đổi mã'!$F$1:$G$32,2,0),0)</f>
        <v>W2</v>
      </c>
      <c r="AC438" s="196" t="str">
        <f t="shared" si="101"/>
        <v>323620</v>
      </c>
      <c r="AD438" s="196" t="str">
        <f t="shared" si="102"/>
        <v>NPP</v>
      </c>
      <c r="AE438" s="196" t="str">
        <f t="shared" si="103"/>
        <v>NPP323620</v>
      </c>
      <c r="AF438" s="196">
        <f t="shared" si="104"/>
        <v>0</v>
      </c>
    </row>
    <row r="439" spans="1:32" ht="12.95" customHeight="1">
      <c r="A439" s="190">
        <v>62683</v>
      </c>
      <c r="B439" s="191">
        <v>43567</v>
      </c>
      <c r="C439" s="190" t="s">
        <v>457</v>
      </c>
      <c r="D439" s="190" t="s">
        <v>595</v>
      </c>
      <c r="E439" s="190" t="s">
        <v>346</v>
      </c>
      <c r="F439" s="190" t="s">
        <v>596</v>
      </c>
      <c r="G439" s="192" t="s">
        <v>597</v>
      </c>
      <c r="H439" s="192" t="s">
        <v>296</v>
      </c>
      <c r="I439" s="192" t="s">
        <v>349</v>
      </c>
      <c r="J439" s="192" t="s">
        <v>350</v>
      </c>
      <c r="K439" s="190" t="s">
        <v>351</v>
      </c>
      <c r="L439" s="190" t="s">
        <v>357</v>
      </c>
      <c r="M439" s="192" t="s">
        <v>358</v>
      </c>
      <c r="N439" s="193">
        <v>20</v>
      </c>
      <c r="O439" s="193">
        <v>213273</v>
      </c>
      <c r="P439" s="194">
        <v>4265460</v>
      </c>
      <c r="Q439" s="194">
        <v>426546</v>
      </c>
      <c r="R439" s="194">
        <v>4692006</v>
      </c>
      <c r="S439" s="192"/>
      <c r="T439" s="192" t="s">
        <v>310</v>
      </c>
      <c r="U439" s="190">
        <v>60519</v>
      </c>
      <c r="V439" s="190"/>
      <c r="W439" s="195" t="s">
        <v>356</v>
      </c>
      <c r="X439" s="196" t="str">
        <f>+IFERROR(VLOOKUP($F439,'[2]Chuyển đổi mã'!$A$1:$C$91,3,0),$F439)&amp;AC439</f>
        <v>Big C South323555</v>
      </c>
      <c r="Y439" s="196" t="str">
        <f>IFERROR(VLOOKUP($F439,'[2]Chuyển đổi mã'!$A$1:$C$184,3,0),F439)</f>
        <v>Big C South</v>
      </c>
      <c r="Z439" s="196">
        <f>VLOOKUP($G439,'[2]Thông tin NPP'!$B:$D,3,0)</f>
        <v>0</v>
      </c>
      <c r="AA439" s="196" t="str">
        <f t="shared" si="100"/>
        <v>Na 17g - M</v>
      </c>
      <c r="AB439" s="196" t="str">
        <f>IFERROR(VLOOKUP(DAY(B439),'[2]Chuyển đổi mã'!$F$1:$G$32,2,0),0)</f>
        <v>W2</v>
      </c>
      <c r="AC439" s="196" t="str">
        <f t="shared" si="101"/>
        <v>323555</v>
      </c>
      <c r="AD439" s="196" t="str">
        <f t="shared" si="102"/>
        <v>NPP</v>
      </c>
      <c r="AE439" s="196" t="str">
        <f t="shared" si="103"/>
        <v>NPP323555</v>
      </c>
      <c r="AF439" s="196">
        <f t="shared" si="104"/>
        <v>0</v>
      </c>
    </row>
    <row r="440" spans="1:32" ht="12.95" customHeight="1">
      <c r="A440" s="190">
        <v>62683</v>
      </c>
      <c r="B440" s="191">
        <v>43567</v>
      </c>
      <c r="C440" s="190" t="s">
        <v>457</v>
      </c>
      <c r="D440" s="190" t="s">
        <v>595</v>
      </c>
      <c r="E440" s="190" t="s">
        <v>346</v>
      </c>
      <c r="F440" s="190" t="s">
        <v>596</v>
      </c>
      <c r="G440" s="192" t="s">
        <v>597</v>
      </c>
      <c r="H440" s="192" t="s">
        <v>296</v>
      </c>
      <c r="I440" s="192" t="s">
        <v>349</v>
      </c>
      <c r="J440" s="192" t="s">
        <v>350</v>
      </c>
      <c r="K440" s="190" t="s">
        <v>351</v>
      </c>
      <c r="L440" s="190" t="s">
        <v>359</v>
      </c>
      <c r="M440" s="192" t="s">
        <v>360</v>
      </c>
      <c r="N440" s="193">
        <v>5</v>
      </c>
      <c r="O440" s="193">
        <v>313636</v>
      </c>
      <c r="P440" s="194">
        <v>1568180</v>
      </c>
      <c r="Q440" s="194">
        <v>156818</v>
      </c>
      <c r="R440" s="194">
        <v>1724998</v>
      </c>
      <c r="S440" s="192"/>
      <c r="T440" s="192" t="s">
        <v>310</v>
      </c>
      <c r="U440" s="190">
        <v>60519</v>
      </c>
      <c r="V440" s="190"/>
      <c r="W440" s="195" t="s">
        <v>356</v>
      </c>
      <c r="X440" s="196" t="str">
        <f>+IFERROR(VLOOKUP($F440,'[2]Chuyển đổi mã'!$A$1:$C$91,3,0),$F440)&amp;AC440</f>
        <v>Big C South320445</v>
      </c>
      <c r="Y440" s="196" t="str">
        <f>IFERROR(VLOOKUP($F440,'[2]Chuyển đổi mã'!$A$1:$C$184,3,0),F440)</f>
        <v>Big C South</v>
      </c>
      <c r="Z440" s="196">
        <f>VLOOKUP($G440,'[2]Thông tin NPP'!$B:$D,3,0)</f>
        <v>0</v>
      </c>
      <c r="AA440" s="196" t="str">
        <f t="shared" si="100"/>
        <v>Na 58g</v>
      </c>
      <c r="AB440" s="196" t="str">
        <f>IFERROR(VLOOKUP(DAY(B440),'[2]Chuyển đổi mã'!$F$1:$G$32,2,0),0)</f>
        <v>W2</v>
      </c>
      <c r="AC440" s="196" t="str">
        <f t="shared" si="101"/>
        <v>320445</v>
      </c>
      <c r="AD440" s="196" t="str">
        <f t="shared" si="102"/>
        <v>NPP</v>
      </c>
      <c r="AE440" s="196" t="str">
        <f t="shared" si="103"/>
        <v>NPP320445</v>
      </c>
      <c r="AF440" s="196">
        <f t="shared" si="104"/>
        <v>0</v>
      </c>
    </row>
    <row r="441" spans="1:32" ht="12.95" customHeight="1">
      <c r="A441" s="190">
        <v>62683</v>
      </c>
      <c r="B441" s="191">
        <v>43567</v>
      </c>
      <c r="C441" s="190" t="s">
        <v>457</v>
      </c>
      <c r="D441" s="190" t="s">
        <v>595</v>
      </c>
      <c r="E441" s="190" t="s">
        <v>346</v>
      </c>
      <c r="F441" s="190" t="s">
        <v>596</v>
      </c>
      <c r="G441" s="192" t="s">
        <v>597</v>
      </c>
      <c r="H441" s="192" t="s">
        <v>296</v>
      </c>
      <c r="I441" s="192" t="s">
        <v>349</v>
      </c>
      <c r="J441" s="192" t="s">
        <v>350</v>
      </c>
      <c r="K441" s="190" t="s">
        <v>351</v>
      </c>
      <c r="L441" s="190" t="s">
        <v>361</v>
      </c>
      <c r="M441" s="192" t="s">
        <v>362</v>
      </c>
      <c r="N441" s="193">
        <v>3</v>
      </c>
      <c r="O441" s="193">
        <v>313636</v>
      </c>
      <c r="P441" s="194">
        <v>940908</v>
      </c>
      <c r="Q441" s="194">
        <v>94090.8</v>
      </c>
      <c r="R441" s="194">
        <v>1034998.8</v>
      </c>
      <c r="S441" s="192"/>
      <c r="T441" s="192" t="s">
        <v>310</v>
      </c>
      <c r="U441" s="190">
        <v>60519</v>
      </c>
      <c r="V441" s="190"/>
      <c r="W441" s="195" t="s">
        <v>356</v>
      </c>
      <c r="X441" s="196" t="str">
        <f>+IFERROR(VLOOKUP($F441,'[2]Chuyển đổi mã'!$A$1:$C$91,3,0),$F441)&amp;AC441</f>
        <v>Big C South331017</v>
      </c>
      <c r="Y441" s="196" t="str">
        <f>IFERROR(VLOOKUP($F441,'[2]Chuyển đổi mã'!$A$1:$C$184,3,0),F441)</f>
        <v>Big C South</v>
      </c>
      <c r="Z441" s="196">
        <f>VLOOKUP($G441,'[2]Thông tin NPP'!$B:$D,3,0)</f>
        <v>0</v>
      </c>
      <c r="AA441" s="196" t="str">
        <f t="shared" si="100"/>
        <v>Richoco Wf</v>
      </c>
      <c r="AB441" s="196" t="str">
        <f>IFERROR(VLOOKUP(DAY(B441),'[2]Chuyển đổi mã'!$F$1:$G$32,2,0),0)</f>
        <v>W2</v>
      </c>
      <c r="AC441" s="196" t="str">
        <f t="shared" si="101"/>
        <v>331017</v>
      </c>
      <c r="AD441" s="196" t="str">
        <f t="shared" si="102"/>
        <v>NPP</v>
      </c>
      <c r="AE441" s="196" t="str">
        <f t="shared" si="103"/>
        <v>NPP331017</v>
      </c>
      <c r="AF441" s="196">
        <f t="shared" si="104"/>
        <v>0</v>
      </c>
    </row>
    <row r="442" spans="1:32" ht="12.95" customHeight="1">
      <c r="A442" s="190">
        <v>62687</v>
      </c>
      <c r="B442" s="191">
        <v>43567</v>
      </c>
      <c r="C442" s="190" t="s">
        <v>457</v>
      </c>
      <c r="D442" s="190" t="s">
        <v>598</v>
      </c>
      <c r="E442" s="190" t="s">
        <v>346</v>
      </c>
      <c r="F442" s="190" t="s">
        <v>525</v>
      </c>
      <c r="G442" s="192" t="s">
        <v>526</v>
      </c>
      <c r="H442" s="192" t="s">
        <v>296</v>
      </c>
      <c r="I442" s="192" t="s">
        <v>349</v>
      </c>
      <c r="J442" s="192" t="s">
        <v>350</v>
      </c>
      <c r="K442" s="190" t="s">
        <v>351</v>
      </c>
      <c r="L442" s="190" t="s">
        <v>352</v>
      </c>
      <c r="M442" s="192" t="s">
        <v>353</v>
      </c>
      <c r="N442" s="193">
        <v>10</v>
      </c>
      <c r="O442" s="193">
        <v>155455</v>
      </c>
      <c r="P442" s="194">
        <v>1554550</v>
      </c>
      <c r="Q442" s="194">
        <v>155455</v>
      </c>
      <c r="R442" s="194">
        <v>1710005</v>
      </c>
      <c r="S442" s="192"/>
      <c r="T442" s="192" t="s">
        <v>310</v>
      </c>
      <c r="U442" s="190">
        <v>60524</v>
      </c>
      <c r="V442" s="190"/>
      <c r="W442" s="195" t="s">
        <v>356</v>
      </c>
      <c r="X442" s="196" t="str">
        <f>+IFERROR(VLOOKUP($F442,'[2]Chuyển đổi mã'!$A$1:$C$91,3,0),$F442)&amp;AC442</f>
        <v>Big C South320463</v>
      </c>
      <c r="Y442" s="196" t="str">
        <f>IFERROR(VLOOKUP($F442,'[2]Chuyển đổi mã'!$A$1:$C$184,3,0),F442)</f>
        <v>Big C South</v>
      </c>
      <c r="Z442" s="196" t="str">
        <f>VLOOKUP($G442,'[2]Thông tin NPP'!$B:$D,3,0)</f>
        <v>BIG C South</v>
      </c>
      <c r="AA442" s="196" t="str">
        <f t="shared" si="100"/>
        <v>Na 8,5g</v>
      </c>
      <c r="AB442" s="196" t="str">
        <f>IFERROR(VLOOKUP(DAY(B442),'[2]Chuyển đổi mã'!$F$1:$G$32,2,0),0)</f>
        <v>W2</v>
      </c>
      <c r="AC442" s="196" t="str">
        <f t="shared" si="101"/>
        <v>320463</v>
      </c>
      <c r="AD442" s="196" t="str">
        <f t="shared" si="102"/>
        <v>NPP</v>
      </c>
      <c r="AE442" s="196" t="str">
        <f t="shared" si="103"/>
        <v>NPP320463</v>
      </c>
      <c r="AF442" s="196">
        <f t="shared" si="104"/>
        <v>0</v>
      </c>
    </row>
    <row r="443" spans="1:32" ht="12.95" customHeight="1">
      <c r="A443" s="190">
        <v>62687</v>
      </c>
      <c r="B443" s="191">
        <v>43567</v>
      </c>
      <c r="C443" s="190" t="s">
        <v>457</v>
      </c>
      <c r="D443" s="190" t="s">
        <v>598</v>
      </c>
      <c r="E443" s="190" t="s">
        <v>346</v>
      </c>
      <c r="F443" s="190" t="s">
        <v>525</v>
      </c>
      <c r="G443" s="192" t="s">
        <v>526</v>
      </c>
      <c r="H443" s="192" t="s">
        <v>296</v>
      </c>
      <c r="I443" s="192" t="s">
        <v>349</v>
      </c>
      <c r="J443" s="192" t="s">
        <v>350</v>
      </c>
      <c r="K443" s="190" t="s">
        <v>351</v>
      </c>
      <c r="L443" s="190" t="s">
        <v>387</v>
      </c>
      <c r="M443" s="192" t="s">
        <v>388</v>
      </c>
      <c r="N443" s="193">
        <v>3</v>
      </c>
      <c r="O443" s="193">
        <v>355455</v>
      </c>
      <c r="P443" s="194">
        <v>1066365</v>
      </c>
      <c r="Q443" s="194">
        <v>106636.5</v>
      </c>
      <c r="R443" s="194">
        <v>1173001.5</v>
      </c>
      <c r="S443" s="192"/>
      <c r="T443" s="192" t="s">
        <v>310</v>
      </c>
      <c r="U443" s="190">
        <v>60524</v>
      </c>
      <c r="V443" s="190"/>
      <c r="W443" s="195" t="s">
        <v>356</v>
      </c>
      <c r="X443" s="196" t="str">
        <f>+IFERROR(VLOOKUP($F443,'[2]Chuyển đổi mã'!$A$1:$C$91,3,0),$F443)&amp;AC443</f>
        <v>Big C South323620</v>
      </c>
      <c r="Y443" s="196" t="str">
        <f>IFERROR(VLOOKUP($F443,'[2]Chuyển đổi mã'!$A$1:$C$184,3,0),F443)</f>
        <v>Big C South</v>
      </c>
      <c r="Z443" s="196" t="str">
        <f>VLOOKUP($G443,'[2]Thông tin NPP'!$B:$D,3,0)</f>
        <v>BIG C South</v>
      </c>
      <c r="AA443" s="196" t="str">
        <f t="shared" si="100"/>
        <v>Ahh 16g</v>
      </c>
      <c r="AB443" s="196" t="str">
        <f>IFERROR(VLOOKUP(DAY(B443),'[2]Chuyển đổi mã'!$F$1:$G$32,2,0),0)</f>
        <v>W2</v>
      </c>
      <c r="AC443" s="196" t="str">
        <f t="shared" si="101"/>
        <v>323620</v>
      </c>
      <c r="AD443" s="196" t="str">
        <f t="shared" si="102"/>
        <v>NPP</v>
      </c>
      <c r="AE443" s="196" t="str">
        <f t="shared" si="103"/>
        <v>NPP323620</v>
      </c>
      <c r="AF443" s="196">
        <f t="shared" si="104"/>
        <v>0</v>
      </c>
    </row>
    <row r="444" spans="1:32" ht="12.95" customHeight="1">
      <c r="A444" s="190">
        <v>62687</v>
      </c>
      <c r="B444" s="191">
        <v>43567</v>
      </c>
      <c r="C444" s="190" t="s">
        <v>457</v>
      </c>
      <c r="D444" s="190" t="s">
        <v>598</v>
      </c>
      <c r="E444" s="190" t="s">
        <v>346</v>
      </c>
      <c r="F444" s="190" t="s">
        <v>525</v>
      </c>
      <c r="G444" s="192" t="s">
        <v>526</v>
      </c>
      <c r="H444" s="192" t="s">
        <v>296</v>
      </c>
      <c r="I444" s="192" t="s">
        <v>349</v>
      </c>
      <c r="J444" s="192" t="s">
        <v>350</v>
      </c>
      <c r="K444" s="190" t="s">
        <v>351</v>
      </c>
      <c r="L444" s="190" t="s">
        <v>357</v>
      </c>
      <c r="M444" s="192" t="s">
        <v>358</v>
      </c>
      <c r="N444" s="193">
        <v>5</v>
      </c>
      <c r="O444" s="193">
        <v>213273</v>
      </c>
      <c r="P444" s="194">
        <v>1066365</v>
      </c>
      <c r="Q444" s="194">
        <v>106636.5</v>
      </c>
      <c r="R444" s="194">
        <v>1173001.5</v>
      </c>
      <c r="S444" s="192"/>
      <c r="T444" s="192" t="s">
        <v>310</v>
      </c>
      <c r="U444" s="190">
        <v>60524</v>
      </c>
      <c r="V444" s="190"/>
      <c r="W444" s="195" t="s">
        <v>356</v>
      </c>
      <c r="X444" s="196" t="str">
        <f>+IFERROR(VLOOKUP($F444,'[2]Chuyển đổi mã'!$A$1:$C$91,3,0),$F444)&amp;AC444</f>
        <v>Big C South323555</v>
      </c>
      <c r="Y444" s="196" t="str">
        <f>IFERROR(VLOOKUP($F444,'[2]Chuyển đổi mã'!$A$1:$C$184,3,0),F444)</f>
        <v>Big C South</v>
      </c>
      <c r="Z444" s="196" t="str">
        <f>VLOOKUP($G444,'[2]Thông tin NPP'!$B:$D,3,0)</f>
        <v>BIG C South</v>
      </c>
      <c r="AA444" s="196" t="str">
        <f t="shared" si="100"/>
        <v>Na 17g - M</v>
      </c>
      <c r="AB444" s="196" t="str">
        <f>IFERROR(VLOOKUP(DAY(B444),'[2]Chuyển đổi mã'!$F$1:$G$32,2,0),0)</f>
        <v>W2</v>
      </c>
      <c r="AC444" s="196" t="str">
        <f t="shared" si="101"/>
        <v>323555</v>
      </c>
      <c r="AD444" s="196" t="str">
        <f t="shared" si="102"/>
        <v>NPP</v>
      </c>
      <c r="AE444" s="196" t="str">
        <f t="shared" si="103"/>
        <v>NPP323555</v>
      </c>
      <c r="AF444" s="196">
        <f t="shared" si="104"/>
        <v>0</v>
      </c>
    </row>
    <row r="445" spans="1:32" ht="12.95" customHeight="1">
      <c r="A445" s="190">
        <v>62687</v>
      </c>
      <c r="B445" s="191">
        <v>43567</v>
      </c>
      <c r="C445" s="190" t="s">
        <v>457</v>
      </c>
      <c r="D445" s="190" t="s">
        <v>598</v>
      </c>
      <c r="E445" s="190" t="s">
        <v>346</v>
      </c>
      <c r="F445" s="190" t="s">
        <v>525</v>
      </c>
      <c r="G445" s="192" t="s">
        <v>526</v>
      </c>
      <c r="H445" s="192" t="s">
        <v>296</v>
      </c>
      <c r="I445" s="192" t="s">
        <v>349</v>
      </c>
      <c r="J445" s="192" t="s">
        <v>350</v>
      </c>
      <c r="K445" s="190" t="s">
        <v>351</v>
      </c>
      <c r="L445" s="190" t="s">
        <v>359</v>
      </c>
      <c r="M445" s="192" t="s">
        <v>360</v>
      </c>
      <c r="N445" s="193">
        <v>3</v>
      </c>
      <c r="O445" s="193">
        <v>313636</v>
      </c>
      <c r="P445" s="194">
        <v>940908</v>
      </c>
      <c r="Q445" s="194">
        <v>94090.8</v>
      </c>
      <c r="R445" s="194">
        <v>1034998.8</v>
      </c>
      <c r="S445" s="192"/>
      <c r="T445" s="192" t="s">
        <v>310</v>
      </c>
      <c r="U445" s="190">
        <v>60524</v>
      </c>
      <c r="V445" s="190"/>
      <c r="W445" s="195" t="s">
        <v>356</v>
      </c>
      <c r="X445" s="196" t="str">
        <f>+IFERROR(VLOOKUP($F445,'[2]Chuyển đổi mã'!$A$1:$C$91,3,0),$F445)&amp;AC445</f>
        <v>Big C South320445</v>
      </c>
      <c r="Y445" s="196" t="str">
        <f>IFERROR(VLOOKUP($F445,'[2]Chuyển đổi mã'!$A$1:$C$184,3,0),F445)</f>
        <v>Big C South</v>
      </c>
      <c r="Z445" s="196" t="str">
        <f>VLOOKUP($G445,'[2]Thông tin NPP'!$B:$D,3,0)</f>
        <v>BIG C South</v>
      </c>
      <c r="AA445" s="196" t="str">
        <f t="shared" si="100"/>
        <v>Na 58g</v>
      </c>
      <c r="AB445" s="196" t="str">
        <f>IFERROR(VLOOKUP(DAY(B445),'[2]Chuyển đổi mã'!$F$1:$G$32,2,0),0)</f>
        <v>W2</v>
      </c>
      <c r="AC445" s="196" t="str">
        <f t="shared" si="101"/>
        <v>320445</v>
      </c>
      <c r="AD445" s="196" t="str">
        <f t="shared" si="102"/>
        <v>NPP</v>
      </c>
      <c r="AE445" s="196" t="str">
        <f t="shared" si="103"/>
        <v>NPP320445</v>
      </c>
      <c r="AF445" s="196">
        <f t="shared" si="104"/>
        <v>0</v>
      </c>
    </row>
    <row r="446" spans="1:32" ht="12.95" customHeight="1">
      <c r="A446" s="190">
        <v>62687</v>
      </c>
      <c r="B446" s="191">
        <v>43567</v>
      </c>
      <c r="C446" s="190" t="s">
        <v>457</v>
      </c>
      <c r="D446" s="190" t="s">
        <v>598</v>
      </c>
      <c r="E446" s="190" t="s">
        <v>346</v>
      </c>
      <c r="F446" s="190" t="s">
        <v>525</v>
      </c>
      <c r="G446" s="192" t="s">
        <v>526</v>
      </c>
      <c r="H446" s="192" t="s">
        <v>296</v>
      </c>
      <c r="I446" s="192" t="s">
        <v>349</v>
      </c>
      <c r="J446" s="192" t="s">
        <v>350</v>
      </c>
      <c r="K446" s="190" t="s">
        <v>351</v>
      </c>
      <c r="L446" s="190" t="s">
        <v>361</v>
      </c>
      <c r="M446" s="192" t="s">
        <v>362</v>
      </c>
      <c r="N446" s="193">
        <v>2</v>
      </c>
      <c r="O446" s="193">
        <v>313636</v>
      </c>
      <c r="P446" s="194">
        <v>627272</v>
      </c>
      <c r="Q446" s="194">
        <v>62727.199999999997</v>
      </c>
      <c r="R446" s="194">
        <v>689999.2</v>
      </c>
      <c r="S446" s="192"/>
      <c r="T446" s="192" t="s">
        <v>310</v>
      </c>
      <c r="U446" s="190">
        <v>60524</v>
      </c>
      <c r="V446" s="190"/>
      <c r="W446" s="195" t="s">
        <v>356</v>
      </c>
      <c r="X446" s="196" t="str">
        <f>+IFERROR(VLOOKUP($F446,'[2]Chuyển đổi mã'!$A$1:$C$91,3,0),$F446)&amp;AC446</f>
        <v>Big C South331017</v>
      </c>
      <c r="Y446" s="196" t="str">
        <f>IFERROR(VLOOKUP($F446,'[2]Chuyển đổi mã'!$A$1:$C$184,3,0),F446)</f>
        <v>Big C South</v>
      </c>
      <c r="Z446" s="196" t="str">
        <f>VLOOKUP($G446,'[2]Thông tin NPP'!$B:$D,3,0)</f>
        <v>BIG C South</v>
      </c>
      <c r="AA446" s="196" t="str">
        <f t="shared" si="100"/>
        <v>Richoco Wf</v>
      </c>
      <c r="AB446" s="196" t="str">
        <f>IFERROR(VLOOKUP(DAY(B446),'[2]Chuyển đổi mã'!$F$1:$G$32,2,0),0)</f>
        <v>W2</v>
      </c>
      <c r="AC446" s="196" t="str">
        <f t="shared" si="101"/>
        <v>331017</v>
      </c>
      <c r="AD446" s="196" t="str">
        <f t="shared" si="102"/>
        <v>NPP</v>
      </c>
      <c r="AE446" s="196" t="str">
        <f t="shared" si="103"/>
        <v>NPP331017</v>
      </c>
      <c r="AF446" s="196">
        <f t="shared" si="104"/>
        <v>0</v>
      </c>
    </row>
    <row r="447" spans="1:32" ht="12.95" customHeight="1">
      <c r="A447" s="190">
        <v>62689</v>
      </c>
      <c r="B447" s="191">
        <v>43567</v>
      </c>
      <c r="C447" s="190" t="s">
        <v>457</v>
      </c>
      <c r="D447" s="190" t="s">
        <v>593</v>
      </c>
      <c r="E447" s="190" t="s">
        <v>346</v>
      </c>
      <c r="F447" s="190" t="s">
        <v>463</v>
      </c>
      <c r="G447" s="192" t="s">
        <v>464</v>
      </c>
      <c r="H447" s="192" t="s">
        <v>296</v>
      </c>
      <c r="I447" s="192" t="s">
        <v>349</v>
      </c>
      <c r="J447" s="192" t="s">
        <v>350</v>
      </c>
      <c r="K447" s="190" t="s">
        <v>351</v>
      </c>
      <c r="L447" s="190" t="s">
        <v>357</v>
      </c>
      <c r="M447" s="192" t="s">
        <v>358</v>
      </c>
      <c r="N447" s="193">
        <v>10</v>
      </c>
      <c r="O447" s="193">
        <v>213273</v>
      </c>
      <c r="P447" s="194">
        <v>2132730</v>
      </c>
      <c r="Q447" s="194">
        <v>213273</v>
      </c>
      <c r="R447" s="194">
        <v>2346003</v>
      </c>
      <c r="S447" s="192"/>
      <c r="T447" s="192" t="s">
        <v>310</v>
      </c>
      <c r="U447" s="190">
        <v>60520</v>
      </c>
      <c r="V447" s="190"/>
      <c r="W447" s="195" t="s">
        <v>356</v>
      </c>
      <c r="X447" s="196" t="str">
        <f>+IFERROR(VLOOKUP($F447,'[2]Chuyển đổi mã'!$A$1:$C$91,3,0),$F447)&amp;AC447</f>
        <v>Big C South323555</v>
      </c>
      <c r="Y447" s="196" t="str">
        <f>IFERROR(VLOOKUP($F447,'[2]Chuyển đổi mã'!$A$1:$C$184,3,0),F447)</f>
        <v>Big C South</v>
      </c>
      <c r="Z447" s="196" t="str">
        <f>VLOOKUP($G447,'[2]Thông tin NPP'!$B:$D,3,0)</f>
        <v>BIG C South</v>
      </c>
      <c r="AA447" s="196" t="str">
        <f t="shared" si="100"/>
        <v>Na 17g - M</v>
      </c>
      <c r="AB447" s="196" t="str">
        <f>IFERROR(VLOOKUP(DAY(B447),'[2]Chuyển đổi mã'!$F$1:$G$32,2,0),0)</f>
        <v>W2</v>
      </c>
      <c r="AC447" s="196" t="str">
        <f t="shared" si="101"/>
        <v>323555</v>
      </c>
      <c r="AD447" s="196" t="str">
        <f t="shared" si="102"/>
        <v>NPP</v>
      </c>
      <c r="AE447" s="196" t="str">
        <f t="shared" si="103"/>
        <v>NPP323555</v>
      </c>
      <c r="AF447" s="196">
        <f t="shared" si="104"/>
        <v>0</v>
      </c>
    </row>
    <row r="448" spans="1:32" ht="12.95" customHeight="1">
      <c r="A448" s="190">
        <v>62689</v>
      </c>
      <c r="B448" s="191">
        <v>43567</v>
      </c>
      <c r="C448" s="190" t="s">
        <v>457</v>
      </c>
      <c r="D448" s="190" t="s">
        <v>593</v>
      </c>
      <c r="E448" s="190" t="s">
        <v>346</v>
      </c>
      <c r="F448" s="190" t="s">
        <v>463</v>
      </c>
      <c r="G448" s="192" t="s">
        <v>464</v>
      </c>
      <c r="H448" s="192" t="s">
        <v>296</v>
      </c>
      <c r="I448" s="192" t="s">
        <v>349</v>
      </c>
      <c r="J448" s="192" t="s">
        <v>350</v>
      </c>
      <c r="K448" s="190" t="s">
        <v>351</v>
      </c>
      <c r="L448" s="190" t="s">
        <v>359</v>
      </c>
      <c r="M448" s="192" t="s">
        <v>360</v>
      </c>
      <c r="N448" s="193">
        <v>4</v>
      </c>
      <c r="O448" s="193">
        <v>313636</v>
      </c>
      <c r="P448" s="194">
        <v>1254544</v>
      </c>
      <c r="Q448" s="194">
        <v>125454.39999999999</v>
      </c>
      <c r="R448" s="194">
        <v>1379998.4</v>
      </c>
      <c r="S448" s="192"/>
      <c r="T448" s="192" t="s">
        <v>310</v>
      </c>
      <c r="U448" s="190">
        <v>60520</v>
      </c>
      <c r="V448" s="190"/>
      <c r="W448" s="195" t="s">
        <v>356</v>
      </c>
      <c r="X448" s="196" t="str">
        <f>+IFERROR(VLOOKUP($F448,'[2]Chuyển đổi mã'!$A$1:$C$91,3,0),$F448)&amp;AC448</f>
        <v>Big C South320445</v>
      </c>
      <c r="Y448" s="196" t="str">
        <f>IFERROR(VLOOKUP($F448,'[2]Chuyển đổi mã'!$A$1:$C$184,3,0),F448)</f>
        <v>Big C South</v>
      </c>
      <c r="Z448" s="196" t="str">
        <f>VLOOKUP($G448,'[2]Thông tin NPP'!$B:$D,3,0)</f>
        <v>BIG C South</v>
      </c>
      <c r="AA448" s="196" t="str">
        <f t="shared" si="100"/>
        <v>Na 58g</v>
      </c>
      <c r="AB448" s="196" t="str">
        <f>IFERROR(VLOOKUP(DAY(B448),'[2]Chuyển đổi mã'!$F$1:$G$32,2,0),0)</f>
        <v>W2</v>
      </c>
      <c r="AC448" s="196" t="str">
        <f t="shared" si="101"/>
        <v>320445</v>
      </c>
      <c r="AD448" s="196" t="str">
        <f t="shared" si="102"/>
        <v>NPP</v>
      </c>
      <c r="AE448" s="196" t="str">
        <f t="shared" si="103"/>
        <v>NPP320445</v>
      </c>
      <c r="AF448" s="196">
        <f t="shared" si="104"/>
        <v>0</v>
      </c>
    </row>
    <row r="449" spans="1:32" ht="12.95" customHeight="1">
      <c r="A449" s="190">
        <v>62689</v>
      </c>
      <c r="B449" s="191">
        <v>43567</v>
      </c>
      <c r="C449" s="190" t="s">
        <v>457</v>
      </c>
      <c r="D449" s="190" t="s">
        <v>593</v>
      </c>
      <c r="E449" s="190" t="s">
        <v>346</v>
      </c>
      <c r="F449" s="190" t="s">
        <v>463</v>
      </c>
      <c r="G449" s="192" t="s">
        <v>464</v>
      </c>
      <c r="H449" s="192" t="s">
        <v>296</v>
      </c>
      <c r="I449" s="192" t="s">
        <v>349</v>
      </c>
      <c r="J449" s="192" t="s">
        <v>350</v>
      </c>
      <c r="K449" s="190" t="s">
        <v>351</v>
      </c>
      <c r="L449" s="190" t="s">
        <v>361</v>
      </c>
      <c r="M449" s="192" t="s">
        <v>362</v>
      </c>
      <c r="N449" s="193">
        <v>4</v>
      </c>
      <c r="O449" s="193">
        <v>313636</v>
      </c>
      <c r="P449" s="194">
        <v>1254544</v>
      </c>
      <c r="Q449" s="194">
        <v>125454.39999999999</v>
      </c>
      <c r="R449" s="194">
        <v>1379998.4</v>
      </c>
      <c r="S449" s="192"/>
      <c r="T449" s="192" t="s">
        <v>310</v>
      </c>
      <c r="U449" s="190">
        <v>60520</v>
      </c>
      <c r="V449" s="190"/>
      <c r="W449" s="195" t="s">
        <v>356</v>
      </c>
      <c r="X449" s="196" t="str">
        <f>+IFERROR(VLOOKUP($F449,'[2]Chuyển đổi mã'!$A$1:$C$91,3,0),$F449)&amp;AC449</f>
        <v>Big C South331017</v>
      </c>
      <c r="Y449" s="196" t="str">
        <f>IFERROR(VLOOKUP($F449,'[2]Chuyển đổi mã'!$A$1:$C$184,3,0),F449)</f>
        <v>Big C South</v>
      </c>
      <c r="Z449" s="196" t="str">
        <f>VLOOKUP($G449,'[2]Thông tin NPP'!$B:$D,3,0)</f>
        <v>BIG C South</v>
      </c>
      <c r="AA449" s="196" t="str">
        <f t="shared" si="100"/>
        <v>Richoco Wf</v>
      </c>
      <c r="AB449" s="196" t="str">
        <f>IFERROR(VLOOKUP(DAY(B449),'[2]Chuyển đổi mã'!$F$1:$G$32,2,0),0)</f>
        <v>W2</v>
      </c>
      <c r="AC449" s="196" t="str">
        <f t="shared" si="101"/>
        <v>331017</v>
      </c>
      <c r="AD449" s="196" t="str">
        <f t="shared" si="102"/>
        <v>NPP</v>
      </c>
      <c r="AE449" s="196" t="str">
        <f t="shared" si="103"/>
        <v>NPP331017</v>
      </c>
      <c r="AF449" s="196">
        <f t="shared" si="104"/>
        <v>0</v>
      </c>
    </row>
    <row r="450" spans="1:32" ht="12.95" customHeight="1">
      <c r="A450" s="190">
        <v>62689</v>
      </c>
      <c r="B450" s="191">
        <v>43567</v>
      </c>
      <c r="C450" s="190" t="s">
        <v>457</v>
      </c>
      <c r="D450" s="190" t="s">
        <v>593</v>
      </c>
      <c r="E450" s="190" t="s">
        <v>346</v>
      </c>
      <c r="F450" s="190" t="s">
        <v>463</v>
      </c>
      <c r="G450" s="192" t="s">
        <v>464</v>
      </c>
      <c r="H450" s="192" t="s">
        <v>296</v>
      </c>
      <c r="I450" s="192" t="s">
        <v>349</v>
      </c>
      <c r="J450" s="192" t="s">
        <v>350</v>
      </c>
      <c r="K450" s="190" t="s">
        <v>351</v>
      </c>
      <c r="L450" s="190" t="s">
        <v>363</v>
      </c>
      <c r="M450" s="192" t="s">
        <v>364</v>
      </c>
      <c r="N450" s="193">
        <v>1</v>
      </c>
      <c r="O450" s="193">
        <v>334545</v>
      </c>
      <c r="P450" s="194">
        <v>334545</v>
      </c>
      <c r="Q450" s="194">
        <v>33454.5</v>
      </c>
      <c r="R450" s="194">
        <v>367999.5</v>
      </c>
      <c r="S450" s="192"/>
      <c r="T450" s="192" t="s">
        <v>310</v>
      </c>
      <c r="U450" s="190">
        <v>60520</v>
      </c>
      <c r="V450" s="190"/>
      <c r="W450" s="195" t="s">
        <v>356</v>
      </c>
      <c r="X450" s="196" t="str">
        <f>+IFERROR(VLOOKUP($F450,'[2]Chuyển đổi mã'!$A$1:$C$91,3,0),$F450)&amp;AC450</f>
        <v>Big C South323708</v>
      </c>
      <c r="Y450" s="196" t="str">
        <f>IFERROR(VLOOKUP($F450,'[2]Chuyển đổi mã'!$A$1:$C$184,3,0),F450)</f>
        <v>Big C South</v>
      </c>
      <c r="Z450" s="196" t="str">
        <f>VLOOKUP($G450,'[2]Thông tin NPP'!$B:$D,3,0)</f>
        <v>BIG C South</v>
      </c>
      <c r="AA450" s="196" t="str">
        <f t="shared" si="100"/>
        <v>Nextar Bro</v>
      </c>
      <c r="AB450" s="196" t="str">
        <f>IFERROR(VLOOKUP(DAY(B450),'[2]Chuyển đổi mã'!$F$1:$G$32,2,0),0)</f>
        <v>W2</v>
      </c>
      <c r="AC450" s="196" t="str">
        <f t="shared" si="101"/>
        <v>323708</v>
      </c>
      <c r="AD450" s="196" t="str">
        <f t="shared" si="102"/>
        <v>NPP</v>
      </c>
      <c r="AE450" s="196" t="str">
        <f t="shared" si="103"/>
        <v>NPP323708</v>
      </c>
      <c r="AF450" s="196">
        <f t="shared" si="104"/>
        <v>0</v>
      </c>
    </row>
    <row r="451" spans="1:32" ht="12.95" customHeight="1">
      <c r="A451" s="190">
        <v>62695</v>
      </c>
      <c r="B451" s="191">
        <v>43567</v>
      </c>
      <c r="C451" s="190" t="s">
        <v>457</v>
      </c>
      <c r="D451" s="190" t="s">
        <v>599</v>
      </c>
      <c r="E451" s="190" t="s">
        <v>346</v>
      </c>
      <c r="F451" s="190" t="s">
        <v>600</v>
      </c>
      <c r="G451" s="192" t="s">
        <v>601</v>
      </c>
      <c r="H451" s="192" t="s">
        <v>296</v>
      </c>
      <c r="I451" s="192" t="s">
        <v>349</v>
      </c>
      <c r="J451" s="192" t="s">
        <v>350</v>
      </c>
      <c r="K451" s="190" t="s">
        <v>351</v>
      </c>
      <c r="L451" s="190" t="s">
        <v>352</v>
      </c>
      <c r="M451" s="192" t="s">
        <v>353</v>
      </c>
      <c r="N451" s="193">
        <v>1</v>
      </c>
      <c r="O451" s="193">
        <v>155455</v>
      </c>
      <c r="P451" s="194">
        <v>155455</v>
      </c>
      <c r="Q451" s="194">
        <v>15545.5</v>
      </c>
      <c r="R451" s="194">
        <v>171000.5</v>
      </c>
      <c r="S451" s="192"/>
      <c r="T451" s="192" t="s">
        <v>310</v>
      </c>
      <c r="U451" s="190">
        <v>60523</v>
      </c>
      <c r="V451" s="190"/>
      <c r="W451" s="195" t="s">
        <v>356</v>
      </c>
      <c r="X451" s="196" t="str">
        <f>+IFERROR(VLOOKUP($F451,'[2]Chuyển đổi mã'!$A$1:$C$91,3,0),$F451)&amp;AC451</f>
        <v>Big C South320463</v>
      </c>
      <c r="Y451" s="196" t="str">
        <f>IFERROR(VLOOKUP($F451,'[2]Chuyển đổi mã'!$A$1:$C$184,3,0),F451)</f>
        <v>Big C South</v>
      </c>
      <c r="Z451" s="196" t="str">
        <f>VLOOKUP($G451,'[2]Thông tin NPP'!$B:$D,3,0)</f>
        <v>Big C South</v>
      </c>
      <c r="AA451" s="196" t="str">
        <f t="shared" si="100"/>
        <v>Na 8,5g</v>
      </c>
      <c r="AB451" s="196" t="str">
        <f>IFERROR(VLOOKUP(DAY(B451),'[2]Chuyển đổi mã'!$F$1:$G$32,2,0),0)</f>
        <v>W2</v>
      </c>
      <c r="AC451" s="196" t="str">
        <f t="shared" si="101"/>
        <v>320463</v>
      </c>
      <c r="AD451" s="196" t="str">
        <f t="shared" si="102"/>
        <v>NPP</v>
      </c>
      <c r="AE451" s="196" t="str">
        <f t="shared" si="103"/>
        <v>NPP320463</v>
      </c>
      <c r="AF451" s="196">
        <f t="shared" si="104"/>
        <v>0</v>
      </c>
    </row>
    <row r="452" spans="1:32" ht="12.95" customHeight="1">
      <c r="A452" s="190">
        <v>62695</v>
      </c>
      <c r="B452" s="191">
        <v>43567</v>
      </c>
      <c r="C452" s="190" t="s">
        <v>457</v>
      </c>
      <c r="D452" s="190" t="s">
        <v>599</v>
      </c>
      <c r="E452" s="190" t="s">
        <v>346</v>
      </c>
      <c r="F452" s="190" t="s">
        <v>600</v>
      </c>
      <c r="G452" s="192" t="s">
        <v>601</v>
      </c>
      <c r="H452" s="192" t="s">
        <v>296</v>
      </c>
      <c r="I452" s="192" t="s">
        <v>349</v>
      </c>
      <c r="J452" s="192" t="s">
        <v>350</v>
      </c>
      <c r="K452" s="190" t="s">
        <v>351</v>
      </c>
      <c r="L452" s="190" t="s">
        <v>387</v>
      </c>
      <c r="M452" s="192" t="s">
        <v>388</v>
      </c>
      <c r="N452" s="193">
        <v>5</v>
      </c>
      <c r="O452" s="193">
        <v>355455</v>
      </c>
      <c r="P452" s="194">
        <v>1777275</v>
      </c>
      <c r="Q452" s="194">
        <v>177727.5</v>
      </c>
      <c r="R452" s="194">
        <v>1955002.5</v>
      </c>
      <c r="S452" s="192"/>
      <c r="T452" s="192" t="s">
        <v>310</v>
      </c>
      <c r="U452" s="190">
        <v>60523</v>
      </c>
      <c r="V452" s="190"/>
      <c r="W452" s="195" t="s">
        <v>356</v>
      </c>
      <c r="X452" s="196" t="str">
        <f>+IFERROR(VLOOKUP($F452,'[2]Chuyển đổi mã'!$A$1:$C$91,3,0),$F452)&amp;AC452</f>
        <v>Big C South323620</v>
      </c>
      <c r="Y452" s="196" t="str">
        <f>IFERROR(VLOOKUP($F452,'[2]Chuyển đổi mã'!$A$1:$C$184,3,0),F452)</f>
        <v>Big C South</v>
      </c>
      <c r="Z452" s="196" t="str">
        <f>VLOOKUP($G452,'[2]Thông tin NPP'!$B:$D,3,0)</f>
        <v>Big C South</v>
      </c>
      <c r="AA452" s="196" t="str">
        <f t="shared" si="100"/>
        <v>Ahh 16g</v>
      </c>
      <c r="AB452" s="196" t="str">
        <f>IFERROR(VLOOKUP(DAY(B452),'[2]Chuyển đổi mã'!$F$1:$G$32,2,0),0)</f>
        <v>W2</v>
      </c>
      <c r="AC452" s="196" t="str">
        <f t="shared" si="101"/>
        <v>323620</v>
      </c>
      <c r="AD452" s="196" t="str">
        <f t="shared" si="102"/>
        <v>NPP</v>
      </c>
      <c r="AE452" s="196" t="str">
        <f t="shared" si="103"/>
        <v>NPP323620</v>
      </c>
      <c r="AF452" s="196">
        <f t="shared" si="104"/>
        <v>0</v>
      </c>
    </row>
    <row r="453" spans="1:32" ht="12.95" customHeight="1">
      <c r="A453" s="190">
        <v>62695</v>
      </c>
      <c r="B453" s="191">
        <v>43567</v>
      </c>
      <c r="C453" s="190" t="s">
        <v>457</v>
      </c>
      <c r="D453" s="190" t="s">
        <v>599</v>
      </c>
      <c r="E453" s="190" t="s">
        <v>346</v>
      </c>
      <c r="F453" s="190" t="s">
        <v>600</v>
      </c>
      <c r="G453" s="192" t="s">
        <v>601</v>
      </c>
      <c r="H453" s="192" t="s">
        <v>296</v>
      </c>
      <c r="I453" s="192" t="s">
        <v>349</v>
      </c>
      <c r="J453" s="192" t="s">
        <v>350</v>
      </c>
      <c r="K453" s="190" t="s">
        <v>351</v>
      </c>
      <c r="L453" s="190" t="s">
        <v>359</v>
      </c>
      <c r="M453" s="192" t="s">
        <v>360</v>
      </c>
      <c r="N453" s="193">
        <v>3</v>
      </c>
      <c r="O453" s="193">
        <v>313636</v>
      </c>
      <c r="P453" s="194">
        <v>940908</v>
      </c>
      <c r="Q453" s="194">
        <v>94090.8</v>
      </c>
      <c r="R453" s="194">
        <v>1034998.8</v>
      </c>
      <c r="S453" s="192"/>
      <c r="T453" s="192" t="s">
        <v>310</v>
      </c>
      <c r="U453" s="190">
        <v>60523</v>
      </c>
      <c r="V453" s="190"/>
      <c r="W453" s="195" t="s">
        <v>356</v>
      </c>
      <c r="X453" s="196" t="str">
        <f>+IFERROR(VLOOKUP($F453,'[2]Chuyển đổi mã'!$A$1:$C$91,3,0),$F453)&amp;AC453</f>
        <v>Big C South320445</v>
      </c>
      <c r="Y453" s="196" t="str">
        <f>IFERROR(VLOOKUP($F453,'[2]Chuyển đổi mã'!$A$1:$C$184,3,0),F453)</f>
        <v>Big C South</v>
      </c>
      <c r="Z453" s="196" t="str">
        <f>VLOOKUP($G453,'[2]Thông tin NPP'!$B:$D,3,0)</f>
        <v>Big C South</v>
      </c>
      <c r="AA453" s="196" t="str">
        <f t="shared" si="100"/>
        <v>Na 58g</v>
      </c>
      <c r="AB453" s="196" t="str">
        <f>IFERROR(VLOOKUP(DAY(B453),'[2]Chuyển đổi mã'!$F$1:$G$32,2,0),0)</f>
        <v>W2</v>
      </c>
      <c r="AC453" s="196" t="str">
        <f t="shared" si="101"/>
        <v>320445</v>
      </c>
      <c r="AD453" s="196" t="str">
        <f t="shared" si="102"/>
        <v>NPP</v>
      </c>
      <c r="AE453" s="196" t="str">
        <f t="shared" si="103"/>
        <v>NPP320445</v>
      </c>
      <c r="AF453" s="196">
        <f t="shared" si="104"/>
        <v>0</v>
      </c>
    </row>
    <row r="454" spans="1:32" ht="12.95" customHeight="1">
      <c r="A454" s="190">
        <v>62695</v>
      </c>
      <c r="B454" s="191">
        <v>43567</v>
      </c>
      <c r="C454" s="190" t="s">
        <v>457</v>
      </c>
      <c r="D454" s="190" t="s">
        <v>599</v>
      </c>
      <c r="E454" s="190" t="s">
        <v>346</v>
      </c>
      <c r="F454" s="190" t="s">
        <v>600</v>
      </c>
      <c r="G454" s="192" t="s">
        <v>601</v>
      </c>
      <c r="H454" s="192" t="s">
        <v>296</v>
      </c>
      <c r="I454" s="192" t="s">
        <v>349</v>
      </c>
      <c r="J454" s="192" t="s">
        <v>350</v>
      </c>
      <c r="K454" s="190" t="s">
        <v>351</v>
      </c>
      <c r="L454" s="190" t="s">
        <v>361</v>
      </c>
      <c r="M454" s="192" t="s">
        <v>362</v>
      </c>
      <c r="N454" s="193">
        <v>3</v>
      </c>
      <c r="O454" s="193">
        <v>313636</v>
      </c>
      <c r="P454" s="194">
        <v>940908</v>
      </c>
      <c r="Q454" s="194">
        <v>94090.8</v>
      </c>
      <c r="R454" s="194">
        <v>1034998.8</v>
      </c>
      <c r="S454" s="192"/>
      <c r="T454" s="192" t="s">
        <v>310</v>
      </c>
      <c r="U454" s="190">
        <v>60523</v>
      </c>
      <c r="V454" s="190"/>
      <c r="W454" s="195" t="s">
        <v>356</v>
      </c>
      <c r="X454" s="196" t="str">
        <f>+IFERROR(VLOOKUP($F454,'[2]Chuyển đổi mã'!$A$1:$C$91,3,0),$F454)&amp;AC454</f>
        <v>Big C South331017</v>
      </c>
      <c r="Y454" s="196" t="str">
        <f>IFERROR(VLOOKUP($F454,'[2]Chuyển đổi mã'!$A$1:$C$184,3,0),F454)</f>
        <v>Big C South</v>
      </c>
      <c r="Z454" s="196" t="str">
        <f>VLOOKUP($G454,'[2]Thông tin NPP'!$B:$D,3,0)</f>
        <v>Big C South</v>
      </c>
      <c r="AA454" s="196" t="str">
        <f t="shared" si="100"/>
        <v>Richoco Wf</v>
      </c>
      <c r="AB454" s="196" t="str">
        <f>IFERROR(VLOOKUP(DAY(B454),'[2]Chuyển đổi mã'!$F$1:$G$32,2,0),0)</f>
        <v>W2</v>
      </c>
      <c r="AC454" s="196" t="str">
        <f t="shared" si="101"/>
        <v>331017</v>
      </c>
      <c r="AD454" s="196" t="str">
        <f t="shared" si="102"/>
        <v>NPP</v>
      </c>
      <c r="AE454" s="196" t="str">
        <f t="shared" si="103"/>
        <v>NPP331017</v>
      </c>
      <c r="AF454" s="196">
        <f t="shared" si="104"/>
        <v>0</v>
      </c>
    </row>
    <row r="455" spans="1:32" ht="12.95" customHeight="1">
      <c r="A455" s="190">
        <v>62695</v>
      </c>
      <c r="B455" s="191">
        <v>43567</v>
      </c>
      <c r="C455" s="190" t="s">
        <v>457</v>
      </c>
      <c r="D455" s="190" t="s">
        <v>599</v>
      </c>
      <c r="E455" s="190" t="s">
        <v>346</v>
      </c>
      <c r="F455" s="190" t="s">
        <v>600</v>
      </c>
      <c r="G455" s="192" t="s">
        <v>601</v>
      </c>
      <c r="H455" s="192" t="s">
        <v>296</v>
      </c>
      <c r="I455" s="192" t="s">
        <v>349</v>
      </c>
      <c r="J455" s="192" t="s">
        <v>350</v>
      </c>
      <c r="K455" s="190" t="s">
        <v>351</v>
      </c>
      <c r="L455" s="190" t="s">
        <v>363</v>
      </c>
      <c r="M455" s="192" t="s">
        <v>364</v>
      </c>
      <c r="N455" s="193">
        <v>2</v>
      </c>
      <c r="O455" s="193">
        <v>334545</v>
      </c>
      <c r="P455" s="194">
        <v>669090</v>
      </c>
      <c r="Q455" s="194">
        <v>66909</v>
      </c>
      <c r="R455" s="194">
        <v>735999</v>
      </c>
      <c r="S455" s="192"/>
      <c r="T455" s="192" t="s">
        <v>310</v>
      </c>
      <c r="U455" s="190">
        <v>60523</v>
      </c>
      <c r="V455" s="190"/>
      <c r="W455" s="195" t="s">
        <v>356</v>
      </c>
      <c r="X455" s="196" t="str">
        <f>+IFERROR(VLOOKUP($F455,'[2]Chuyển đổi mã'!$A$1:$C$91,3,0),$F455)&amp;AC455</f>
        <v>Big C South323708</v>
      </c>
      <c r="Y455" s="196" t="str">
        <f>IFERROR(VLOOKUP($F455,'[2]Chuyển đổi mã'!$A$1:$C$184,3,0),F455)</f>
        <v>Big C South</v>
      </c>
      <c r="Z455" s="196" t="str">
        <f>VLOOKUP($G455,'[2]Thông tin NPP'!$B:$D,3,0)</f>
        <v>Big C South</v>
      </c>
      <c r="AA455" s="196" t="str">
        <f t="shared" si="100"/>
        <v>Nextar Bro</v>
      </c>
      <c r="AB455" s="196" t="str">
        <f>IFERROR(VLOOKUP(DAY(B455),'[2]Chuyển đổi mã'!$F$1:$G$32,2,0),0)</f>
        <v>W2</v>
      </c>
      <c r="AC455" s="196" t="str">
        <f t="shared" si="101"/>
        <v>323708</v>
      </c>
      <c r="AD455" s="196" t="str">
        <f t="shared" si="102"/>
        <v>NPP</v>
      </c>
      <c r="AE455" s="196" t="str">
        <f t="shared" si="103"/>
        <v>NPP323708</v>
      </c>
      <c r="AF455" s="196">
        <f t="shared" si="104"/>
        <v>0</v>
      </c>
    </row>
    <row r="456" spans="1:32" ht="12.95" customHeight="1">
      <c r="A456" s="190">
        <v>62690</v>
      </c>
      <c r="B456" s="191">
        <v>43567</v>
      </c>
      <c r="C456" s="190" t="s">
        <v>457</v>
      </c>
      <c r="D456" s="190" t="s">
        <v>602</v>
      </c>
      <c r="E456" s="190" t="s">
        <v>346</v>
      </c>
      <c r="F456" s="190" t="s">
        <v>531</v>
      </c>
      <c r="G456" s="192" t="s">
        <v>532</v>
      </c>
      <c r="H456" s="192" t="s">
        <v>296</v>
      </c>
      <c r="I456" s="192" t="s">
        <v>349</v>
      </c>
      <c r="J456" s="192" t="s">
        <v>350</v>
      </c>
      <c r="K456" s="190" t="s">
        <v>351</v>
      </c>
      <c r="L456" s="190" t="s">
        <v>352</v>
      </c>
      <c r="M456" s="192" t="s">
        <v>353</v>
      </c>
      <c r="N456" s="193">
        <v>10</v>
      </c>
      <c r="O456" s="193">
        <v>155455</v>
      </c>
      <c r="P456" s="194">
        <v>1554550</v>
      </c>
      <c r="Q456" s="194">
        <v>155455</v>
      </c>
      <c r="R456" s="194">
        <v>1710005</v>
      </c>
      <c r="S456" s="192"/>
      <c r="T456" s="192" t="s">
        <v>310</v>
      </c>
      <c r="U456" s="190">
        <v>60521</v>
      </c>
      <c r="V456" s="190"/>
      <c r="W456" s="195" t="s">
        <v>356</v>
      </c>
      <c r="X456" s="196" t="str">
        <f>+IFERROR(VLOOKUP($F456,'[2]Chuyển đổi mã'!$A$1:$C$91,3,0),$F456)&amp;AC456</f>
        <v>Big C South320463</v>
      </c>
      <c r="Y456" s="196" t="str">
        <f>IFERROR(VLOOKUP($F456,'[2]Chuyển đổi mã'!$A$1:$C$184,3,0),F456)</f>
        <v>Big C South</v>
      </c>
      <c r="Z456" s="196" t="str">
        <f>VLOOKUP($G456,'[2]Thông tin NPP'!$B:$D,3,0)</f>
        <v>Big C South</v>
      </c>
      <c r="AA456" s="196" t="str">
        <f t="shared" si="100"/>
        <v>Na 8,5g</v>
      </c>
      <c r="AB456" s="196" t="str">
        <f>IFERROR(VLOOKUP(DAY(B456),'[2]Chuyển đổi mã'!$F$1:$G$32,2,0),0)</f>
        <v>W2</v>
      </c>
      <c r="AC456" s="196" t="str">
        <f t="shared" si="101"/>
        <v>320463</v>
      </c>
      <c r="AD456" s="196" t="str">
        <f t="shared" si="102"/>
        <v>NPP</v>
      </c>
      <c r="AE456" s="196" t="str">
        <f t="shared" si="103"/>
        <v>NPP320463</v>
      </c>
      <c r="AF456" s="196">
        <f t="shared" si="104"/>
        <v>0</v>
      </c>
    </row>
    <row r="457" spans="1:32" ht="12.95" customHeight="1">
      <c r="A457" s="190">
        <v>62690</v>
      </c>
      <c r="B457" s="191">
        <v>43567</v>
      </c>
      <c r="C457" s="190" t="s">
        <v>457</v>
      </c>
      <c r="D457" s="190" t="s">
        <v>602</v>
      </c>
      <c r="E457" s="190" t="s">
        <v>346</v>
      </c>
      <c r="F457" s="190" t="s">
        <v>531</v>
      </c>
      <c r="G457" s="192" t="s">
        <v>532</v>
      </c>
      <c r="H457" s="192" t="s">
        <v>296</v>
      </c>
      <c r="I457" s="192" t="s">
        <v>349</v>
      </c>
      <c r="J457" s="192" t="s">
        <v>350</v>
      </c>
      <c r="K457" s="190" t="s">
        <v>351</v>
      </c>
      <c r="L457" s="190" t="s">
        <v>387</v>
      </c>
      <c r="M457" s="192" t="s">
        <v>388</v>
      </c>
      <c r="N457" s="193">
        <v>2</v>
      </c>
      <c r="O457" s="193">
        <v>355455</v>
      </c>
      <c r="P457" s="194">
        <v>710910</v>
      </c>
      <c r="Q457" s="194">
        <v>71091</v>
      </c>
      <c r="R457" s="194">
        <v>782001</v>
      </c>
      <c r="S457" s="192"/>
      <c r="T457" s="192" t="s">
        <v>310</v>
      </c>
      <c r="U457" s="190">
        <v>60521</v>
      </c>
      <c r="V457" s="190"/>
      <c r="W457" s="195" t="s">
        <v>356</v>
      </c>
      <c r="X457" s="196" t="str">
        <f>+IFERROR(VLOOKUP($F457,'[2]Chuyển đổi mã'!$A$1:$C$91,3,0),$F457)&amp;AC457</f>
        <v>Big C South323620</v>
      </c>
      <c r="Y457" s="196" t="str">
        <f>IFERROR(VLOOKUP($F457,'[2]Chuyển đổi mã'!$A$1:$C$184,3,0),F457)</f>
        <v>Big C South</v>
      </c>
      <c r="Z457" s="196" t="str">
        <f>VLOOKUP($G457,'[2]Thông tin NPP'!$B:$D,3,0)</f>
        <v>Big C South</v>
      </c>
      <c r="AA457" s="196" t="str">
        <f t="shared" si="100"/>
        <v>Ahh 16g</v>
      </c>
      <c r="AB457" s="196" t="str">
        <f>IFERROR(VLOOKUP(DAY(B457),'[2]Chuyển đổi mã'!$F$1:$G$32,2,0),0)</f>
        <v>W2</v>
      </c>
      <c r="AC457" s="196" t="str">
        <f t="shared" si="101"/>
        <v>323620</v>
      </c>
      <c r="AD457" s="196" t="str">
        <f t="shared" si="102"/>
        <v>NPP</v>
      </c>
      <c r="AE457" s="196" t="str">
        <f t="shared" si="103"/>
        <v>NPP323620</v>
      </c>
      <c r="AF457" s="196">
        <f t="shared" si="104"/>
        <v>0</v>
      </c>
    </row>
    <row r="458" spans="1:32" ht="12.95" customHeight="1">
      <c r="A458" s="190">
        <v>62690</v>
      </c>
      <c r="B458" s="191">
        <v>43567</v>
      </c>
      <c r="C458" s="190" t="s">
        <v>457</v>
      </c>
      <c r="D458" s="190" t="s">
        <v>602</v>
      </c>
      <c r="E458" s="190" t="s">
        <v>346</v>
      </c>
      <c r="F458" s="190" t="s">
        <v>531</v>
      </c>
      <c r="G458" s="192" t="s">
        <v>532</v>
      </c>
      <c r="H458" s="192" t="s">
        <v>296</v>
      </c>
      <c r="I458" s="192" t="s">
        <v>349</v>
      </c>
      <c r="J458" s="192" t="s">
        <v>350</v>
      </c>
      <c r="K458" s="190" t="s">
        <v>351</v>
      </c>
      <c r="L458" s="190" t="s">
        <v>359</v>
      </c>
      <c r="M458" s="192" t="s">
        <v>360</v>
      </c>
      <c r="N458" s="193">
        <v>2</v>
      </c>
      <c r="O458" s="193">
        <v>313636</v>
      </c>
      <c r="P458" s="194">
        <v>627272</v>
      </c>
      <c r="Q458" s="194">
        <v>62727.199999999997</v>
      </c>
      <c r="R458" s="194">
        <v>689999.2</v>
      </c>
      <c r="S458" s="192"/>
      <c r="T458" s="192" t="s">
        <v>310</v>
      </c>
      <c r="U458" s="190">
        <v>60521</v>
      </c>
      <c r="V458" s="190"/>
      <c r="W458" s="195" t="s">
        <v>356</v>
      </c>
      <c r="X458" s="196" t="str">
        <f>+IFERROR(VLOOKUP($F458,'[2]Chuyển đổi mã'!$A$1:$C$91,3,0),$F458)&amp;AC458</f>
        <v>Big C South320445</v>
      </c>
      <c r="Y458" s="196" t="str">
        <f>IFERROR(VLOOKUP($F458,'[2]Chuyển đổi mã'!$A$1:$C$184,3,0),F458)</f>
        <v>Big C South</v>
      </c>
      <c r="Z458" s="196" t="str">
        <f>VLOOKUP($G458,'[2]Thông tin NPP'!$B:$D,3,0)</f>
        <v>Big C South</v>
      </c>
      <c r="AA458" s="196" t="str">
        <f t="shared" si="100"/>
        <v>Na 58g</v>
      </c>
      <c r="AB458" s="196" t="str">
        <f>IFERROR(VLOOKUP(DAY(B458),'[2]Chuyển đổi mã'!$F$1:$G$32,2,0),0)</f>
        <v>W2</v>
      </c>
      <c r="AC458" s="196" t="str">
        <f t="shared" si="101"/>
        <v>320445</v>
      </c>
      <c r="AD458" s="196" t="str">
        <f t="shared" si="102"/>
        <v>NPP</v>
      </c>
      <c r="AE458" s="196" t="str">
        <f t="shared" si="103"/>
        <v>NPP320445</v>
      </c>
      <c r="AF458" s="196">
        <f t="shared" si="104"/>
        <v>0</v>
      </c>
    </row>
    <row r="459" spans="1:32" ht="12.95" customHeight="1">
      <c r="A459" s="190">
        <v>62690</v>
      </c>
      <c r="B459" s="191">
        <v>43567</v>
      </c>
      <c r="C459" s="190" t="s">
        <v>457</v>
      </c>
      <c r="D459" s="190" t="s">
        <v>602</v>
      </c>
      <c r="E459" s="190" t="s">
        <v>346</v>
      </c>
      <c r="F459" s="190" t="s">
        <v>531</v>
      </c>
      <c r="G459" s="192" t="s">
        <v>532</v>
      </c>
      <c r="H459" s="192" t="s">
        <v>296</v>
      </c>
      <c r="I459" s="192" t="s">
        <v>349</v>
      </c>
      <c r="J459" s="192" t="s">
        <v>350</v>
      </c>
      <c r="K459" s="190" t="s">
        <v>351</v>
      </c>
      <c r="L459" s="190" t="s">
        <v>361</v>
      </c>
      <c r="M459" s="192" t="s">
        <v>362</v>
      </c>
      <c r="N459" s="193">
        <v>3</v>
      </c>
      <c r="O459" s="193">
        <v>313636</v>
      </c>
      <c r="P459" s="194">
        <v>940908</v>
      </c>
      <c r="Q459" s="194">
        <v>94090.8</v>
      </c>
      <c r="R459" s="194">
        <v>1034998.8</v>
      </c>
      <c r="S459" s="192"/>
      <c r="T459" s="192" t="s">
        <v>310</v>
      </c>
      <c r="U459" s="190">
        <v>60521</v>
      </c>
      <c r="V459" s="190"/>
      <c r="W459" s="195" t="s">
        <v>356</v>
      </c>
      <c r="X459" s="196" t="str">
        <f>+IFERROR(VLOOKUP($F459,'[2]Chuyển đổi mã'!$A$1:$C$91,3,0),$F459)&amp;AC459</f>
        <v>Big C South331017</v>
      </c>
      <c r="Y459" s="196" t="str">
        <f>IFERROR(VLOOKUP($F459,'[2]Chuyển đổi mã'!$A$1:$C$184,3,0),F459)</f>
        <v>Big C South</v>
      </c>
      <c r="Z459" s="196" t="str">
        <f>VLOOKUP($G459,'[2]Thông tin NPP'!$B:$D,3,0)</f>
        <v>Big C South</v>
      </c>
      <c r="AA459" s="196" t="str">
        <f t="shared" si="100"/>
        <v>Richoco Wf</v>
      </c>
      <c r="AB459" s="196" t="str">
        <f>IFERROR(VLOOKUP(DAY(B459),'[2]Chuyển đổi mã'!$F$1:$G$32,2,0),0)</f>
        <v>W2</v>
      </c>
      <c r="AC459" s="196" t="str">
        <f t="shared" si="101"/>
        <v>331017</v>
      </c>
      <c r="AD459" s="196" t="str">
        <f t="shared" si="102"/>
        <v>NPP</v>
      </c>
      <c r="AE459" s="196" t="str">
        <f t="shared" si="103"/>
        <v>NPP331017</v>
      </c>
      <c r="AF459" s="196">
        <f t="shared" si="104"/>
        <v>0</v>
      </c>
    </row>
    <row r="460" spans="1:32" ht="12.95" customHeight="1">
      <c r="A460" s="190">
        <v>62690</v>
      </c>
      <c r="B460" s="191">
        <v>43567</v>
      </c>
      <c r="C460" s="190" t="s">
        <v>457</v>
      </c>
      <c r="D460" s="190" t="s">
        <v>602</v>
      </c>
      <c r="E460" s="190" t="s">
        <v>346</v>
      </c>
      <c r="F460" s="190" t="s">
        <v>531</v>
      </c>
      <c r="G460" s="192" t="s">
        <v>532</v>
      </c>
      <c r="H460" s="192" t="s">
        <v>296</v>
      </c>
      <c r="I460" s="192" t="s">
        <v>349</v>
      </c>
      <c r="J460" s="192" t="s">
        <v>350</v>
      </c>
      <c r="K460" s="190" t="s">
        <v>351</v>
      </c>
      <c r="L460" s="190" t="s">
        <v>363</v>
      </c>
      <c r="M460" s="192" t="s">
        <v>364</v>
      </c>
      <c r="N460" s="193">
        <v>3</v>
      </c>
      <c r="O460" s="193">
        <v>334545</v>
      </c>
      <c r="P460" s="194">
        <v>1003635</v>
      </c>
      <c r="Q460" s="194">
        <v>100363.5</v>
      </c>
      <c r="R460" s="194">
        <v>1103998.5</v>
      </c>
      <c r="S460" s="192"/>
      <c r="T460" s="192" t="s">
        <v>310</v>
      </c>
      <c r="U460" s="190">
        <v>60521</v>
      </c>
      <c r="V460" s="190"/>
      <c r="W460" s="195" t="s">
        <v>356</v>
      </c>
      <c r="X460" s="196" t="str">
        <f>+IFERROR(VLOOKUP($F460,'[2]Chuyển đổi mã'!$A$1:$C$91,3,0),$F460)&amp;AC460</f>
        <v>Big C South323708</v>
      </c>
      <c r="Y460" s="196" t="str">
        <f>IFERROR(VLOOKUP($F460,'[2]Chuyển đổi mã'!$A$1:$C$184,3,0),F460)</f>
        <v>Big C South</v>
      </c>
      <c r="Z460" s="196" t="str">
        <f>VLOOKUP($G460,'[2]Thông tin NPP'!$B:$D,3,0)</f>
        <v>Big C South</v>
      </c>
      <c r="AA460" s="196" t="str">
        <f t="shared" si="100"/>
        <v>Nextar Bro</v>
      </c>
      <c r="AB460" s="196" t="str">
        <f>IFERROR(VLOOKUP(DAY(B460),'[2]Chuyển đổi mã'!$F$1:$G$32,2,0),0)</f>
        <v>W2</v>
      </c>
      <c r="AC460" s="196" t="str">
        <f t="shared" si="101"/>
        <v>323708</v>
      </c>
      <c r="AD460" s="196" t="str">
        <f t="shared" si="102"/>
        <v>NPP</v>
      </c>
      <c r="AE460" s="196" t="str">
        <f t="shared" si="103"/>
        <v>NPP323708</v>
      </c>
      <c r="AF460" s="196">
        <f t="shared" si="104"/>
        <v>0</v>
      </c>
    </row>
    <row r="461" spans="1:32" ht="12.95" hidden="1" customHeight="1">
      <c r="A461" s="190">
        <v>62694</v>
      </c>
      <c r="B461" s="191">
        <v>43567</v>
      </c>
      <c r="C461" s="190" t="s">
        <v>457</v>
      </c>
      <c r="D461" s="190" t="s">
        <v>603</v>
      </c>
      <c r="E461" s="190" t="s">
        <v>346</v>
      </c>
      <c r="F461" s="190" t="s">
        <v>604</v>
      </c>
      <c r="G461" s="192" t="s">
        <v>605</v>
      </c>
      <c r="H461" s="192" t="s">
        <v>296</v>
      </c>
      <c r="I461" s="192" t="s">
        <v>395</v>
      </c>
      <c r="J461" s="192" t="s">
        <v>350</v>
      </c>
      <c r="K461" s="190" t="s">
        <v>367</v>
      </c>
      <c r="L461" s="190" t="s">
        <v>352</v>
      </c>
      <c r="M461" s="192" t="s">
        <v>353</v>
      </c>
      <c r="N461" s="193">
        <v>20</v>
      </c>
      <c r="O461" s="193">
        <v>115036.7</v>
      </c>
      <c r="P461" s="194">
        <v>2300734</v>
      </c>
      <c r="Q461" s="194">
        <v>230073.4</v>
      </c>
      <c r="R461" s="194">
        <v>2530807.4</v>
      </c>
      <c r="S461" s="192" t="s">
        <v>544</v>
      </c>
      <c r="T461" s="192" t="s">
        <v>545</v>
      </c>
      <c r="U461" s="190">
        <v>60530</v>
      </c>
      <c r="V461" s="190"/>
      <c r="W461" s="195" t="s">
        <v>356</v>
      </c>
      <c r="X461" s="196" t="str">
        <f>+IFERROR(VLOOKUP($F461,'[2]Chuyển đổi mã'!$A$1:$C$91,3,0),$F461)&amp;AC461</f>
        <v>Lotte North320463</v>
      </c>
      <c r="Y461" s="196" t="str">
        <f>IFERROR(VLOOKUP($F461,'[2]Chuyển đổi mã'!$A$1:$C$184,3,0),F461)</f>
        <v>Lotte North</v>
      </c>
      <c r="Z461" s="196" t="str">
        <f>VLOOKUP($G461,'[2]Thông tin NPP'!$B:$D,3,0)</f>
        <v>Lotte North</v>
      </c>
      <c r="AA461" s="196" t="str">
        <f t="shared" si="100"/>
        <v>Na 8,5g</v>
      </c>
      <c r="AB461" s="196" t="str">
        <f>IFERROR(VLOOKUP(DAY(B461),'[2]Chuyển đổi mã'!$F$1:$G$32,2,0),0)</f>
        <v>W2</v>
      </c>
      <c r="AC461" s="196" t="str">
        <f t="shared" si="101"/>
        <v>320463</v>
      </c>
      <c r="AD461" s="196" t="str">
        <f t="shared" si="102"/>
        <v>NPP</v>
      </c>
      <c r="AE461" s="196" t="str">
        <f t="shared" si="103"/>
        <v>NPP320463</v>
      </c>
      <c r="AF461" s="196">
        <f t="shared" si="104"/>
        <v>0</v>
      </c>
    </row>
    <row r="462" spans="1:32" ht="12.95" hidden="1" customHeight="1">
      <c r="A462" s="190">
        <v>62694</v>
      </c>
      <c r="B462" s="191">
        <v>43567</v>
      </c>
      <c r="C462" s="190" t="s">
        <v>457</v>
      </c>
      <c r="D462" s="190" t="s">
        <v>603</v>
      </c>
      <c r="E462" s="190" t="s">
        <v>346</v>
      </c>
      <c r="F462" s="190" t="s">
        <v>604</v>
      </c>
      <c r="G462" s="192" t="s">
        <v>605</v>
      </c>
      <c r="H462" s="192" t="s">
        <v>296</v>
      </c>
      <c r="I462" s="192" t="s">
        <v>395</v>
      </c>
      <c r="J462" s="192" t="s">
        <v>350</v>
      </c>
      <c r="K462" s="190" t="s">
        <v>367</v>
      </c>
      <c r="L462" s="190" t="s">
        <v>387</v>
      </c>
      <c r="M462" s="192" t="s">
        <v>388</v>
      </c>
      <c r="N462" s="193">
        <v>2</v>
      </c>
      <c r="O462" s="193">
        <v>340000</v>
      </c>
      <c r="P462" s="194">
        <v>680000</v>
      </c>
      <c r="Q462" s="194">
        <v>68000</v>
      </c>
      <c r="R462" s="194">
        <v>748000</v>
      </c>
      <c r="S462" s="192"/>
      <c r="T462" s="192" t="s">
        <v>310</v>
      </c>
      <c r="U462" s="190">
        <v>60530</v>
      </c>
      <c r="V462" s="190"/>
      <c r="W462" s="195" t="s">
        <v>356</v>
      </c>
      <c r="X462" s="196" t="str">
        <f>+IFERROR(VLOOKUP($F462,'[2]Chuyển đổi mã'!$A$1:$C$91,3,0),$F462)&amp;AC462</f>
        <v>Lotte North323620</v>
      </c>
      <c r="Y462" s="196" t="str">
        <f>IFERROR(VLOOKUP($F462,'[2]Chuyển đổi mã'!$A$1:$C$184,3,0),F462)</f>
        <v>Lotte North</v>
      </c>
      <c r="Z462" s="196" t="str">
        <f>VLOOKUP($G462,'[2]Thông tin NPP'!$B:$D,3,0)</f>
        <v>Lotte North</v>
      </c>
      <c r="AA462" s="196" t="str">
        <f t="shared" si="100"/>
        <v>Ahh 16g</v>
      </c>
      <c r="AB462" s="196" t="str">
        <f>IFERROR(VLOOKUP(DAY(B462),'[2]Chuyển đổi mã'!$F$1:$G$32,2,0),0)</f>
        <v>W2</v>
      </c>
      <c r="AC462" s="196" t="str">
        <f t="shared" si="101"/>
        <v>323620</v>
      </c>
      <c r="AD462" s="196" t="str">
        <f t="shared" si="102"/>
        <v>NPP</v>
      </c>
      <c r="AE462" s="196" t="str">
        <f t="shared" si="103"/>
        <v>NPP323620</v>
      </c>
      <c r="AF462" s="196">
        <f t="shared" si="104"/>
        <v>0</v>
      </c>
    </row>
    <row r="463" spans="1:32" ht="12.95" hidden="1" customHeight="1">
      <c r="A463" s="190">
        <v>62694</v>
      </c>
      <c r="B463" s="191">
        <v>43567</v>
      </c>
      <c r="C463" s="190" t="s">
        <v>457</v>
      </c>
      <c r="D463" s="190" t="s">
        <v>603</v>
      </c>
      <c r="E463" s="190" t="s">
        <v>346</v>
      </c>
      <c r="F463" s="190" t="s">
        <v>604</v>
      </c>
      <c r="G463" s="192" t="s">
        <v>605</v>
      </c>
      <c r="H463" s="192" t="s">
        <v>296</v>
      </c>
      <c r="I463" s="192" t="s">
        <v>395</v>
      </c>
      <c r="J463" s="192" t="s">
        <v>350</v>
      </c>
      <c r="K463" s="190" t="s">
        <v>367</v>
      </c>
      <c r="L463" s="190" t="s">
        <v>378</v>
      </c>
      <c r="M463" s="192" t="s">
        <v>379</v>
      </c>
      <c r="N463" s="193">
        <v>3</v>
      </c>
      <c r="O463" s="193">
        <v>213273</v>
      </c>
      <c r="P463" s="194">
        <v>639819</v>
      </c>
      <c r="Q463" s="194">
        <v>63981.9</v>
      </c>
      <c r="R463" s="194">
        <v>703800.9</v>
      </c>
      <c r="S463" s="192"/>
      <c r="T463" s="192" t="s">
        <v>310</v>
      </c>
      <c r="U463" s="190">
        <v>60530</v>
      </c>
      <c r="V463" s="190"/>
      <c r="W463" s="195" t="s">
        <v>356</v>
      </c>
      <c r="X463" s="196" t="str">
        <f>+IFERROR(VLOOKUP($F463,'[2]Chuyển đổi mã'!$A$1:$C$91,3,0),$F463)&amp;AC463</f>
        <v>Lotte North321238</v>
      </c>
      <c r="Y463" s="196" t="str">
        <f>IFERROR(VLOOKUP($F463,'[2]Chuyển đổi mã'!$A$1:$C$184,3,0),F463)</f>
        <v>Lotte North</v>
      </c>
      <c r="Z463" s="196" t="str">
        <f>VLOOKUP($G463,'[2]Thông tin NPP'!$B:$D,3,0)</f>
        <v>Lotte North</v>
      </c>
      <c r="AA463" s="196" t="str">
        <f t="shared" si="100"/>
        <v>Richoco Wf</v>
      </c>
      <c r="AB463" s="196" t="str">
        <f>IFERROR(VLOOKUP(DAY(B463),'[2]Chuyển đổi mã'!$F$1:$G$32,2,0),0)</f>
        <v>W2</v>
      </c>
      <c r="AC463" s="196" t="str">
        <f t="shared" si="101"/>
        <v>321238</v>
      </c>
      <c r="AD463" s="196" t="str">
        <f t="shared" si="102"/>
        <v>NPP</v>
      </c>
      <c r="AE463" s="196" t="str">
        <f t="shared" si="103"/>
        <v>NPP321238</v>
      </c>
      <c r="AF463" s="196">
        <f t="shared" si="104"/>
        <v>0</v>
      </c>
    </row>
    <row r="464" spans="1:32" ht="12.95" hidden="1" customHeight="1">
      <c r="A464" s="190">
        <v>62694</v>
      </c>
      <c r="B464" s="191">
        <v>43567</v>
      </c>
      <c r="C464" s="190" t="s">
        <v>457</v>
      </c>
      <c r="D464" s="190" t="s">
        <v>603</v>
      </c>
      <c r="E464" s="190" t="s">
        <v>346</v>
      </c>
      <c r="F464" s="190" t="s">
        <v>604</v>
      </c>
      <c r="G464" s="192" t="s">
        <v>605</v>
      </c>
      <c r="H464" s="192" t="s">
        <v>296</v>
      </c>
      <c r="I464" s="192" t="s">
        <v>395</v>
      </c>
      <c r="J464" s="192" t="s">
        <v>350</v>
      </c>
      <c r="K464" s="190" t="s">
        <v>367</v>
      </c>
      <c r="L464" s="190" t="s">
        <v>357</v>
      </c>
      <c r="M464" s="192" t="s">
        <v>358</v>
      </c>
      <c r="N464" s="193">
        <v>2</v>
      </c>
      <c r="O464" s="193">
        <v>213273</v>
      </c>
      <c r="P464" s="194">
        <v>426546</v>
      </c>
      <c r="Q464" s="194">
        <v>42654.6</v>
      </c>
      <c r="R464" s="194">
        <v>469200.6</v>
      </c>
      <c r="S464" s="192"/>
      <c r="T464" s="192" t="s">
        <v>310</v>
      </c>
      <c r="U464" s="190">
        <v>60530</v>
      </c>
      <c r="V464" s="190"/>
      <c r="W464" s="195" t="s">
        <v>356</v>
      </c>
      <c r="X464" s="196" t="str">
        <f>+IFERROR(VLOOKUP($F464,'[2]Chuyển đổi mã'!$A$1:$C$91,3,0),$F464)&amp;AC464</f>
        <v>Lotte North323555</v>
      </c>
      <c r="Y464" s="196" t="str">
        <f>IFERROR(VLOOKUP($F464,'[2]Chuyển đổi mã'!$A$1:$C$184,3,0),F464)</f>
        <v>Lotte North</v>
      </c>
      <c r="Z464" s="196" t="str">
        <f>VLOOKUP($G464,'[2]Thông tin NPP'!$B:$D,3,0)</f>
        <v>Lotte North</v>
      </c>
      <c r="AA464" s="196" t="str">
        <f t="shared" si="100"/>
        <v>Na 17g - M</v>
      </c>
      <c r="AB464" s="196" t="str">
        <f>IFERROR(VLOOKUP(DAY(B464),'[2]Chuyển đổi mã'!$F$1:$G$32,2,0),0)</f>
        <v>W2</v>
      </c>
      <c r="AC464" s="196" t="str">
        <f t="shared" si="101"/>
        <v>323555</v>
      </c>
      <c r="AD464" s="196" t="str">
        <f t="shared" si="102"/>
        <v>NPP</v>
      </c>
      <c r="AE464" s="196" t="str">
        <f t="shared" si="103"/>
        <v>NPP323555</v>
      </c>
      <c r="AF464" s="196">
        <f t="shared" si="104"/>
        <v>0</v>
      </c>
    </row>
    <row r="465" spans="1:32" ht="12.95" hidden="1" customHeight="1">
      <c r="A465" s="190">
        <v>62712</v>
      </c>
      <c r="B465" s="191">
        <v>43568</v>
      </c>
      <c r="C465" s="190" t="s">
        <v>457</v>
      </c>
      <c r="D465" s="190" t="s">
        <v>606</v>
      </c>
      <c r="E465" s="190" t="s">
        <v>346</v>
      </c>
      <c r="F465" s="190" t="s">
        <v>481</v>
      </c>
      <c r="G465" s="192" t="s">
        <v>482</v>
      </c>
      <c r="H465" s="192" t="s">
        <v>296</v>
      </c>
      <c r="I465" s="192" t="s">
        <v>443</v>
      </c>
      <c r="J465" s="192" t="s">
        <v>350</v>
      </c>
      <c r="K465" s="190" t="s">
        <v>351</v>
      </c>
      <c r="L465" s="190" t="s">
        <v>352</v>
      </c>
      <c r="M465" s="192" t="s">
        <v>353</v>
      </c>
      <c r="N465" s="193">
        <v>50</v>
      </c>
      <c r="O465" s="193">
        <v>115036.7</v>
      </c>
      <c r="P465" s="194">
        <v>5751835</v>
      </c>
      <c r="Q465" s="194">
        <v>575183.5</v>
      </c>
      <c r="R465" s="194">
        <v>6327018.5</v>
      </c>
      <c r="S465" s="192" t="s">
        <v>544</v>
      </c>
      <c r="T465" s="192" t="s">
        <v>545</v>
      </c>
      <c r="U465" s="190">
        <v>60522</v>
      </c>
      <c r="V465" s="190"/>
      <c r="W465" s="195" t="s">
        <v>356</v>
      </c>
      <c r="X465" s="196" t="str">
        <f>+IFERROR(VLOOKUP($F465,'[2]Chuyển đổi mã'!$A$1:$C$91,3,0),$F465)&amp;AC465</f>
        <v>Lotte Central320463</v>
      </c>
      <c r="Y465" s="196" t="str">
        <f>IFERROR(VLOOKUP($F465,'[2]Chuyển đổi mã'!$A$1:$C$184,3,0),F465)</f>
        <v>Lotte Central</v>
      </c>
      <c r="Z465" s="196" t="str">
        <f>VLOOKUP($G465,'[2]Thông tin NPP'!$B:$D,3,0)</f>
        <v>Lotte Central</v>
      </c>
      <c r="AA465" s="196" t="str">
        <f t="shared" ref="AA465:AA474" si="105">LEFT($M465,10)</f>
        <v>Na 8,5g</v>
      </c>
      <c r="AB465" s="196" t="str">
        <f>IFERROR(VLOOKUP(DAY(B465),'[2]Chuyển đổi mã'!$F$1:$G$32,2,0),0)</f>
        <v>W2</v>
      </c>
      <c r="AC465" s="196" t="str">
        <f t="shared" ref="AC465:AC474" si="106">LEFT(L465,6)</f>
        <v>320463</v>
      </c>
      <c r="AD465" s="196" t="str">
        <f t="shared" ref="AD465:AD474" si="107">LEFT(F465,3)</f>
        <v>NPP</v>
      </c>
      <c r="AE465" s="196" t="str">
        <f t="shared" ref="AE465:AE474" si="108">AD465&amp;AC465</f>
        <v>NPP320463</v>
      </c>
      <c r="AF465" s="196">
        <f t="shared" ref="AF465:AF474" si="109">IF(RIGHT(L465,1)="P","P",0)</f>
        <v>0</v>
      </c>
    </row>
    <row r="466" spans="1:32" ht="12.95" hidden="1" customHeight="1">
      <c r="A466" s="190">
        <v>62712</v>
      </c>
      <c r="B466" s="191">
        <v>43568</v>
      </c>
      <c r="C466" s="190" t="s">
        <v>457</v>
      </c>
      <c r="D466" s="190" t="s">
        <v>606</v>
      </c>
      <c r="E466" s="190" t="s">
        <v>346</v>
      </c>
      <c r="F466" s="190" t="s">
        <v>481</v>
      </c>
      <c r="G466" s="192" t="s">
        <v>482</v>
      </c>
      <c r="H466" s="192" t="s">
        <v>296</v>
      </c>
      <c r="I466" s="192" t="s">
        <v>443</v>
      </c>
      <c r="J466" s="192" t="s">
        <v>350</v>
      </c>
      <c r="K466" s="190" t="s">
        <v>351</v>
      </c>
      <c r="L466" s="190" t="s">
        <v>387</v>
      </c>
      <c r="M466" s="192" t="s">
        <v>388</v>
      </c>
      <c r="N466" s="193">
        <v>100</v>
      </c>
      <c r="O466" s="193">
        <v>340000</v>
      </c>
      <c r="P466" s="194">
        <v>34000000</v>
      </c>
      <c r="Q466" s="194">
        <v>3400000</v>
      </c>
      <c r="R466" s="194">
        <v>37400000</v>
      </c>
      <c r="S466" s="192"/>
      <c r="T466" s="192" t="s">
        <v>310</v>
      </c>
      <c r="U466" s="190">
        <v>60522</v>
      </c>
      <c r="V466" s="190"/>
      <c r="W466" s="195" t="s">
        <v>356</v>
      </c>
      <c r="X466" s="196" t="str">
        <f>+IFERROR(VLOOKUP($F466,'[2]Chuyển đổi mã'!$A$1:$C$91,3,0),$F466)&amp;AC466</f>
        <v>Lotte Central323620</v>
      </c>
      <c r="Y466" s="196" t="str">
        <f>IFERROR(VLOOKUP($F466,'[2]Chuyển đổi mã'!$A$1:$C$184,3,0),F466)</f>
        <v>Lotte Central</v>
      </c>
      <c r="Z466" s="196" t="str">
        <f>VLOOKUP($G466,'[2]Thông tin NPP'!$B:$D,3,0)</f>
        <v>Lotte Central</v>
      </c>
      <c r="AA466" s="196" t="str">
        <f t="shared" si="105"/>
        <v>Ahh 16g</v>
      </c>
      <c r="AB466" s="196" t="str">
        <f>IFERROR(VLOOKUP(DAY(B466),'[2]Chuyển đổi mã'!$F$1:$G$32,2,0),0)</f>
        <v>W2</v>
      </c>
      <c r="AC466" s="196" t="str">
        <f t="shared" si="106"/>
        <v>323620</v>
      </c>
      <c r="AD466" s="196" t="str">
        <f t="shared" si="107"/>
        <v>NPP</v>
      </c>
      <c r="AE466" s="196" t="str">
        <f t="shared" si="108"/>
        <v>NPP323620</v>
      </c>
      <c r="AF466" s="196">
        <f t="shared" si="109"/>
        <v>0</v>
      </c>
    </row>
    <row r="467" spans="1:32" ht="12.95" hidden="1" customHeight="1">
      <c r="A467" s="190">
        <v>62712</v>
      </c>
      <c r="B467" s="191">
        <v>43568</v>
      </c>
      <c r="C467" s="190" t="s">
        <v>457</v>
      </c>
      <c r="D467" s="190" t="s">
        <v>606</v>
      </c>
      <c r="E467" s="190" t="s">
        <v>346</v>
      </c>
      <c r="F467" s="190" t="s">
        <v>481</v>
      </c>
      <c r="G467" s="192" t="s">
        <v>482</v>
      </c>
      <c r="H467" s="192" t="s">
        <v>296</v>
      </c>
      <c r="I467" s="192" t="s">
        <v>443</v>
      </c>
      <c r="J467" s="192" t="s">
        <v>350</v>
      </c>
      <c r="K467" s="190" t="s">
        <v>351</v>
      </c>
      <c r="L467" s="190" t="s">
        <v>378</v>
      </c>
      <c r="M467" s="192" t="s">
        <v>379</v>
      </c>
      <c r="N467" s="193">
        <v>2</v>
      </c>
      <c r="O467" s="193">
        <v>213273</v>
      </c>
      <c r="P467" s="194">
        <v>426546</v>
      </c>
      <c r="Q467" s="194">
        <v>42654.6</v>
      </c>
      <c r="R467" s="194">
        <v>469200.6</v>
      </c>
      <c r="S467" s="192"/>
      <c r="T467" s="192" t="s">
        <v>310</v>
      </c>
      <c r="U467" s="190">
        <v>60522</v>
      </c>
      <c r="V467" s="190"/>
      <c r="W467" s="195" t="s">
        <v>356</v>
      </c>
      <c r="X467" s="196" t="str">
        <f>+IFERROR(VLOOKUP($F467,'[2]Chuyển đổi mã'!$A$1:$C$91,3,0),$F467)&amp;AC467</f>
        <v>Lotte Central321238</v>
      </c>
      <c r="Y467" s="196" t="str">
        <f>IFERROR(VLOOKUP($F467,'[2]Chuyển đổi mã'!$A$1:$C$184,3,0),F467)</f>
        <v>Lotte Central</v>
      </c>
      <c r="Z467" s="196" t="str">
        <f>VLOOKUP($G467,'[2]Thông tin NPP'!$B:$D,3,0)</f>
        <v>Lotte Central</v>
      </c>
      <c r="AA467" s="196" t="str">
        <f t="shared" si="105"/>
        <v>Richoco Wf</v>
      </c>
      <c r="AB467" s="196" t="str">
        <f>IFERROR(VLOOKUP(DAY(B467),'[2]Chuyển đổi mã'!$F$1:$G$32,2,0),0)</f>
        <v>W2</v>
      </c>
      <c r="AC467" s="196" t="str">
        <f t="shared" si="106"/>
        <v>321238</v>
      </c>
      <c r="AD467" s="196" t="str">
        <f t="shared" si="107"/>
        <v>NPP</v>
      </c>
      <c r="AE467" s="196" t="str">
        <f t="shared" si="108"/>
        <v>NPP321238</v>
      </c>
      <c r="AF467" s="196">
        <f t="shared" si="109"/>
        <v>0</v>
      </c>
    </row>
    <row r="468" spans="1:32" ht="12.95" hidden="1" customHeight="1">
      <c r="A468" s="190">
        <v>62712</v>
      </c>
      <c r="B468" s="191">
        <v>43568</v>
      </c>
      <c r="C468" s="190" t="s">
        <v>457</v>
      </c>
      <c r="D468" s="190" t="s">
        <v>606</v>
      </c>
      <c r="E468" s="190" t="s">
        <v>346</v>
      </c>
      <c r="F468" s="190" t="s">
        <v>481</v>
      </c>
      <c r="G468" s="192" t="s">
        <v>482</v>
      </c>
      <c r="H468" s="192" t="s">
        <v>296</v>
      </c>
      <c r="I468" s="192" t="s">
        <v>443</v>
      </c>
      <c r="J468" s="192" t="s">
        <v>350</v>
      </c>
      <c r="K468" s="190" t="s">
        <v>351</v>
      </c>
      <c r="L468" s="190" t="s">
        <v>361</v>
      </c>
      <c r="M468" s="192" t="s">
        <v>362</v>
      </c>
      <c r="N468" s="193">
        <v>2</v>
      </c>
      <c r="O468" s="193">
        <v>300000</v>
      </c>
      <c r="P468" s="194">
        <v>600000</v>
      </c>
      <c r="Q468" s="194">
        <v>60000</v>
      </c>
      <c r="R468" s="194">
        <v>660000</v>
      </c>
      <c r="S468" s="192"/>
      <c r="T468" s="192" t="s">
        <v>310</v>
      </c>
      <c r="U468" s="190">
        <v>60522</v>
      </c>
      <c r="V468" s="190"/>
      <c r="W468" s="195" t="s">
        <v>356</v>
      </c>
      <c r="X468" s="196" t="str">
        <f>+IFERROR(VLOOKUP($F468,'[2]Chuyển đổi mã'!$A$1:$C$91,3,0),$F468)&amp;AC468</f>
        <v>Lotte Central331017</v>
      </c>
      <c r="Y468" s="196" t="str">
        <f>IFERROR(VLOOKUP($F468,'[2]Chuyển đổi mã'!$A$1:$C$184,3,0),F468)</f>
        <v>Lotte Central</v>
      </c>
      <c r="Z468" s="196" t="str">
        <f>VLOOKUP($G468,'[2]Thông tin NPP'!$B:$D,3,0)</f>
        <v>Lotte Central</v>
      </c>
      <c r="AA468" s="196" t="str">
        <f t="shared" si="105"/>
        <v>Richoco Wf</v>
      </c>
      <c r="AB468" s="196" t="str">
        <f>IFERROR(VLOOKUP(DAY(B468),'[2]Chuyển đổi mã'!$F$1:$G$32,2,0),0)</f>
        <v>W2</v>
      </c>
      <c r="AC468" s="196" t="str">
        <f t="shared" si="106"/>
        <v>331017</v>
      </c>
      <c r="AD468" s="196" t="str">
        <f t="shared" si="107"/>
        <v>NPP</v>
      </c>
      <c r="AE468" s="196" t="str">
        <f t="shared" si="108"/>
        <v>NPP331017</v>
      </c>
      <c r="AF468" s="196">
        <f t="shared" si="109"/>
        <v>0</v>
      </c>
    </row>
    <row r="469" spans="1:32" ht="12.95" hidden="1" customHeight="1">
      <c r="A469" s="190">
        <v>62712</v>
      </c>
      <c r="B469" s="191">
        <v>43568</v>
      </c>
      <c r="C469" s="190" t="s">
        <v>457</v>
      </c>
      <c r="D469" s="190" t="s">
        <v>606</v>
      </c>
      <c r="E469" s="190" t="s">
        <v>346</v>
      </c>
      <c r="F469" s="190" t="s">
        <v>481</v>
      </c>
      <c r="G469" s="192" t="s">
        <v>482</v>
      </c>
      <c r="H469" s="192" t="s">
        <v>296</v>
      </c>
      <c r="I469" s="192" t="s">
        <v>443</v>
      </c>
      <c r="J469" s="192" t="s">
        <v>350</v>
      </c>
      <c r="K469" s="190" t="s">
        <v>351</v>
      </c>
      <c r="L469" s="190" t="s">
        <v>359</v>
      </c>
      <c r="M469" s="192" t="s">
        <v>360</v>
      </c>
      <c r="N469" s="193">
        <v>3</v>
      </c>
      <c r="O469" s="193">
        <v>300000</v>
      </c>
      <c r="P469" s="194">
        <v>900000</v>
      </c>
      <c r="Q469" s="194">
        <v>90000</v>
      </c>
      <c r="R469" s="194">
        <v>990000</v>
      </c>
      <c r="S469" s="192"/>
      <c r="T469" s="192" t="s">
        <v>310</v>
      </c>
      <c r="U469" s="190">
        <v>60522</v>
      </c>
      <c r="V469" s="190"/>
      <c r="W469" s="195" t="s">
        <v>356</v>
      </c>
      <c r="X469" s="196" t="str">
        <f>+IFERROR(VLOOKUP($F469,'[2]Chuyển đổi mã'!$A$1:$C$91,3,0),$F469)&amp;AC469</f>
        <v>Lotte Central320445</v>
      </c>
      <c r="Y469" s="196" t="str">
        <f>IFERROR(VLOOKUP($F469,'[2]Chuyển đổi mã'!$A$1:$C$184,3,0),F469)</f>
        <v>Lotte Central</v>
      </c>
      <c r="Z469" s="196" t="str">
        <f>VLOOKUP($G469,'[2]Thông tin NPP'!$B:$D,3,0)</f>
        <v>Lotte Central</v>
      </c>
      <c r="AA469" s="196" t="str">
        <f t="shared" si="105"/>
        <v>Na 58g</v>
      </c>
      <c r="AB469" s="196" t="str">
        <f>IFERROR(VLOOKUP(DAY(B469),'[2]Chuyển đổi mã'!$F$1:$G$32,2,0),0)</f>
        <v>W2</v>
      </c>
      <c r="AC469" s="196" t="str">
        <f t="shared" si="106"/>
        <v>320445</v>
      </c>
      <c r="AD469" s="196" t="str">
        <f t="shared" si="107"/>
        <v>NPP</v>
      </c>
      <c r="AE469" s="196" t="str">
        <f t="shared" si="108"/>
        <v>NPP320445</v>
      </c>
      <c r="AF469" s="196">
        <f t="shared" si="109"/>
        <v>0</v>
      </c>
    </row>
    <row r="470" spans="1:32" ht="12.95" hidden="1" customHeight="1">
      <c r="A470" s="190">
        <v>62713</v>
      </c>
      <c r="B470" s="191">
        <v>43568</v>
      </c>
      <c r="C470" s="190" t="s">
        <v>457</v>
      </c>
      <c r="D470" s="190" t="s">
        <v>607</v>
      </c>
      <c r="E470" s="190" t="s">
        <v>346</v>
      </c>
      <c r="F470" s="190" t="s">
        <v>389</v>
      </c>
      <c r="G470" s="192" t="s">
        <v>390</v>
      </c>
      <c r="H470" s="192" t="s">
        <v>296</v>
      </c>
      <c r="I470" s="192" t="s">
        <v>391</v>
      </c>
      <c r="J470" s="192" t="s">
        <v>350</v>
      </c>
      <c r="K470" s="190" t="s">
        <v>351</v>
      </c>
      <c r="L470" s="190" t="s">
        <v>359</v>
      </c>
      <c r="M470" s="192" t="s">
        <v>360</v>
      </c>
      <c r="N470" s="193">
        <v>800</v>
      </c>
      <c r="O470" s="193">
        <v>273000</v>
      </c>
      <c r="P470" s="194">
        <v>218400000</v>
      </c>
      <c r="Q470" s="194">
        <v>21840000</v>
      </c>
      <c r="R470" s="194">
        <v>240240000</v>
      </c>
      <c r="S470" s="192"/>
      <c r="T470" s="192" t="s">
        <v>310</v>
      </c>
      <c r="U470" s="190">
        <v>60456</v>
      </c>
      <c r="V470" s="190"/>
      <c r="W470" s="195" t="s">
        <v>356</v>
      </c>
      <c r="X470" s="196" t="str">
        <f>+IFERROR(VLOOKUP($F470,'[2]Chuyển đổi mã'!$A$1:$C$91,3,0),$F470)&amp;AC470</f>
        <v>NPP00000468320445</v>
      </c>
      <c r="Y470" s="196" t="str">
        <f>IFERROR(VLOOKUP($F470,'[2]Chuyển đổi mã'!$A$1:$C$184,3,0),F470)</f>
        <v>NPP00000468</v>
      </c>
      <c r="Z470" s="196" t="e">
        <f>VLOOKUP($G470,'[2]Thông tin NPP'!$B:$D,3,0)</f>
        <v>#N/A</v>
      </c>
      <c r="AA470" s="196" t="str">
        <f t="shared" si="105"/>
        <v>Na 58g</v>
      </c>
      <c r="AB470" s="196" t="str">
        <f>IFERROR(VLOOKUP(DAY(B470),'[2]Chuyển đổi mã'!$F$1:$G$32,2,0),0)</f>
        <v>W2</v>
      </c>
      <c r="AC470" s="196" t="str">
        <f t="shared" si="106"/>
        <v>320445</v>
      </c>
      <c r="AD470" s="196" t="str">
        <f t="shared" si="107"/>
        <v>NPP</v>
      </c>
      <c r="AE470" s="196" t="str">
        <f t="shared" si="108"/>
        <v>NPP320445</v>
      </c>
      <c r="AF470" s="196">
        <f t="shared" si="109"/>
        <v>0</v>
      </c>
    </row>
    <row r="471" spans="1:32" ht="12.95" hidden="1" customHeight="1">
      <c r="A471" s="190">
        <v>62714</v>
      </c>
      <c r="B471" s="191">
        <v>43568</v>
      </c>
      <c r="C471" s="190" t="s">
        <v>457</v>
      </c>
      <c r="D471" s="190" t="s">
        <v>445</v>
      </c>
      <c r="E471" s="190" t="s">
        <v>346</v>
      </c>
      <c r="F471" s="190" t="s">
        <v>389</v>
      </c>
      <c r="G471" s="192" t="s">
        <v>390</v>
      </c>
      <c r="H471" s="192" t="s">
        <v>296</v>
      </c>
      <c r="I471" s="192" t="s">
        <v>391</v>
      </c>
      <c r="J471" s="192" t="s">
        <v>350</v>
      </c>
      <c r="K471" s="190" t="s">
        <v>351</v>
      </c>
      <c r="L471" s="190" t="s">
        <v>352</v>
      </c>
      <c r="M471" s="192" t="s">
        <v>353</v>
      </c>
      <c r="N471" s="193">
        <v>1000</v>
      </c>
      <c r="O471" s="193">
        <v>106905</v>
      </c>
      <c r="P471" s="194">
        <v>106905000</v>
      </c>
      <c r="Q471" s="194">
        <v>10690500</v>
      </c>
      <c r="R471" s="194">
        <v>117595500</v>
      </c>
      <c r="S471" s="192"/>
      <c r="T471" s="192" t="s">
        <v>310</v>
      </c>
      <c r="U471" s="190">
        <v>60483</v>
      </c>
      <c r="V471" s="190"/>
      <c r="W471" s="195" t="s">
        <v>356</v>
      </c>
      <c r="X471" s="196" t="str">
        <f>+IFERROR(VLOOKUP($F471,'[2]Chuyển đổi mã'!$A$1:$C$91,3,0),$F471)&amp;AC471</f>
        <v>NPP00000468320463</v>
      </c>
      <c r="Y471" s="196" t="str">
        <f>IFERROR(VLOOKUP($F471,'[2]Chuyển đổi mã'!$A$1:$C$184,3,0),F471)</f>
        <v>NPP00000468</v>
      </c>
      <c r="Z471" s="196" t="e">
        <f>VLOOKUP($G471,'[2]Thông tin NPP'!$B:$D,3,0)</f>
        <v>#N/A</v>
      </c>
      <c r="AA471" s="196" t="str">
        <f t="shared" si="105"/>
        <v>Na 8,5g</v>
      </c>
      <c r="AB471" s="196" t="str">
        <f>IFERROR(VLOOKUP(DAY(B471),'[2]Chuyển đổi mã'!$F$1:$G$32,2,0),0)</f>
        <v>W2</v>
      </c>
      <c r="AC471" s="196" t="str">
        <f t="shared" si="106"/>
        <v>320463</v>
      </c>
      <c r="AD471" s="196" t="str">
        <f t="shared" si="107"/>
        <v>NPP</v>
      </c>
      <c r="AE471" s="196" t="str">
        <f t="shared" si="108"/>
        <v>NPP320463</v>
      </c>
      <c r="AF471" s="196">
        <f t="shared" si="109"/>
        <v>0</v>
      </c>
    </row>
    <row r="472" spans="1:32" ht="12.95" hidden="1" customHeight="1">
      <c r="A472" s="190">
        <v>62714</v>
      </c>
      <c r="B472" s="191">
        <v>43568</v>
      </c>
      <c r="C472" s="190" t="s">
        <v>457</v>
      </c>
      <c r="D472" s="190" t="s">
        <v>445</v>
      </c>
      <c r="E472" s="190" t="s">
        <v>346</v>
      </c>
      <c r="F472" s="190" t="s">
        <v>389</v>
      </c>
      <c r="G472" s="192" t="s">
        <v>390</v>
      </c>
      <c r="H472" s="192" t="s">
        <v>296</v>
      </c>
      <c r="I472" s="192" t="s">
        <v>391</v>
      </c>
      <c r="J472" s="192" t="s">
        <v>350</v>
      </c>
      <c r="K472" s="190" t="s">
        <v>351</v>
      </c>
      <c r="L472" s="190" t="s">
        <v>359</v>
      </c>
      <c r="M472" s="192" t="s">
        <v>360</v>
      </c>
      <c r="N472" s="193">
        <v>170</v>
      </c>
      <c r="O472" s="193">
        <v>273000</v>
      </c>
      <c r="P472" s="194">
        <v>46410000</v>
      </c>
      <c r="Q472" s="194">
        <v>4641000</v>
      </c>
      <c r="R472" s="194">
        <v>51051000</v>
      </c>
      <c r="S472" s="192"/>
      <c r="T472" s="192" t="s">
        <v>310</v>
      </c>
      <c r="U472" s="190">
        <v>60483</v>
      </c>
      <c r="V472" s="190"/>
      <c r="W472" s="195" t="s">
        <v>356</v>
      </c>
      <c r="X472" s="196" t="str">
        <f>+IFERROR(VLOOKUP($F472,'[2]Chuyển đổi mã'!$A$1:$C$91,3,0),$F472)&amp;AC472</f>
        <v>NPP00000468320445</v>
      </c>
      <c r="Y472" s="196" t="str">
        <f>IFERROR(VLOOKUP($F472,'[2]Chuyển đổi mã'!$A$1:$C$184,3,0),F472)</f>
        <v>NPP00000468</v>
      </c>
      <c r="Z472" s="196" t="e">
        <f>VLOOKUP($G472,'[2]Thông tin NPP'!$B:$D,3,0)</f>
        <v>#N/A</v>
      </c>
      <c r="AA472" s="196" t="str">
        <f t="shared" si="105"/>
        <v>Na 58g</v>
      </c>
      <c r="AB472" s="196" t="str">
        <f>IFERROR(VLOOKUP(DAY(B472),'[2]Chuyển đổi mã'!$F$1:$G$32,2,0),0)</f>
        <v>W2</v>
      </c>
      <c r="AC472" s="196" t="str">
        <f t="shared" si="106"/>
        <v>320445</v>
      </c>
      <c r="AD472" s="196" t="str">
        <f t="shared" si="107"/>
        <v>NPP</v>
      </c>
      <c r="AE472" s="196" t="str">
        <f t="shared" si="108"/>
        <v>NPP320445</v>
      </c>
      <c r="AF472" s="196">
        <f t="shared" si="109"/>
        <v>0</v>
      </c>
    </row>
    <row r="473" spans="1:32" ht="12.95" hidden="1" customHeight="1">
      <c r="A473" s="190">
        <v>62715</v>
      </c>
      <c r="B473" s="191">
        <v>43568</v>
      </c>
      <c r="C473" s="190" t="s">
        <v>457</v>
      </c>
      <c r="D473" s="190" t="s">
        <v>446</v>
      </c>
      <c r="E473" s="190" t="s">
        <v>346</v>
      </c>
      <c r="F473" s="190" t="s">
        <v>389</v>
      </c>
      <c r="G473" s="192" t="s">
        <v>390</v>
      </c>
      <c r="H473" s="192" t="s">
        <v>296</v>
      </c>
      <c r="I473" s="192" t="s">
        <v>391</v>
      </c>
      <c r="J473" s="192" t="s">
        <v>350</v>
      </c>
      <c r="K473" s="190" t="s">
        <v>351</v>
      </c>
      <c r="L473" s="190" t="s">
        <v>352</v>
      </c>
      <c r="M473" s="192" t="s">
        <v>353</v>
      </c>
      <c r="N473" s="193">
        <v>1000</v>
      </c>
      <c r="O473" s="193">
        <v>106905</v>
      </c>
      <c r="P473" s="194">
        <v>106905000</v>
      </c>
      <c r="Q473" s="194">
        <v>10690500</v>
      </c>
      <c r="R473" s="194">
        <v>117595500</v>
      </c>
      <c r="S473" s="192"/>
      <c r="T473" s="192" t="s">
        <v>310</v>
      </c>
      <c r="U473" s="190">
        <v>60484</v>
      </c>
      <c r="V473" s="190"/>
      <c r="W473" s="195" t="s">
        <v>356</v>
      </c>
      <c r="X473" s="196" t="str">
        <f>+IFERROR(VLOOKUP($F473,'[2]Chuyển đổi mã'!$A$1:$C$91,3,0),$F473)&amp;AC473</f>
        <v>NPP00000468320463</v>
      </c>
      <c r="Y473" s="196" t="str">
        <f>IFERROR(VLOOKUP($F473,'[2]Chuyển đổi mã'!$A$1:$C$184,3,0),F473)</f>
        <v>NPP00000468</v>
      </c>
      <c r="Z473" s="196" t="e">
        <f>VLOOKUP($G473,'[2]Thông tin NPP'!$B:$D,3,0)</f>
        <v>#N/A</v>
      </c>
      <c r="AA473" s="196" t="str">
        <f t="shared" si="105"/>
        <v>Na 8,5g</v>
      </c>
      <c r="AB473" s="196" t="str">
        <f>IFERROR(VLOOKUP(DAY(B473),'[2]Chuyển đổi mã'!$F$1:$G$32,2,0),0)</f>
        <v>W2</v>
      </c>
      <c r="AC473" s="196" t="str">
        <f t="shared" si="106"/>
        <v>320463</v>
      </c>
      <c r="AD473" s="196" t="str">
        <f t="shared" si="107"/>
        <v>NPP</v>
      </c>
      <c r="AE473" s="196" t="str">
        <f t="shared" si="108"/>
        <v>NPP320463</v>
      </c>
      <c r="AF473" s="196">
        <f t="shared" si="109"/>
        <v>0</v>
      </c>
    </row>
    <row r="474" spans="1:32" ht="12.95" hidden="1" customHeight="1">
      <c r="A474" s="190">
        <v>62715</v>
      </c>
      <c r="B474" s="191">
        <v>43568</v>
      </c>
      <c r="C474" s="190" t="s">
        <v>457</v>
      </c>
      <c r="D474" s="190" t="s">
        <v>446</v>
      </c>
      <c r="E474" s="190" t="s">
        <v>346</v>
      </c>
      <c r="F474" s="190" t="s">
        <v>389</v>
      </c>
      <c r="G474" s="192" t="s">
        <v>390</v>
      </c>
      <c r="H474" s="192" t="s">
        <v>296</v>
      </c>
      <c r="I474" s="192" t="s">
        <v>391</v>
      </c>
      <c r="J474" s="192" t="s">
        <v>350</v>
      </c>
      <c r="K474" s="190" t="s">
        <v>351</v>
      </c>
      <c r="L474" s="190" t="s">
        <v>359</v>
      </c>
      <c r="M474" s="192" t="s">
        <v>360</v>
      </c>
      <c r="N474" s="193">
        <v>30</v>
      </c>
      <c r="O474" s="193">
        <v>273000</v>
      </c>
      <c r="P474" s="194">
        <v>8190000</v>
      </c>
      <c r="Q474" s="194">
        <v>819000</v>
      </c>
      <c r="R474" s="194">
        <v>9009000</v>
      </c>
      <c r="S474" s="192"/>
      <c r="T474" s="192" t="s">
        <v>310</v>
      </c>
      <c r="U474" s="190">
        <v>60484</v>
      </c>
      <c r="V474" s="190"/>
      <c r="W474" s="195" t="s">
        <v>356</v>
      </c>
      <c r="X474" s="196" t="str">
        <f>+IFERROR(VLOOKUP($F474,'[2]Chuyển đổi mã'!$A$1:$C$91,3,0),$F474)&amp;AC474</f>
        <v>NPP00000468320445</v>
      </c>
      <c r="Y474" s="196" t="str">
        <f>IFERROR(VLOOKUP($F474,'[2]Chuyển đổi mã'!$A$1:$C$184,3,0),F474)</f>
        <v>NPP00000468</v>
      </c>
      <c r="Z474" s="196" t="e">
        <f>VLOOKUP($G474,'[2]Thông tin NPP'!$B:$D,3,0)</f>
        <v>#N/A</v>
      </c>
      <c r="AA474" s="196" t="str">
        <f t="shared" si="105"/>
        <v>Na 58g</v>
      </c>
      <c r="AB474" s="196" t="str">
        <f>IFERROR(VLOOKUP(DAY(B474),'[2]Chuyển đổi mã'!$F$1:$G$32,2,0),0)</f>
        <v>W2</v>
      </c>
      <c r="AC474" s="196" t="str">
        <f t="shared" si="106"/>
        <v>320445</v>
      </c>
      <c r="AD474" s="196" t="str">
        <f t="shared" si="107"/>
        <v>NPP</v>
      </c>
      <c r="AE474" s="196" t="str">
        <f t="shared" si="108"/>
        <v>NPP320445</v>
      </c>
      <c r="AF474" s="196">
        <f t="shared" si="109"/>
        <v>0</v>
      </c>
    </row>
    <row r="475" spans="1:32" ht="12.95" customHeight="1">
      <c r="A475" s="190">
        <v>62732</v>
      </c>
      <c r="B475" s="191">
        <v>43571</v>
      </c>
      <c r="C475" s="190" t="s">
        <v>457</v>
      </c>
      <c r="D475" s="190" t="s">
        <v>608</v>
      </c>
      <c r="E475" s="190" t="s">
        <v>346</v>
      </c>
      <c r="F475" s="190" t="s">
        <v>469</v>
      </c>
      <c r="G475" s="192" t="s">
        <v>470</v>
      </c>
      <c r="H475" s="192" t="s">
        <v>296</v>
      </c>
      <c r="I475" s="192" t="s">
        <v>349</v>
      </c>
      <c r="J475" s="192" t="s">
        <v>350</v>
      </c>
      <c r="K475" s="190" t="s">
        <v>351</v>
      </c>
      <c r="L475" s="190" t="s">
        <v>352</v>
      </c>
      <c r="M475" s="192" t="s">
        <v>353</v>
      </c>
      <c r="N475" s="193">
        <v>3</v>
      </c>
      <c r="O475" s="193">
        <v>155455</v>
      </c>
      <c r="P475" s="194">
        <v>466365</v>
      </c>
      <c r="Q475" s="194">
        <v>46636.5</v>
      </c>
      <c r="R475" s="194">
        <v>513001.5</v>
      </c>
      <c r="S475" s="192"/>
      <c r="T475" s="192" t="s">
        <v>310</v>
      </c>
      <c r="U475" s="190">
        <v>60552</v>
      </c>
      <c r="V475" s="190"/>
      <c r="W475" s="195" t="s">
        <v>356</v>
      </c>
      <c r="X475" s="196" t="str">
        <f>+IFERROR(VLOOKUP($F475,'[2]Chuyển đổi mã'!$A$1:$C$91,3,0),$F475)&amp;AC475</f>
        <v>Big C South320463</v>
      </c>
      <c r="Y475" s="196" t="str">
        <f>IFERROR(VLOOKUP($F475,'[2]Chuyển đổi mã'!$A$1:$C$184,3,0),F475)</f>
        <v>Big C South</v>
      </c>
      <c r="Z475" s="196" t="str">
        <f>VLOOKUP($G475,'[2]Thông tin NPP'!$B:$D,3,0)</f>
        <v>BIG C South</v>
      </c>
      <c r="AA475" s="196" t="str">
        <f t="shared" ref="AA475:AA484" si="110">LEFT($M475,10)</f>
        <v>Na 8,5g</v>
      </c>
      <c r="AB475" s="196" t="str">
        <f>IFERROR(VLOOKUP(DAY(B475),'[2]Chuyển đổi mã'!$F$1:$G$32,2,0),0)</f>
        <v>W3</v>
      </c>
      <c r="AC475" s="196" t="str">
        <f t="shared" ref="AC475:AC484" si="111">LEFT(L475,6)</f>
        <v>320463</v>
      </c>
      <c r="AD475" s="196" t="str">
        <f t="shared" ref="AD475:AD484" si="112">LEFT(F475,3)</f>
        <v>NPP</v>
      </c>
      <c r="AE475" s="196" t="str">
        <f t="shared" ref="AE475:AE484" si="113">AD475&amp;AC475</f>
        <v>NPP320463</v>
      </c>
      <c r="AF475" s="196">
        <f t="shared" ref="AF475:AF484" si="114">IF(RIGHT(L475,1)="P","P",0)</f>
        <v>0</v>
      </c>
    </row>
    <row r="476" spans="1:32" ht="12.95" customHeight="1">
      <c r="A476" s="190">
        <v>62732</v>
      </c>
      <c r="B476" s="191">
        <v>43571</v>
      </c>
      <c r="C476" s="190" t="s">
        <v>457</v>
      </c>
      <c r="D476" s="190" t="s">
        <v>608</v>
      </c>
      <c r="E476" s="190" t="s">
        <v>346</v>
      </c>
      <c r="F476" s="190" t="s">
        <v>469</v>
      </c>
      <c r="G476" s="192" t="s">
        <v>470</v>
      </c>
      <c r="H476" s="192" t="s">
        <v>296</v>
      </c>
      <c r="I476" s="192" t="s">
        <v>349</v>
      </c>
      <c r="J476" s="192" t="s">
        <v>350</v>
      </c>
      <c r="K476" s="190" t="s">
        <v>351</v>
      </c>
      <c r="L476" s="190" t="s">
        <v>387</v>
      </c>
      <c r="M476" s="192" t="s">
        <v>388</v>
      </c>
      <c r="N476" s="193">
        <v>3</v>
      </c>
      <c r="O476" s="193">
        <v>355455</v>
      </c>
      <c r="P476" s="194">
        <v>1066365</v>
      </c>
      <c r="Q476" s="194">
        <v>106636.5</v>
      </c>
      <c r="R476" s="194">
        <v>1173001.5</v>
      </c>
      <c r="S476" s="192"/>
      <c r="T476" s="192" t="s">
        <v>310</v>
      </c>
      <c r="U476" s="190">
        <v>60552</v>
      </c>
      <c r="V476" s="190"/>
      <c r="W476" s="195" t="s">
        <v>356</v>
      </c>
      <c r="X476" s="196" t="str">
        <f>+IFERROR(VLOOKUP($F476,'[2]Chuyển đổi mã'!$A$1:$C$91,3,0),$F476)&amp;AC476</f>
        <v>Big C South323620</v>
      </c>
      <c r="Y476" s="196" t="str">
        <f>IFERROR(VLOOKUP($F476,'[2]Chuyển đổi mã'!$A$1:$C$184,3,0),F476)</f>
        <v>Big C South</v>
      </c>
      <c r="Z476" s="196" t="str">
        <f>VLOOKUP($G476,'[2]Thông tin NPP'!$B:$D,3,0)</f>
        <v>BIG C South</v>
      </c>
      <c r="AA476" s="196" t="str">
        <f t="shared" si="110"/>
        <v>Ahh 16g</v>
      </c>
      <c r="AB476" s="196" t="str">
        <f>IFERROR(VLOOKUP(DAY(B476),'[2]Chuyển đổi mã'!$F$1:$G$32,2,0),0)</f>
        <v>W3</v>
      </c>
      <c r="AC476" s="196" t="str">
        <f t="shared" si="111"/>
        <v>323620</v>
      </c>
      <c r="AD476" s="196" t="str">
        <f t="shared" si="112"/>
        <v>NPP</v>
      </c>
      <c r="AE476" s="196" t="str">
        <f t="shared" si="113"/>
        <v>NPP323620</v>
      </c>
      <c r="AF476" s="196">
        <f t="shared" si="114"/>
        <v>0</v>
      </c>
    </row>
    <row r="477" spans="1:32" ht="12.95" customHeight="1">
      <c r="A477" s="190">
        <v>62732</v>
      </c>
      <c r="B477" s="191">
        <v>43571</v>
      </c>
      <c r="C477" s="190" t="s">
        <v>457</v>
      </c>
      <c r="D477" s="190" t="s">
        <v>608</v>
      </c>
      <c r="E477" s="190" t="s">
        <v>346</v>
      </c>
      <c r="F477" s="190" t="s">
        <v>469</v>
      </c>
      <c r="G477" s="192" t="s">
        <v>470</v>
      </c>
      <c r="H477" s="192" t="s">
        <v>296</v>
      </c>
      <c r="I477" s="192" t="s">
        <v>349</v>
      </c>
      <c r="J477" s="192" t="s">
        <v>350</v>
      </c>
      <c r="K477" s="190" t="s">
        <v>351</v>
      </c>
      <c r="L477" s="190" t="s">
        <v>357</v>
      </c>
      <c r="M477" s="192" t="s">
        <v>358</v>
      </c>
      <c r="N477" s="193">
        <v>6</v>
      </c>
      <c r="O477" s="193">
        <v>213273</v>
      </c>
      <c r="P477" s="194">
        <v>1279638</v>
      </c>
      <c r="Q477" s="194">
        <v>127963.8</v>
      </c>
      <c r="R477" s="194">
        <v>1407601.8</v>
      </c>
      <c r="S477" s="192"/>
      <c r="T477" s="192" t="s">
        <v>310</v>
      </c>
      <c r="U477" s="190">
        <v>60552</v>
      </c>
      <c r="V477" s="190"/>
      <c r="W477" s="195" t="s">
        <v>356</v>
      </c>
      <c r="X477" s="196" t="str">
        <f>+IFERROR(VLOOKUP($F477,'[2]Chuyển đổi mã'!$A$1:$C$91,3,0),$F477)&amp;AC477</f>
        <v>Big C South323555</v>
      </c>
      <c r="Y477" s="196" t="str">
        <f>IFERROR(VLOOKUP($F477,'[2]Chuyển đổi mã'!$A$1:$C$184,3,0),F477)</f>
        <v>Big C South</v>
      </c>
      <c r="Z477" s="196" t="str">
        <f>VLOOKUP($G477,'[2]Thông tin NPP'!$B:$D,3,0)</f>
        <v>BIG C South</v>
      </c>
      <c r="AA477" s="196" t="str">
        <f t="shared" si="110"/>
        <v>Na 17g - M</v>
      </c>
      <c r="AB477" s="196" t="str">
        <f>IFERROR(VLOOKUP(DAY(B477),'[2]Chuyển đổi mã'!$F$1:$G$32,2,0),0)</f>
        <v>W3</v>
      </c>
      <c r="AC477" s="196" t="str">
        <f t="shared" si="111"/>
        <v>323555</v>
      </c>
      <c r="AD477" s="196" t="str">
        <f t="shared" si="112"/>
        <v>NPP</v>
      </c>
      <c r="AE477" s="196" t="str">
        <f t="shared" si="113"/>
        <v>NPP323555</v>
      </c>
      <c r="AF477" s="196">
        <f t="shared" si="114"/>
        <v>0</v>
      </c>
    </row>
    <row r="478" spans="1:32" ht="12.95" customHeight="1">
      <c r="A478" s="190">
        <v>62732</v>
      </c>
      <c r="B478" s="191">
        <v>43571</v>
      </c>
      <c r="C478" s="190" t="s">
        <v>457</v>
      </c>
      <c r="D478" s="190" t="s">
        <v>608</v>
      </c>
      <c r="E478" s="190" t="s">
        <v>346</v>
      </c>
      <c r="F478" s="190" t="s">
        <v>469</v>
      </c>
      <c r="G478" s="192" t="s">
        <v>470</v>
      </c>
      <c r="H478" s="192" t="s">
        <v>296</v>
      </c>
      <c r="I478" s="192" t="s">
        <v>349</v>
      </c>
      <c r="J478" s="192" t="s">
        <v>350</v>
      </c>
      <c r="K478" s="190" t="s">
        <v>351</v>
      </c>
      <c r="L478" s="190" t="s">
        <v>359</v>
      </c>
      <c r="M478" s="192" t="s">
        <v>360</v>
      </c>
      <c r="N478" s="193">
        <v>2</v>
      </c>
      <c r="O478" s="193">
        <v>313636</v>
      </c>
      <c r="P478" s="194">
        <v>627272</v>
      </c>
      <c r="Q478" s="194">
        <v>62727.199999999997</v>
      </c>
      <c r="R478" s="194">
        <v>689999.2</v>
      </c>
      <c r="S478" s="192"/>
      <c r="T478" s="192" t="s">
        <v>310</v>
      </c>
      <c r="U478" s="190">
        <v>60552</v>
      </c>
      <c r="V478" s="190"/>
      <c r="W478" s="195" t="s">
        <v>356</v>
      </c>
      <c r="X478" s="196" t="str">
        <f>+IFERROR(VLOOKUP($F478,'[2]Chuyển đổi mã'!$A$1:$C$91,3,0),$F478)&amp;AC478</f>
        <v>Big C South320445</v>
      </c>
      <c r="Y478" s="196" t="str">
        <f>IFERROR(VLOOKUP($F478,'[2]Chuyển đổi mã'!$A$1:$C$184,3,0),F478)</f>
        <v>Big C South</v>
      </c>
      <c r="Z478" s="196" t="str">
        <f>VLOOKUP($G478,'[2]Thông tin NPP'!$B:$D,3,0)</f>
        <v>BIG C South</v>
      </c>
      <c r="AA478" s="196" t="str">
        <f t="shared" si="110"/>
        <v>Na 58g</v>
      </c>
      <c r="AB478" s="196" t="str">
        <f>IFERROR(VLOOKUP(DAY(B478),'[2]Chuyển đổi mã'!$F$1:$G$32,2,0),0)</f>
        <v>W3</v>
      </c>
      <c r="AC478" s="196" t="str">
        <f t="shared" si="111"/>
        <v>320445</v>
      </c>
      <c r="AD478" s="196" t="str">
        <f t="shared" si="112"/>
        <v>NPP</v>
      </c>
      <c r="AE478" s="196" t="str">
        <f t="shared" si="113"/>
        <v>NPP320445</v>
      </c>
      <c r="AF478" s="196">
        <f t="shared" si="114"/>
        <v>0</v>
      </c>
    </row>
    <row r="479" spans="1:32" ht="12.95" customHeight="1">
      <c r="A479" s="190">
        <v>62732</v>
      </c>
      <c r="B479" s="191">
        <v>43571</v>
      </c>
      <c r="C479" s="190" t="s">
        <v>457</v>
      </c>
      <c r="D479" s="190" t="s">
        <v>608</v>
      </c>
      <c r="E479" s="190" t="s">
        <v>346</v>
      </c>
      <c r="F479" s="190" t="s">
        <v>469</v>
      </c>
      <c r="G479" s="192" t="s">
        <v>470</v>
      </c>
      <c r="H479" s="192" t="s">
        <v>296</v>
      </c>
      <c r="I479" s="192" t="s">
        <v>349</v>
      </c>
      <c r="J479" s="192" t="s">
        <v>350</v>
      </c>
      <c r="K479" s="190" t="s">
        <v>351</v>
      </c>
      <c r="L479" s="190" t="s">
        <v>361</v>
      </c>
      <c r="M479" s="192" t="s">
        <v>362</v>
      </c>
      <c r="N479" s="193">
        <v>2</v>
      </c>
      <c r="O479" s="193">
        <v>313636</v>
      </c>
      <c r="P479" s="194">
        <v>627272</v>
      </c>
      <c r="Q479" s="194">
        <v>62727.199999999997</v>
      </c>
      <c r="R479" s="194">
        <v>689999.2</v>
      </c>
      <c r="S479" s="192"/>
      <c r="T479" s="192" t="s">
        <v>310</v>
      </c>
      <c r="U479" s="190">
        <v>60552</v>
      </c>
      <c r="V479" s="190"/>
      <c r="W479" s="195" t="s">
        <v>356</v>
      </c>
      <c r="X479" s="196" t="str">
        <f>+IFERROR(VLOOKUP($F479,'[2]Chuyển đổi mã'!$A$1:$C$91,3,0),$F479)&amp;AC479</f>
        <v>Big C South331017</v>
      </c>
      <c r="Y479" s="196" t="str">
        <f>IFERROR(VLOOKUP($F479,'[2]Chuyển đổi mã'!$A$1:$C$184,3,0),F479)</f>
        <v>Big C South</v>
      </c>
      <c r="Z479" s="196" t="str">
        <f>VLOOKUP($G479,'[2]Thông tin NPP'!$B:$D,3,0)</f>
        <v>BIG C South</v>
      </c>
      <c r="AA479" s="196" t="str">
        <f t="shared" si="110"/>
        <v>Richoco Wf</v>
      </c>
      <c r="AB479" s="196" t="str">
        <f>IFERROR(VLOOKUP(DAY(B479),'[2]Chuyển đổi mã'!$F$1:$G$32,2,0),0)</f>
        <v>W3</v>
      </c>
      <c r="AC479" s="196" t="str">
        <f t="shared" si="111"/>
        <v>331017</v>
      </c>
      <c r="AD479" s="196" t="str">
        <f t="shared" si="112"/>
        <v>NPP</v>
      </c>
      <c r="AE479" s="196" t="str">
        <f t="shared" si="113"/>
        <v>NPP331017</v>
      </c>
      <c r="AF479" s="196">
        <f t="shared" si="114"/>
        <v>0</v>
      </c>
    </row>
    <row r="480" spans="1:32" ht="12.95" customHeight="1">
      <c r="A480" s="190">
        <v>62732</v>
      </c>
      <c r="B480" s="191">
        <v>43571</v>
      </c>
      <c r="C480" s="190" t="s">
        <v>457</v>
      </c>
      <c r="D480" s="190" t="s">
        <v>608</v>
      </c>
      <c r="E480" s="190" t="s">
        <v>346</v>
      </c>
      <c r="F480" s="190" t="s">
        <v>469</v>
      </c>
      <c r="G480" s="192" t="s">
        <v>470</v>
      </c>
      <c r="H480" s="192" t="s">
        <v>296</v>
      </c>
      <c r="I480" s="192" t="s">
        <v>349</v>
      </c>
      <c r="J480" s="192" t="s">
        <v>350</v>
      </c>
      <c r="K480" s="190" t="s">
        <v>351</v>
      </c>
      <c r="L480" s="190" t="s">
        <v>363</v>
      </c>
      <c r="M480" s="192" t="s">
        <v>364</v>
      </c>
      <c r="N480" s="193">
        <v>2</v>
      </c>
      <c r="O480" s="193">
        <v>334545</v>
      </c>
      <c r="P480" s="194">
        <v>669090</v>
      </c>
      <c r="Q480" s="194">
        <v>66909</v>
      </c>
      <c r="R480" s="194">
        <v>735999</v>
      </c>
      <c r="S480" s="192"/>
      <c r="T480" s="192" t="s">
        <v>310</v>
      </c>
      <c r="U480" s="190">
        <v>60552</v>
      </c>
      <c r="V480" s="190"/>
      <c r="W480" s="195" t="s">
        <v>356</v>
      </c>
      <c r="X480" s="196" t="str">
        <f>+IFERROR(VLOOKUP($F480,'[2]Chuyển đổi mã'!$A$1:$C$91,3,0),$F480)&amp;AC480</f>
        <v>Big C South323708</v>
      </c>
      <c r="Y480" s="196" t="str">
        <f>IFERROR(VLOOKUP($F480,'[2]Chuyển đổi mã'!$A$1:$C$184,3,0),F480)</f>
        <v>Big C South</v>
      </c>
      <c r="Z480" s="196" t="str">
        <f>VLOOKUP($G480,'[2]Thông tin NPP'!$B:$D,3,0)</f>
        <v>BIG C South</v>
      </c>
      <c r="AA480" s="196" t="str">
        <f t="shared" si="110"/>
        <v>Nextar Bro</v>
      </c>
      <c r="AB480" s="196" t="str">
        <f>IFERROR(VLOOKUP(DAY(B480),'[2]Chuyển đổi mã'!$F$1:$G$32,2,0),0)</f>
        <v>W3</v>
      </c>
      <c r="AC480" s="196" t="str">
        <f t="shared" si="111"/>
        <v>323708</v>
      </c>
      <c r="AD480" s="196" t="str">
        <f t="shared" si="112"/>
        <v>NPP</v>
      </c>
      <c r="AE480" s="196" t="str">
        <f t="shared" si="113"/>
        <v>NPP323708</v>
      </c>
      <c r="AF480" s="196">
        <f t="shared" si="114"/>
        <v>0</v>
      </c>
    </row>
    <row r="481" spans="1:32" ht="12.95" customHeight="1">
      <c r="A481" s="190">
        <v>62734</v>
      </c>
      <c r="B481" s="191">
        <v>43571</v>
      </c>
      <c r="C481" s="190" t="s">
        <v>457</v>
      </c>
      <c r="D481" s="190" t="s">
        <v>609</v>
      </c>
      <c r="E481" s="190" t="s">
        <v>346</v>
      </c>
      <c r="F481" s="190" t="s">
        <v>438</v>
      </c>
      <c r="G481" s="192" t="s">
        <v>439</v>
      </c>
      <c r="H481" s="192" t="s">
        <v>296</v>
      </c>
      <c r="I481" s="192" t="s">
        <v>349</v>
      </c>
      <c r="J481" s="192" t="s">
        <v>350</v>
      </c>
      <c r="K481" s="190" t="s">
        <v>351</v>
      </c>
      <c r="L481" s="190" t="s">
        <v>352</v>
      </c>
      <c r="M481" s="192" t="s">
        <v>353</v>
      </c>
      <c r="N481" s="193">
        <v>7</v>
      </c>
      <c r="O481" s="193">
        <v>155455</v>
      </c>
      <c r="P481" s="194">
        <v>1088185</v>
      </c>
      <c r="Q481" s="194">
        <v>108818.5</v>
      </c>
      <c r="R481" s="194">
        <v>1197003.5</v>
      </c>
      <c r="S481" s="192"/>
      <c r="T481" s="192" t="s">
        <v>310</v>
      </c>
      <c r="U481" s="190">
        <v>60553</v>
      </c>
      <c r="V481" s="190"/>
      <c r="W481" s="195" t="s">
        <v>356</v>
      </c>
      <c r="X481" s="196" t="str">
        <f>+IFERROR(VLOOKUP($F481,'[2]Chuyển đổi mã'!$A$1:$C$91,3,0),$F481)&amp;AC481</f>
        <v>Big C South320463</v>
      </c>
      <c r="Y481" s="196" t="str">
        <f>IFERROR(VLOOKUP($F481,'[2]Chuyển đổi mã'!$A$1:$C$184,3,0),F481)</f>
        <v>Big C South</v>
      </c>
      <c r="Z481" s="196" t="str">
        <f>VLOOKUP($G481,'[2]Thông tin NPP'!$B:$D,3,0)</f>
        <v>Big C South</v>
      </c>
      <c r="AA481" s="196" t="str">
        <f t="shared" si="110"/>
        <v>Na 8,5g</v>
      </c>
      <c r="AB481" s="196" t="str">
        <f>IFERROR(VLOOKUP(DAY(B481),'[2]Chuyển đổi mã'!$F$1:$G$32,2,0),0)</f>
        <v>W3</v>
      </c>
      <c r="AC481" s="196" t="str">
        <f t="shared" si="111"/>
        <v>320463</v>
      </c>
      <c r="AD481" s="196" t="str">
        <f t="shared" si="112"/>
        <v>NPP</v>
      </c>
      <c r="AE481" s="196" t="str">
        <f t="shared" si="113"/>
        <v>NPP320463</v>
      </c>
      <c r="AF481" s="196">
        <f t="shared" si="114"/>
        <v>0</v>
      </c>
    </row>
    <row r="482" spans="1:32" ht="12.95" customHeight="1">
      <c r="A482" s="190">
        <v>62734</v>
      </c>
      <c r="B482" s="191">
        <v>43571</v>
      </c>
      <c r="C482" s="190" t="s">
        <v>457</v>
      </c>
      <c r="D482" s="190" t="s">
        <v>609</v>
      </c>
      <c r="E482" s="190" t="s">
        <v>346</v>
      </c>
      <c r="F482" s="190" t="s">
        <v>438</v>
      </c>
      <c r="G482" s="192" t="s">
        <v>439</v>
      </c>
      <c r="H482" s="192" t="s">
        <v>296</v>
      </c>
      <c r="I482" s="192" t="s">
        <v>349</v>
      </c>
      <c r="J482" s="192" t="s">
        <v>350</v>
      </c>
      <c r="K482" s="190" t="s">
        <v>351</v>
      </c>
      <c r="L482" s="190" t="s">
        <v>387</v>
      </c>
      <c r="M482" s="192" t="s">
        <v>388</v>
      </c>
      <c r="N482" s="193">
        <v>2</v>
      </c>
      <c r="O482" s="193">
        <v>355455</v>
      </c>
      <c r="P482" s="194">
        <v>710910</v>
      </c>
      <c r="Q482" s="194">
        <v>71091</v>
      </c>
      <c r="R482" s="194">
        <v>782001</v>
      </c>
      <c r="S482" s="192"/>
      <c r="T482" s="192" t="s">
        <v>310</v>
      </c>
      <c r="U482" s="190">
        <v>60553</v>
      </c>
      <c r="V482" s="190"/>
      <c r="W482" s="195" t="s">
        <v>356</v>
      </c>
      <c r="X482" s="196" t="str">
        <f>+IFERROR(VLOOKUP($F482,'[2]Chuyển đổi mã'!$A$1:$C$91,3,0),$F482)&amp;AC482</f>
        <v>Big C South323620</v>
      </c>
      <c r="Y482" s="196" t="str">
        <f>IFERROR(VLOOKUP($F482,'[2]Chuyển đổi mã'!$A$1:$C$184,3,0),F482)</f>
        <v>Big C South</v>
      </c>
      <c r="Z482" s="196" t="str">
        <f>VLOOKUP($G482,'[2]Thông tin NPP'!$B:$D,3,0)</f>
        <v>Big C South</v>
      </c>
      <c r="AA482" s="196" t="str">
        <f t="shared" si="110"/>
        <v>Ahh 16g</v>
      </c>
      <c r="AB482" s="196" t="str">
        <f>IFERROR(VLOOKUP(DAY(B482),'[2]Chuyển đổi mã'!$F$1:$G$32,2,0),0)</f>
        <v>W3</v>
      </c>
      <c r="AC482" s="196" t="str">
        <f t="shared" si="111"/>
        <v>323620</v>
      </c>
      <c r="AD482" s="196" t="str">
        <f t="shared" si="112"/>
        <v>NPP</v>
      </c>
      <c r="AE482" s="196" t="str">
        <f t="shared" si="113"/>
        <v>NPP323620</v>
      </c>
      <c r="AF482" s="196">
        <f t="shared" si="114"/>
        <v>0</v>
      </c>
    </row>
    <row r="483" spans="1:32" ht="12.95" customHeight="1">
      <c r="A483" s="190">
        <v>62734</v>
      </c>
      <c r="B483" s="191">
        <v>43571</v>
      </c>
      <c r="C483" s="190" t="s">
        <v>457</v>
      </c>
      <c r="D483" s="190" t="s">
        <v>609</v>
      </c>
      <c r="E483" s="190" t="s">
        <v>346</v>
      </c>
      <c r="F483" s="190" t="s">
        <v>438</v>
      </c>
      <c r="G483" s="192" t="s">
        <v>439</v>
      </c>
      <c r="H483" s="192" t="s">
        <v>296</v>
      </c>
      <c r="I483" s="192" t="s">
        <v>349</v>
      </c>
      <c r="J483" s="192" t="s">
        <v>350</v>
      </c>
      <c r="K483" s="190" t="s">
        <v>351</v>
      </c>
      <c r="L483" s="190" t="s">
        <v>357</v>
      </c>
      <c r="M483" s="192" t="s">
        <v>358</v>
      </c>
      <c r="N483" s="193">
        <v>13</v>
      </c>
      <c r="O483" s="193">
        <v>213273</v>
      </c>
      <c r="P483" s="194">
        <v>2772549</v>
      </c>
      <c r="Q483" s="194">
        <v>277254.90000000002</v>
      </c>
      <c r="R483" s="194">
        <v>3049803.9</v>
      </c>
      <c r="S483" s="192"/>
      <c r="T483" s="192" t="s">
        <v>310</v>
      </c>
      <c r="U483" s="190">
        <v>60553</v>
      </c>
      <c r="V483" s="190"/>
      <c r="W483" s="195" t="s">
        <v>356</v>
      </c>
      <c r="X483" s="196" t="str">
        <f>+IFERROR(VLOOKUP($F483,'[2]Chuyển đổi mã'!$A$1:$C$91,3,0),$F483)&amp;AC483</f>
        <v>Big C South323555</v>
      </c>
      <c r="Y483" s="196" t="str">
        <f>IFERROR(VLOOKUP($F483,'[2]Chuyển đổi mã'!$A$1:$C$184,3,0),F483)</f>
        <v>Big C South</v>
      </c>
      <c r="Z483" s="196" t="str">
        <f>VLOOKUP($G483,'[2]Thông tin NPP'!$B:$D,3,0)</f>
        <v>Big C South</v>
      </c>
      <c r="AA483" s="196" t="str">
        <f t="shared" si="110"/>
        <v>Na 17g - M</v>
      </c>
      <c r="AB483" s="196" t="str">
        <f>IFERROR(VLOOKUP(DAY(B483),'[2]Chuyển đổi mã'!$F$1:$G$32,2,0),0)</f>
        <v>W3</v>
      </c>
      <c r="AC483" s="196" t="str">
        <f t="shared" si="111"/>
        <v>323555</v>
      </c>
      <c r="AD483" s="196" t="str">
        <f t="shared" si="112"/>
        <v>NPP</v>
      </c>
      <c r="AE483" s="196" t="str">
        <f t="shared" si="113"/>
        <v>NPP323555</v>
      </c>
      <c r="AF483" s="196">
        <f t="shared" si="114"/>
        <v>0</v>
      </c>
    </row>
    <row r="484" spans="1:32" ht="12.95" customHeight="1">
      <c r="A484" s="190">
        <v>62734</v>
      </c>
      <c r="B484" s="191">
        <v>43571</v>
      </c>
      <c r="C484" s="190" t="s">
        <v>457</v>
      </c>
      <c r="D484" s="190" t="s">
        <v>609</v>
      </c>
      <c r="E484" s="190" t="s">
        <v>346</v>
      </c>
      <c r="F484" s="190" t="s">
        <v>438</v>
      </c>
      <c r="G484" s="192" t="s">
        <v>439</v>
      </c>
      <c r="H484" s="192" t="s">
        <v>296</v>
      </c>
      <c r="I484" s="192" t="s">
        <v>349</v>
      </c>
      <c r="J484" s="192" t="s">
        <v>350</v>
      </c>
      <c r="K484" s="190" t="s">
        <v>351</v>
      </c>
      <c r="L484" s="190" t="s">
        <v>359</v>
      </c>
      <c r="M484" s="192" t="s">
        <v>360</v>
      </c>
      <c r="N484" s="193">
        <v>5</v>
      </c>
      <c r="O484" s="193">
        <v>313636</v>
      </c>
      <c r="P484" s="194">
        <v>1568180</v>
      </c>
      <c r="Q484" s="194">
        <v>156818</v>
      </c>
      <c r="R484" s="194">
        <v>1724998</v>
      </c>
      <c r="S484" s="192"/>
      <c r="T484" s="192" t="s">
        <v>310</v>
      </c>
      <c r="U484" s="190">
        <v>60553</v>
      </c>
      <c r="V484" s="190"/>
      <c r="W484" s="195" t="s">
        <v>356</v>
      </c>
      <c r="X484" s="196" t="str">
        <f>+IFERROR(VLOOKUP($F484,'[2]Chuyển đổi mã'!$A$1:$C$91,3,0),$F484)&amp;AC484</f>
        <v>Big C South320445</v>
      </c>
      <c r="Y484" s="196" t="str">
        <f>IFERROR(VLOOKUP($F484,'[2]Chuyển đổi mã'!$A$1:$C$184,3,0),F484)</f>
        <v>Big C South</v>
      </c>
      <c r="Z484" s="196" t="str">
        <f>VLOOKUP($G484,'[2]Thông tin NPP'!$B:$D,3,0)</f>
        <v>Big C South</v>
      </c>
      <c r="AA484" s="196" t="str">
        <f t="shared" si="110"/>
        <v>Na 58g</v>
      </c>
      <c r="AB484" s="196" t="str">
        <f>IFERROR(VLOOKUP(DAY(B484),'[2]Chuyển đổi mã'!$F$1:$G$32,2,0),0)</f>
        <v>W3</v>
      </c>
      <c r="AC484" s="196" t="str">
        <f t="shared" si="111"/>
        <v>320445</v>
      </c>
      <c r="AD484" s="196" t="str">
        <f t="shared" si="112"/>
        <v>NPP</v>
      </c>
      <c r="AE484" s="196" t="str">
        <f t="shared" si="113"/>
        <v>NPP320445</v>
      </c>
      <c r="AF484" s="196">
        <f t="shared" si="114"/>
        <v>0</v>
      </c>
    </row>
    <row r="485" spans="1:32" ht="12.95" customHeight="1">
      <c r="A485" s="190">
        <v>62737</v>
      </c>
      <c r="B485" s="191">
        <v>43571</v>
      </c>
      <c r="C485" s="190" t="s">
        <v>457</v>
      </c>
      <c r="D485" s="190" t="s">
        <v>610</v>
      </c>
      <c r="E485" s="190" t="s">
        <v>346</v>
      </c>
      <c r="F485" s="190" t="s">
        <v>459</v>
      </c>
      <c r="G485" s="192" t="s">
        <v>460</v>
      </c>
      <c r="H485" s="192" t="s">
        <v>296</v>
      </c>
      <c r="I485" s="192" t="s">
        <v>349</v>
      </c>
      <c r="J485" s="192" t="s">
        <v>350</v>
      </c>
      <c r="K485" s="190" t="s">
        <v>351</v>
      </c>
      <c r="L485" s="190" t="s">
        <v>352</v>
      </c>
      <c r="M485" s="192" t="s">
        <v>353</v>
      </c>
      <c r="N485" s="193">
        <v>50</v>
      </c>
      <c r="O485" s="193">
        <v>115036.7</v>
      </c>
      <c r="P485" s="194">
        <v>5751835</v>
      </c>
      <c r="Q485" s="194">
        <v>575183.5</v>
      </c>
      <c r="R485" s="194">
        <v>6327018.5</v>
      </c>
      <c r="S485" s="192" t="s">
        <v>544</v>
      </c>
      <c r="T485" s="192" t="s">
        <v>545</v>
      </c>
      <c r="U485" s="190">
        <v>60555</v>
      </c>
      <c r="V485" s="190"/>
      <c r="W485" s="195" t="s">
        <v>356</v>
      </c>
      <c r="X485" s="196" t="str">
        <f>+IFERROR(VLOOKUP($F485,'[2]Chuyển đổi mã'!$A$1:$C$91,3,0),$F485)&amp;AC485</f>
        <v>Lotte South320463</v>
      </c>
      <c r="Y485" s="196" t="str">
        <f>IFERROR(VLOOKUP($F485,'[2]Chuyển đổi mã'!$A$1:$C$184,3,0),F485)</f>
        <v>Lotte South</v>
      </c>
      <c r="Z485" s="196" t="str">
        <f>VLOOKUP($G485,'[2]Thông tin NPP'!$B:$D,3,0)</f>
        <v>Lotte South</v>
      </c>
      <c r="AA485" s="196" t="str">
        <f t="shared" ref="AA485:AA521" si="115">LEFT($M485,10)</f>
        <v>Na 8,5g</v>
      </c>
      <c r="AB485" s="196" t="str">
        <f>IFERROR(VLOOKUP(DAY(B485),'[2]Chuyển đổi mã'!$F$1:$G$32,2,0),0)</f>
        <v>W3</v>
      </c>
      <c r="AC485" s="196" t="str">
        <f t="shared" ref="AC485:AC521" si="116">LEFT(L485,6)</f>
        <v>320463</v>
      </c>
      <c r="AD485" s="196" t="str">
        <f t="shared" ref="AD485:AD521" si="117">LEFT(F485,3)</f>
        <v>NPP</v>
      </c>
      <c r="AE485" s="196" t="str">
        <f t="shared" ref="AE485:AE521" si="118">AD485&amp;AC485</f>
        <v>NPP320463</v>
      </c>
      <c r="AF485" s="196">
        <f t="shared" ref="AF485:AF521" si="119">IF(RIGHT(L485,1)="P","P",0)</f>
        <v>0</v>
      </c>
    </row>
    <row r="486" spans="1:32" ht="12.95" customHeight="1">
      <c r="A486" s="190">
        <v>62737</v>
      </c>
      <c r="B486" s="191">
        <v>43571</v>
      </c>
      <c r="C486" s="190" t="s">
        <v>457</v>
      </c>
      <c r="D486" s="190" t="s">
        <v>610</v>
      </c>
      <c r="E486" s="190" t="s">
        <v>346</v>
      </c>
      <c r="F486" s="190" t="s">
        <v>459</v>
      </c>
      <c r="G486" s="192" t="s">
        <v>460</v>
      </c>
      <c r="H486" s="192" t="s">
        <v>296</v>
      </c>
      <c r="I486" s="192" t="s">
        <v>349</v>
      </c>
      <c r="J486" s="192" t="s">
        <v>350</v>
      </c>
      <c r="K486" s="190" t="s">
        <v>351</v>
      </c>
      <c r="L486" s="190" t="s">
        <v>378</v>
      </c>
      <c r="M486" s="192" t="s">
        <v>379</v>
      </c>
      <c r="N486" s="193">
        <v>5</v>
      </c>
      <c r="O486" s="193">
        <v>213273</v>
      </c>
      <c r="P486" s="194">
        <v>1066365</v>
      </c>
      <c r="Q486" s="194">
        <v>106636.5</v>
      </c>
      <c r="R486" s="194">
        <v>1173001.5</v>
      </c>
      <c r="S486" s="192"/>
      <c r="T486" s="192" t="s">
        <v>310</v>
      </c>
      <c r="U486" s="190">
        <v>60555</v>
      </c>
      <c r="V486" s="190"/>
      <c r="W486" s="195" t="s">
        <v>356</v>
      </c>
      <c r="X486" s="196" t="str">
        <f>+IFERROR(VLOOKUP($F486,'[2]Chuyển đổi mã'!$A$1:$C$91,3,0),$F486)&amp;AC486</f>
        <v>Lotte South321238</v>
      </c>
      <c r="Y486" s="196" t="str">
        <f>IFERROR(VLOOKUP($F486,'[2]Chuyển đổi mã'!$A$1:$C$184,3,0),F486)</f>
        <v>Lotte South</v>
      </c>
      <c r="Z486" s="196" t="str">
        <f>VLOOKUP($G486,'[2]Thông tin NPP'!$B:$D,3,0)</f>
        <v>Lotte South</v>
      </c>
      <c r="AA486" s="196" t="str">
        <f t="shared" si="115"/>
        <v>Richoco Wf</v>
      </c>
      <c r="AB486" s="196" t="str">
        <f>IFERROR(VLOOKUP(DAY(B486),'[2]Chuyển đổi mã'!$F$1:$G$32,2,0),0)</f>
        <v>W3</v>
      </c>
      <c r="AC486" s="196" t="str">
        <f t="shared" si="116"/>
        <v>321238</v>
      </c>
      <c r="AD486" s="196" t="str">
        <f t="shared" si="117"/>
        <v>NPP</v>
      </c>
      <c r="AE486" s="196" t="str">
        <f t="shared" si="118"/>
        <v>NPP321238</v>
      </c>
      <c r="AF486" s="196">
        <f t="shared" si="119"/>
        <v>0</v>
      </c>
    </row>
    <row r="487" spans="1:32" ht="12.95" customHeight="1">
      <c r="A487" s="190">
        <v>62737</v>
      </c>
      <c r="B487" s="191">
        <v>43571</v>
      </c>
      <c r="C487" s="190" t="s">
        <v>457</v>
      </c>
      <c r="D487" s="190" t="s">
        <v>610</v>
      </c>
      <c r="E487" s="190" t="s">
        <v>346</v>
      </c>
      <c r="F487" s="190" t="s">
        <v>459</v>
      </c>
      <c r="G487" s="192" t="s">
        <v>460</v>
      </c>
      <c r="H487" s="192" t="s">
        <v>296</v>
      </c>
      <c r="I487" s="192" t="s">
        <v>349</v>
      </c>
      <c r="J487" s="192" t="s">
        <v>350</v>
      </c>
      <c r="K487" s="190" t="s">
        <v>351</v>
      </c>
      <c r="L487" s="190" t="s">
        <v>359</v>
      </c>
      <c r="M487" s="192" t="s">
        <v>360</v>
      </c>
      <c r="N487" s="193">
        <v>2</v>
      </c>
      <c r="O487" s="193">
        <v>300000</v>
      </c>
      <c r="P487" s="194">
        <v>600000</v>
      </c>
      <c r="Q487" s="194">
        <v>60000</v>
      </c>
      <c r="R487" s="194">
        <v>660000</v>
      </c>
      <c r="S487" s="192"/>
      <c r="T487" s="192" t="s">
        <v>310</v>
      </c>
      <c r="U487" s="190">
        <v>60555</v>
      </c>
      <c r="V487" s="190"/>
      <c r="W487" s="195" t="s">
        <v>356</v>
      </c>
      <c r="X487" s="196" t="str">
        <f>+IFERROR(VLOOKUP($F487,'[2]Chuyển đổi mã'!$A$1:$C$91,3,0),$F487)&amp;AC487</f>
        <v>Lotte South320445</v>
      </c>
      <c r="Y487" s="196" t="str">
        <f>IFERROR(VLOOKUP($F487,'[2]Chuyển đổi mã'!$A$1:$C$184,3,0),F487)</f>
        <v>Lotte South</v>
      </c>
      <c r="Z487" s="196" t="str">
        <f>VLOOKUP($G487,'[2]Thông tin NPP'!$B:$D,3,0)</f>
        <v>Lotte South</v>
      </c>
      <c r="AA487" s="196" t="str">
        <f t="shared" si="115"/>
        <v>Na 58g</v>
      </c>
      <c r="AB487" s="196" t="str">
        <f>IFERROR(VLOOKUP(DAY(B487),'[2]Chuyển đổi mã'!$F$1:$G$32,2,0),0)</f>
        <v>W3</v>
      </c>
      <c r="AC487" s="196" t="str">
        <f t="shared" si="116"/>
        <v>320445</v>
      </c>
      <c r="AD487" s="196" t="str">
        <f t="shared" si="117"/>
        <v>NPP</v>
      </c>
      <c r="AE487" s="196" t="str">
        <f t="shared" si="118"/>
        <v>NPP320445</v>
      </c>
      <c r="AF487" s="196">
        <f t="shared" si="119"/>
        <v>0</v>
      </c>
    </row>
    <row r="488" spans="1:32" ht="12.95" customHeight="1">
      <c r="A488" s="190">
        <v>62737</v>
      </c>
      <c r="B488" s="191">
        <v>43571</v>
      </c>
      <c r="C488" s="190" t="s">
        <v>457</v>
      </c>
      <c r="D488" s="190" t="s">
        <v>610</v>
      </c>
      <c r="E488" s="190" t="s">
        <v>346</v>
      </c>
      <c r="F488" s="190" t="s">
        <v>459</v>
      </c>
      <c r="G488" s="192" t="s">
        <v>460</v>
      </c>
      <c r="H488" s="192" t="s">
        <v>296</v>
      </c>
      <c r="I488" s="192" t="s">
        <v>349</v>
      </c>
      <c r="J488" s="192" t="s">
        <v>350</v>
      </c>
      <c r="K488" s="190" t="s">
        <v>351</v>
      </c>
      <c r="L488" s="190" t="s">
        <v>357</v>
      </c>
      <c r="M488" s="192" t="s">
        <v>358</v>
      </c>
      <c r="N488" s="193">
        <v>10</v>
      </c>
      <c r="O488" s="193">
        <v>213273</v>
      </c>
      <c r="P488" s="194">
        <v>2132730</v>
      </c>
      <c r="Q488" s="194">
        <v>213273</v>
      </c>
      <c r="R488" s="194">
        <v>2346003</v>
      </c>
      <c r="S488" s="192"/>
      <c r="T488" s="192" t="s">
        <v>310</v>
      </c>
      <c r="U488" s="190">
        <v>60555</v>
      </c>
      <c r="V488" s="190"/>
      <c r="W488" s="195" t="s">
        <v>356</v>
      </c>
      <c r="X488" s="196" t="str">
        <f>+IFERROR(VLOOKUP($F488,'[2]Chuyển đổi mã'!$A$1:$C$91,3,0),$F488)&amp;AC488</f>
        <v>Lotte South323555</v>
      </c>
      <c r="Y488" s="196" t="str">
        <f>IFERROR(VLOOKUP($F488,'[2]Chuyển đổi mã'!$A$1:$C$184,3,0),F488)</f>
        <v>Lotte South</v>
      </c>
      <c r="Z488" s="196" t="str">
        <f>VLOOKUP($G488,'[2]Thông tin NPP'!$B:$D,3,0)</f>
        <v>Lotte South</v>
      </c>
      <c r="AA488" s="196" t="str">
        <f t="shared" si="115"/>
        <v>Na 17g - M</v>
      </c>
      <c r="AB488" s="196" t="str">
        <f>IFERROR(VLOOKUP(DAY(B488),'[2]Chuyển đổi mã'!$F$1:$G$32,2,0),0)</f>
        <v>W3</v>
      </c>
      <c r="AC488" s="196" t="str">
        <f t="shared" si="116"/>
        <v>323555</v>
      </c>
      <c r="AD488" s="196" t="str">
        <f t="shared" si="117"/>
        <v>NPP</v>
      </c>
      <c r="AE488" s="196" t="str">
        <f t="shared" si="118"/>
        <v>NPP323555</v>
      </c>
      <c r="AF488" s="196">
        <f t="shared" si="119"/>
        <v>0</v>
      </c>
    </row>
    <row r="489" spans="1:32" ht="12.95" customHeight="1">
      <c r="A489" s="190">
        <v>62737</v>
      </c>
      <c r="B489" s="191">
        <v>43571</v>
      </c>
      <c r="C489" s="190" t="s">
        <v>457</v>
      </c>
      <c r="D489" s="190" t="s">
        <v>610</v>
      </c>
      <c r="E489" s="190" t="s">
        <v>346</v>
      </c>
      <c r="F489" s="190" t="s">
        <v>459</v>
      </c>
      <c r="G489" s="192" t="s">
        <v>460</v>
      </c>
      <c r="H489" s="192" t="s">
        <v>296</v>
      </c>
      <c r="I489" s="192" t="s">
        <v>349</v>
      </c>
      <c r="J489" s="192" t="s">
        <v>350</v>
      </c>
      <c r="K489" s="190" t="s">
        <v>351</v>
      </c>
      <c r="L489" s="190" t="s">
        <v>363</v>
      </c>
      <c r="M489" s="192" t="s">
        <v>364</v>
      </c>
      <c r="N489" s="193">
        <v>2</v>
      </c>
      <c r="O489" s="193">
        <v>320000</v>
      </c>
      <c r="P489" s="194">
        <v>640000</v>
      </c>
      <c r="Q489" s="194">
        <v>64000</v>
      </c>
      <c r="R489" s="194">
        <v>704000</v>
      </c>
      <c r="S489" s="192"/>
      <c r="T489" s="192" t="s">
        <v>310</v>
      </c>
      <c r="U489" s="190">
        <v>60555</v>
      </c>
      <c r="V489" s="190"/>
      <c r="W489" s="195" t="s">
        <v>356</v>
      </c>
      <c r="X489" s="196" t="str">
        <f>+IFERROR(VLOOKUP($F489,'[2]Chuyển đổi mã'!$A$1:$C$91,3,0),$F489)&amp;AC489</f>
        <v>Lotte South323708</v>
      </c>
      <c r="Y489" s="196" t="str">
        <f>IFERROR(VLOOKUP($F489,'[2]Chuyển đổi mã'!$A$1:$C$184,3,0),F489)</f>
        <v>Lotte South</v>
      </c>
      <c r="Z489" s="196" t="str">
        <f>VLOOKUP($G489,'[2]Thông tin NPP'!$B:$D,3,0)</f>
        <v>Lotte South</v>
      </c>
      <c r="AA489" s="196" t="str">
        <f t="shared" si="115"/>
        <v>Nextar Bro</v>
      </c>
      <c r="AB489" s="196" t="str">
        <f>IFERROR(VLOOKUP(DAY(B489),'[2]Chuyển đổi mã'!$F$1:$G$32,2,0),0)</f>
        <v>W3</v>
      </c>
      <c r="AC489" s="196" t="str">
        <f t="shared" si="116"/>
        <v>323708</v>
      </c>
      <c r="AD489" s="196" t="str">
        <f t="shared" si="117"/>
        <v>NPP</v>
      </c>
      <c r="AE489" s="196" t="str">
        <f t="shared" si="118"/>
        <v>NPP323708</v>
      </c>
      <c r="AF489" s="196">
        <f t="shared" si="119"/>
        <v>0</v>
      </c>
    </row>
    <row r="490" spans="1:32" ht="12.95" hidden="1" customHeight="1">
      <c r="A490" s="190">
        <v>62738</v>
      </c>
      <c r="B490" s="191">
        <v>43571</v>
      </c>
      <c r="C490" s="190" t="s">
        <v>457</v>
      </c>
      <c r="D490" s="190" t="s">
        <v>611</v>
      </c>
      <c r="E490" s="190" t="s">
        <v>346</v>
      </c>
      <c r="F490" s="190" t="s">
        <v>414</v>
      </c>
      <c r="G490" s="192" t="s">
        <v>415</v>
      </c>
      <c r="H490" s="192" t="s">
        <v>296</v>
      </c>
      <c r="I490" s="192" t="s">
        <v>416</v>
      </c>
      <c r="J490" s="192" t="s">
        <v>350</v>
      </c>
      <c r="K490" s="190" t="s">
        <v>367</v>
      </c>
      <c r="L490" s="190" t="s">
        <v>352</v>
      </c>
      <c r="M490" s="192" t="s">
        <v>353</v>
      </c>
      <c r="N490" s="193">
        <v>100</v>
      </c>
      <c r="O490" s="193">
        <v>107728</v>
      </c>
      <c r="P490" s="194">
        <v>10772800</v>
      </c>
      <c r="Q490" s="194">
        <v>1077280</v>
      </c>
      <c r="R490" s="194">
        <v>11850080</v>
      </c>
      <c r="S490" s="192"/>
      <c r="T490" s="192" t="s">
        <v>310</v>
      </c>
      <c r="U490" s="190">
        <v>60560</v>
      </c>
      <c r="V490" s="190"/>
      <c r="W490" s="195" t="s">
        <v>356</v>
      </c>
      <c r="X490" s="196" t="str">
        <f>+IFERROR(VLOOKUP($F490,'[2]Chuyển đổi mã'!$A$1:$C$91,3,0),$F490)&amp;AC490</f>
        <v>NPP00000119320463</v>
      </c>
      <c r="Y490" s="196" t="str">
        <f>IFERROR(VLOOKUP($F490,'[2]Chuyển đổi mã'!$A$1:$C$184,3,0),F490)</f>
        <v>NPP00000119</v>
      </c>
      <c r="Z490" s="196" t="str">
        <f>VLOOKUP($G490,'[2]Thông tin NPP'!$B:$D,3,0)</f>
        <v>NGUYỄN DUNG</v>
      </c>
      <c r="AA490" s="196" t="str">
        <f t="shared" si="115"/>
        <v>Na 8,5g</v>
      </c>
      <c r="AB490" s="196" t="str">
        <f>IFERROR(VLOOKUP(DAY(B490),'[2]Chuyển đổi mã'!$F$1:$G$32,2,0),0)</f>
        <v>W3</v>
      </c>
      <c r="AC490" s="196" t="str">
        <f t="shared" si="116"/>
        <v>320463</v>
      </c>
      <c r="AD490" s="196" t="str">
        <f t="shared" si="117"/>
        <v>NPP</v>
      </c>
      <c r="AE490" s="196" t="str">
        <f t="shared" si="118"/>
        <v>NPP320463</v>
      </c>
      <c r="AF490" s="196">
        <f t="shared" si="119"/>
        <v>0</v>
      </c>
    </row>
    <row r="491" spans="1:32" ht="12.95" hidden="1" customHeight="1">
      <c r="A491" s="190">
        <v>62738</v>
      </c>
      <c r="B491" s="191">
        <v>43571</v>
      </c>
      <c r="C491" s="190" t="s">
        <v>457</v>
      </c>
      <c r="D491" s="190" t="s">
        <v>611</v>
      </c>
      <c r="E491" s="190" t="s">
        <v>346</v>
      </c>
      <c r="F491" s="190" t="s">
        <v>414</v>
      </c>
      <c r="G491" s="192" t="s">
        <v>415</v>
      </c>
      <c r="H491" s="192" t="s">
        <v>296</v>
      </c>
      <c r="I491" s="192" t="s">
        <v>416</v>
      </c>
      <c r="J491" s="192" t="s">
        <v>350</v>
      </c>
      <c r="K491" s="190" t="s">
        <v>367</v>
      </c>
      <c r="L491" s="190" t="s">
        <v>387</v>
      </c>
      <c r="M491" s="192" t="s">
        <v>388</v>
      </c>
      <c r="N491" s="193">
        <v>25</v>
      </c>
      <c r="O491" s="193">
        <v>312800</v>
      </c>
      <c r="P491" s="194">
        <v>7820000</v>
      </c>
      <c r="Q491" s="194">
        <v>782000</v>
      </c>
      <c r="R491" s="194">
        <v>8602000</v>
      </c>
      <c r="S491" s="192"/>
      <c r="T491" s="192" t="s">
        <v>310</v>
      </c>
      <c r="U491" s="190">
        <v>60560</v>
      </c>
      <c r="V491" s="190"/>
      <c r="W491" s="195" t="s">
        <v>356</v>
      </c>
      <c r="X491" s="196" t="str">
        <f>+IFERROR(VLOOKUP($F491,'[2]Chuyển đổi mã'!$A$1:$C$91,3,0),$F491)&amp;AC491</f>
        <v>NPP00000119323620</v>
      </c>
      <c r="Y491" s="196" t="str">
        <f>IFERROR(VLOOKUP($F491,'[2]Chuyển đổi mã'!$A$1:$C$184,3,0),F491)</f>
        <v>NPP00000119</v>
      </c>
      <c r="Z491" s="196" t="str">
        <f>VLOOKUP($G491,'[2]Thông tin NPP'!$B:$D,3,0)</f>
        <v>NGUYỄN DUNG</v>
      </c>
      <c r="AA491" s="196" t="str">
        <f t="shared" si="115"/>
        <v>Ahh 16g</v>
      </c>
      <c r="AB491" s="196" t="str">
        <f>IFERROR(VLOOKUP(DAY(B491),'[2]Chuyển đổi mã'!$F$1:$G$32,2,0),0)</f>
        <v>W3</v>
      </c>
      <c r="AC491" s="196" t="str">
        <f t="shared" si="116"/>
        <v>323620</v>
      </c>
      <c r="AD491" s="196" t="str">
        <f t="shared" si="117"/>
        <v>NPP</v>
      </c>
      <c r="AE491" s="196" t="str">
        <f t="shared" si="118"/>
        <v>NPP323620</v>
      </c>
      <c r="AF491" s="196">
        <f t="shared" si="119"/>
        <v>0</v>
      </c>
    </row>
    <row r="492" spans="1:32" ht="12.95" hidden="1" customHeight="1">
      <c r="A492" s="190">
        <v>62738</v>
      </c>
      <c r="B492" s="191">
        <v>43571</v>
      </c>
      <c r="C492" s="190" t="s">
        <v>457</v>
      </c>
      <c r="D492" s="190" t="s">
        <v>611</v>
      </c>
      <c r="E492" s="190" t="s">
        <v>346</v>
      </c>
      <c r="F492" s="190" t="s">
        <v>414</v>
      </c>
      <c r="G492" s="192" t="s">
        <v>415</v>
      </c>
      <c r="H492" s="192" t="s">
        <v>296</v>
      </c>
      <c r="I492" s="192" t="s">
        <v>416</v>
      </c>
      <c r="J492" s="192" t="s">
        <v>350</v>
      </c>
      <c r="K492" s="190" t="s">
        <v>367</v>
      </c>
      <c r="L492" s="190" t="s">
        <v>378</v>
      </c>
      <c r="M492" s="192" t="s">
        <v>379</v>
      </c>
      <c r="N492" s="193">
        <v>50</v>
      </c>
      <c r="O492" s="193">
        <v>187680</v>
      </c>
      <c r="P492" s="194">
        <v>9384000</v>
      </c>
      <c r="Q492" s="194">
        <v>938400</v>
      </c>
      <c r="R492" s="194">
        <v>10322400</v>
      </c>
      <c r="S492" s="192"/>
      <c r="T492" s="192" t="s">
        <v>310</v>
      </c>
      <c r="U492" s="190">
        <v>60560</v>
      </c>
      <c r="V492" s="190"/>
      <c r="W492" s="195" t="s">
        <v>356</v>
      </c>
      <c r="X492" s="196" t="str">
        <f>+IFERROR(VLOOKUP($F492,'[2]Chuyển đổi mã'!$A$1:$C$91,3,0),$F492)&amp;AC492</f>
        <v>NPP00000119321238</v>
      </c>
      <c r="Y492" s="196" t="str">
        <f>IFERROR(VLOOKUP($F492,'[2]Chuyển đổi mã'!$A$1:$C$184,3,0),F492)</f>
        <v>NPP00000119</v>
      </c>
      <c r="Z492" s="196" t="str">
        <f>VLOOKUP($G492,'[2]Thông tin NPP'!$B:$D,3,0)</f>
        <v>NGUYỄN DUNG</v>
      </c>
      <c r="AA492" s="196" t="str">
        <f t="shared" si="115"/>
        <v>Richoco Wf</v>
      </c>
      <c r="AB492" s="196" t="str">
        <f>IFERROR(VLOOKUP(DAY(B492),'[2]Chuyển đổi mã'!$F$1:$G$32,2,0),0)</f>
        <v>W3</v>
      </c>
      <c r="AC492" s="196" t="str">
        <f t="shared" si="116"/>
        <v>321238</v>
      </c>
      <c r="AD492" s="196" t="str">
        <f t="shared" si="117"/>
        <v>NPP</v>
      </c>
      <c r="AE492" s="196" t="str">
        <f t="shared" si="118"/>
        <v>NPP321238</v>
      </c>
      <c r="AF492" s="196">
        <f t="shared" si="119"/>
        <v>0</v>
      </c>
    </row>
    <row r="493" spans="1:32" ht="12.95" hidden="1" customHeight="1">
      <c r="A493" s="190">
        <v>62738</v>
      </c>
      <c r="B493" s="191">
        <v>43571</v>
      </c>
      <c r="C493" s="190" t="s">
        <v>457</v>
      </c>
      <c r="D493" s="190" t="s">
        <v>611</v>
      </c>
      <c r="E493" s="190" t="s">
        <v>346</v>
      </c>
      <c r="F493" s="190" t="s">
        <v>414</v>
      </c>
      <c r="G493" s="192" t="s">
        <v>415</v>
      </c>
      <c r="H493" s="192" t="s">
        <v>296</v>
      </c>
      <c r="I493" s="192" t="s">
        <v>416</v>
      </c>
      <c r="J493" s="192" t="s">
        <v>350</v>
      </c>
      <c r="K493" s="190" t="s">
        <v>367</v>
      </c>
      <c r="L493" s="190" t="s">
        <v>408</v>
      </c>
      <c r="M493" s="192" t="s">
        <v>409</v>
      </c>
      <c r="N493" s="193">
        <v>50</v>
      </c>
      <c r="O493" s="193">
        <v>176640</v>
      </c>
      <c r="P493" s="194">
        <v>8832000</v>
      </c>
      <c r="Q493" s="194">
        <v>883200</v>
      </c>
      <c r="R493" s="194">
        <v>9715200</v>
      </c>
      <c r="S493" s="192"/>
      <c r="T493" s="192" t="s">
        <v>310</v>
      </c>
      <c r="U493" s="190">
        <v>60560</v>
      </c>
      <c r="V493" s="190"/>
      <c r="W493" s="195" t="s">
        <v>356</v>
      </c>
      <c r="X493" s="196" t="str">
        <f>+IFERROR(VLOOKUP($F493,'[2]Chuyển đổi mã'!$A$1:$C$91,3,0),$F493)&amp;AC493</f>
        <v>NPP00000119324136</v>
      </c>
      <c r="Y493" s="196" t="str">
        <f>IFERROR(VLOOKUP($F493,'[2]Chuyển đổi mã'!$A$1:$C$184,3,0),F493)</f>
        <v>NPP00000119</v>
      </c>
      <c r="Z493" s="196" t="str">
        <f>VLOOKUP($G493,'[2]Thông tin NPP'!$B:$D,3,0)</f>
        <v>NGUYỄN DUNG</v>
      </c>
      <c r="AA493" s="196" t="str">
        <f t="shared" si="115"/>
        <v>Na 145g</v>
      </c>
      <c r="AB493" s="196" t="str">
        <f>IFERROR(VLOOKUP(DAY(B493),'[2]Chuyển đổi mã'!$F$1:$G$32,2,0),0)</f>
        <v>W3</v>
      </c>
      <c r="AC493" s="196" t="str">
        <f t="shared" si="116"/>
        <v>324136</v>
      </c>
      <c r="AD493" s="196" t="str">
        <f t="shared" si="117"/>
        <v>NPP</v>
      </c>
      <c r="AE493" s="196" t="str">
        <f t="shared" si="118"/>
        <v>NPP324136</v>
      </c>
      <c r="AF493" s="196">
        <f t="shared" si="119"/>
        <v>0</v>
      </c>
    </row>
    <row r="494" spans="1:32" ht="12.95" hidden="1" customHeight="1">
      <c r="A494" s="190">
        <v>62738</v>
      </c>
      <c r="B494" s="191">
        <v>43571</v>
      </c>
      <c r="C494" s="190" t="s">
        <v>457</v>
      </c>
      <c r="D494" s="190" t="s">
        <v>611</v>
      </c>
      <c r="E494" s="190" t="s">
        <v>346</v>
      </c>
      <c r="F494" s="190" t="s">
        <v>414</v>
      </c>
      <c r="G494" s="192" t="s">
        <v>415</v>
      </c>
      <c r="H494" s="192" t="s">
        <v>296</v>
      </c>
      <c r="I494" s="192" t="s">
        <v>416</v>
      </c>
      <c r="J494" s="192" t="s">
        <v>350</v>
      </c>
      <c r="K494" s="190" t="s">
        <v>367</v>
      </c>
      <c r="L494" s="190" t="s">
        <v>359</v>
      </c>
      <c r="M494" s="192" t="s">
        <v>360</v>
      </c>
      <c r="N494" s="193">
        <v>50</v>
      </c>
      <c r="O494" s="193">
        <v>276000</v>
      </c>
      <c r="P494" s="194">
        <v>13800000</v>
      </c>
      <c r="Q494" s="194">
        <v>1380000</v>
      </c>
      <c r="R494" s="194">
        <v>15180000</v>
      </c>
      <c r="S494" s="192"/>
      <c r="T494" s="192" t="s">
        <v>310</v>
      </c>
      <c r="U494" s="190">
        <v>60560</v>
      </c>
      <c r="V494" s="190"/>
      <c r="W494" s="195" t="s">
        <v>356</v>
      </c>
      <c r="X494" s="196" t="str">
        <f>+IFERROR(VLOOKUP($F494,'[2]Chuyển đổi mã'!$A$1:$C$91,3,0),$F494)&amp;AC494</f>
        <v>NPP00000119320445</v>
      </c>
      <c r="Y494" s="196" t="str">
        <f>IFERROR(VLOOKUP($F494,'[2]Chuyển đổi mã'!$A$1:$C$184,3,0),F494)</f>
        <v>NPP00000119</v>
      </c>
      <c r="Z494" s="196" t="str">
        <f>VLOOKUP($G494,'[2]Thông tin NPP'!$B:$D,3,0)</f>
        <v>NGUYỄN DUNG</v>
      </c>
      <c r="AA494" s="196" t="str">
        <f t="shared" si="115"/>
        <v>Na 58g</v>
      </c>
      <c r="AB494" s="196" t="str">
        <f>IFERROR(VLOOKUP(DAY(B494),'[2]Chuyển đổi mã'!$F$1:$G$32,2,0),0)</f>
        <v>W3</v>
      </c>
      <c r="AC494" s="196" t="str">
        <f t="shared" si="116"/>
        <v>320445</v>
      </c>
      <c r="AD494" s="196" t="str">
        <f t="shared" si="117"/>
        <v>NPP</v>
      </c>
      <c r="AE494" s="196" t="str">
        <f t="shared" si="118"/>
        <v>NPP320445</v>
      </c>
      <c r="AF494" s="196">
        <f t="shared" si="119"/>
        <v>0</v>
      </c>
    </row>
    <row r="495" spans="1:32" ht="12.95" hidden="1" customHeight="1">
      <c r="A495" s="190">
        <v>62738</v>
      </c>
      <c r="B495" s="191">
        <v>43571</v>
      </c>
      <c r="C495" s="190" t="s">
        <v>457</v>
      </c>
      <c r="D495" s="190" t="s">
        <v>611</v>
      </c>
      <c r="E495" s="190" t="s">
        <v>346</v>
      </c>
      <c r="F495" s="190" t="s">
        <v>414</v>
      </c>
      <c r="G495" s="192" t="s">
        <v>415</v>
      </c>
      <c r="H495" s="192" t="s">
        <v>296</v>
      </c>
      <c r="I495" s="192" t="s">
        <v>416</v>
      </c>
      <c r="J495" s="192" t="s">
        <v>350</v>
      </c>
      <c r="K495" s="190" t="s">
        <v>367</v>
      </c>
      <c r="L495" s="190" t="s">
        <v>361</v>
      </c>
      <c r="M495" s="192" t="s">
        <v>362</v>
      </c>
      <c r="N495" s="193">
        <v>70</v>
      </c>
      <c r="O495" s="193">
        <v>276000</v>
      </c>
      <c r="P495" s="194">
        <v>19320000</v>
      </c>
      <c r="Q495" s="194">
        <v>1932000</v>
      </c>
      <c r="R495" s="194">
        <v>21252000</v>
      </c>
      <c r="S495" s="192"/>
      <c r="T495" s="192" t="s">
        <v>310</v>
      </c>
      <c r="U495" s="190">
        <v>60560</v>
      </c>
      <c r="V495" s="190"/>
      <c r="W495" s="195" t="s">
        <v>356</v>
      </c>
      <c r="X495" s="196" t="str">
        <f>+IFERROR(VLOOKUP($F495,'[2]Chuyển đổi mã'!$A$1:$C$91,3,0),$F495)&amp;AC495</f>
        <v>NPP00000119331017</v>
      </c>
      <c r="Y495" s="196" t="str">
        <f>IFERROR(VLOOKUP($F495,'[2]Chuyển đổi mã'!$A$1:$C$184,3,0),F495)</f>
        <v>NPP00000119</v>
      </c>
      <c r="Z495" s="196" t="str">
        <f>VLOOKUP($G495,'[2]Thông tin NPP'!$B:$D,3,0)</f>
        <v>NGUYỄN DUNG</v>
      </c>
      <c r="AA495" s="196" t="str">
        <f t="shared" si="115"/>
        <v>Richoco Wf</v>
      </c>
      <c r="AB495" s="196" t="str">
        <f>IFERROR(VLOOKUP(DAY(B495),'[2]Chuyển đổi mã'!$F$1:$G$32,2,0),0)</f>
        <v>W3</v>
      </c>
      <c r="AC495" s="196" t="str">
        <f t="shared" si="116"/>
        <v>331017</v>
      </c>
      <c r="AD495" s="196" t="str">
        <f t="shared" si="117"/>
        <v>NPP</v>
      </c>
      <c r="AE495" s="196" t="str">
        <f t="shared" si="118"/>
        <v>NPP331017</v>
      </c>
      <c r="AF495" s="196">
        <f t="shared" si="119"/>
        <v>0</v>
      </c>
    </row>
    <row r="496" spans="1:32" ht="12.95" customHeight="1">
      <c r="A496" s="190">
        <v>62739</v>
      </c>
      <c r="B496" s="191">
        <v>43571</v>
      </c>
      <c r="C496" s="190" t="s">
        <v>457</v>
      </c>
      <c r="D496" s="190" t="s">
        <v>612</v>
      </c>
      <c r="E496" s="190" t="s">
        <v>346</v>
      </c>
      <c r="F496" s="190" t="s">
        <v>550</v>
      </c>
      <c r="G496" s="192" t="s">
        <v>551</v>
      </c>
      <c r="H496" s="192" t="s">
        <v>296</v>
      </c>
      <c r="I496" s="192" t="s">
        <v>349</v>
      </c>
      <c r="J496" s="192" t="s">
        <v>350</v>
      </c>
      <c r="K496" s="190" t="s">
        <v>351</v>
      </c>
      <c r="L496" s="190" t="s">
        <v>381</v>
      </c>
      <c r="M496" s="192" t="s">
        <v>382</v>
      </c>
      <c r="N496" s="193">
        <v>5</v>
      </c>
      <c r="O496" s="193">
        <v>300000</v>
      </c>
      <c r="P496" s="194">
        <v>1500000</v>
      </c>
      <c r="Q496" s="194">
        <v>150000</v>
      </c>
      <c r="R496" s="194">
        <v>1650000</v>
      </c>
      <c r="S496" s="192"/>
      <c r="T496" s="192" t="s">
        <v>310</v>
      </c>
      <c r="U496" s="190">
        <v>60557</v>
      </c>
      <c r="V496" s="190"/>
      <c r="W496" s="195" t="s">
        <v>356</v>
      </c>
      <c r="X496" s="196" t="str">
        <f>+IFERROR(VLOOKUP($F496,'[2]Chuyển đổi mã'!$A$1:$C$91,3,0),$F496)&amp;AC496</f>
        <v>Lotte South320429</v>
      </c>
      <c r="Y496" s="196" t="str">
        <f>IFERROR(VLOOKUP($F496,'[2]Chuyển đổi mã'!$A$1:$C$184,3,0),F496)</f>
        <v>Lotte South</v>
      </c>
      <c r="Z496" s="196" t="str">
        <f>VLOOKUP($G496,'[2]Thông tin NPP'!$B:$D,3,0)</f>
        <v>Lotte South</v>
      </c>
      <c r="AA496" s="196" t="str">
        <f t="shared" si="115"/>
        <v>Tin Can 35</v>
      </c>
      <c r="AB496" s="196" t="str">
        <f>IFERROR(VLOOKUP(DAY(B496),'[2]Chuyển đổi mã'!$F$1:$G$32,2,0),0)</f>
        <v>W3</v>
      </c>
      <c r="AC496" s="196" t="str">
        <f t="shared" si="116"/>
        <v>320429</v>
      </c>
      <c r="AD496" s="196" t="str">
        <f t="shared" si="117"/>
        <v>NPP</v>
      </c>
      <c r="AE496" s="196" t="str">
        <f t="shared" si="118"/>
        <v>NPP320429</v>
      </c>
      <c r="AF496" s="196">
        <f t="shared" si="119"/>
        <v>0</v>
      </c>
    </row>
    <row r="497" spans="1:32" ht="12.95" customHeight="1">
      <c r="A497" s="190">
        <v>62739</v>
      </c>
      <c r="B497" s="191">
        <v>43571</v>
      </c>
      <c r="C497" s="190" t="s">
        <v>457</v>
      </c>
      <c r="D497" s="190" t="s">
        <v>612</v>
      </c>
      <c r="E497" s="190" t="s">
        <v>346</v>
      </c>
      <c r="F497" s="190" t="s">
        <v>550</v>
      </c>
      <c r="G497" s="192" t="s">
        <v>551</v>
      </c>
      <c r="H497" s="192" t="s">
        <v>296</v>
      </c>
      <c r="I497" s="192" t="s">
        <v>349</v>
      </c>
      <c r="J497" s="192" t="s">
        <v>350</v>
      </c>
      <c r="K497" s="190" t="s">
        <v>351</v>
      </c>
      <c r="L497" s="190" t="s">
        <v>387</v>
      </c>
      <c r="M497" s="192" t="s">
        <v>388</v>
      </c>
      <c r="N497" s="193">
        <v>2</v>
      </c>
      <c r="O497" s="193">
        <v>340000</v>
      </c>
      <c r="P497" s="194">
        <v>680000</v>
      </c>
      <c r="Q497" s="194">
        <v>68000</v>
      </c>
      <c r="R497" s="194">
        <v>748000</v>
      </c>
      <c r="S497" s="192"/>
      <c r="T497" s="192" t="s">
        <v>310</v>
      </c>
      <c r="U497" s="190">
        <v>60557</v>
      </c>
      <c r="V497" s="190"/>
      <c r="W497" s="195" t="s">
        <v>356</v>
      </c>
      <c r="X497" s="196" t="str">
        <f>+IFERROR(VLOOKUP($F497,'[2]Chuyển đổi mã'!$A$1:$C$91,3,0),$F497)&amp;AC497</f>
        <v>Lotte South323620</v>
      </c>
      <c r="Y497" s="196" t="str">
        <f>IFERROR(VLOOKUP($F497,'[2]Chuyển đổi mã'!$A$1:$C$184,3,0),F497)</f>
        <v>Lotte South</v>
      </c>
      <c r="Z497" s="196" t="str">
        <f>VLOOKUP($G497,'[2]Thông tin NPP'!$B:$D,3,0)</f>
        <v>Lotte South</v>
      </c>
      <c r="AA497" s="196" t="str">
        <f t="shared" si="115"/>
        <v>Ahh 16g</v>
      </c>
      <c r="AB497" s="196" t="str">
        <f>IFERROR(VLOOKUP(DAY(B497),'[2]Chuyển đổi mã'!$F$1:$G$32,2,0),0)</f>
        <v>W3</v>
      </c>
      <c r="AC497" s="196" t="str">
        <f t="shared" si="116"/>
        <v>323620</v>
      </c>
      <c r="AD497" s="196" t="str">
        <f t="shared" si="117"/>
        <v>NPP</v>
      </c>
      <c r="AE497" s="196" t="str">
        <f t="shared" si="118"/>
        <v>NPP323620</v>
      </c>
      <c r="AF497" s="196">
        <f t="shared" si="119"/>
        <v>0</v>
      </c>
    </row>
    <row r="498" spans="1:32" ht="12.95" customHeight="1">
      <c r="A498" s="190">
        <v>62739</v>
      </c>
      <c r="B498" s="191">
        <v>43571</v>
      </c>
      <c r="C498" s="190" t="s">
        <v>457</v>
      </c>
      <c r="D498" s="190" t="s">
        <v>612</v>
      </c>
      <c r="E498" s="190" t="s">
        <v>346</v>
      </c>
      <c r="F498" s="190" t="s">
        <v>550</v>
      </c>
      <c r="G498" s="192" t="s">
        <v>551</v>
      </c>
      <c r="H498" s="192" t="s">
        <v>296</v>
      </c>
      <c r="I498" s="192" t="s">
        <v>349</v>
      </c>
      <c r="J498" s="192" t="s">
        <v>350</v>
      </c>
      <c r="K498" s="190" t="s">
        <v>351</v>
      </c>
      <c r="L498" s="190" t="s">
        <v>361</v>
      </c>
      <c r="M498" s="192" t="s">
        <v>362</v>
      </c>
      <c r="N498" s="193">
        <v>2</v>
      </c>
      <c r="O498" s="193">
        <v>300000</v>
      </c>
      <c r="P498" s="194">
        <v>600000</v>
      </c>
      <c r="Q498" s="194">
        <v>60000</v>
      </c>
      <c r="R498" s="194">
        <v>660000</v>
      </c>
      <c r="S498" s="192"/>
      <c r="T498" s="192" t="s">
        <v>310</v>
      </c>
      <c r="U498" s="190">
        <v>60557</v>
      </c>
      <c r="V498" s="190"/>
      <c r="W498" s="195" t="s">
        <v>356</v>
      </c>
      <c r="X498" s="196" t="str">
        <f>+IFERROR(VLOOKUP($F498,'[2]Chuyển đổi mã'!$A$1:$C$91,3,0),$F498)&amp;AC498</f>
        <v>Lotte South331017</v>
      </c>
      <c r="Y498" s="196" t="str">
        <f>IFERROR(VLOOKUP($F498,'[2]Chuyển đổi mã'!$A$1:$C$184,3,0),F498)</f>
        <v>Lotte South</v>
      </c>
      <c r="Z498" s="196" t="str">
        <f>VLOOKUP($G498,'[2]Thông tin NPP'!$B:$D,3,0)</f>
        <v>Lotte South</v>
      </c>
      <c r="AA498" s="196" t="str">
        <f t="shared" si="115"/>
        <v>Richoco Wf</v>
      </c>
      <c r="AB498" s="196" t="str">
        <f>IFERROR(VLOOKUP(DAY(B498),'[2]Chuyển đổi mã'!$F$1:$G$32,2,0),0)</f>
        <v>W3</v>
      </c>
      <c r="AC498" s="196" t="str">
        <f t="shared" si="116"/>
        <v>331017</v>
      </c>
      <c r="AD498" s="196" t="str">
        <f t="shared" si="117"/>
        <v>NPP</v>
      </c>
      <c r="AE498" s="196" t="str">
        <f t="shared" si="118"/>
        <v>NPP331017</v>
      </c>
      <c r="AF498" s="196">
        <f t="shared" si="119"/>
        <v>0</v>
      </c>
    </row>
    <row r="499" spans="1:32" ht="12.95" customHeight="1">
      <c r="A499" s="190">
        <v>62739</v>
      </c>
      <c r="B499" s="191">
        <v>43571</v>
      </c>
      <c r="C499" s="190" t="s">
        <v>457</v>
      </c>
      <c r="D499" s="190" t="s">
        <v>612</v>
      </c>
      <c r="E499" s="190" t="s">
        <v>346</v>
      </c>
      <c r="F499" s="190" t="s">
        <v>550</v>
      </c>
      <c r="G499" s="192" t="s">
        <v>551</v>
      </c>
      <c r="H499" s="192" t="s">
        <v>296</v>
      </c>
      <c r="I499" s="192" t="s">
        <v>349</v>
      </c>
      <c r="J499" s="192" t="s">
        <v>350</v>
      </c>
      <c r="K499" s="190" t="s">
        <v>351</v>
      </c>
      <c r="L499" s="190" t="s">
        <v>359</v>
      </c>
      <c r="M499" s="192" t="s">
        <v>360</v>
      </c>
      <c r="N499" s="193">
        <v>5</v>
      </c>
      <c r="O499" s="193">
        <v>300000</v>
      </c>
      <c r="P499" s="194">
        <v>1500000</v>
      </c>
      <c r="Q499" s="194">
        <v>150000</v>
      </c>
      <c r="R499" s="194">
        <v>1650000</v>
      </c>
      <c r="S499" s="192"/>
      <c r="T499" s="192" t="s">
        <v>310</v>
      </c>
      <c r="U499" s="190">
        <v>60557</v>
      </c>
      <c r="V499" s="190"/>
      <c r="W499" s="195" t="s">
        <v>356</v>
      </c>
      <c r="X499" s="196" t="str">
        <f>+IFERROR(VLOOKUP($F499,'[2]Chuyển đổi mã'!$A$1:$C$91,3,0),$F499)&amp;AC499</f>
        <v>Lotte South320445</v>
      </c>
      <c r="Y499" s="196" t="str">
        <f>IFERROR(VLOOKUP($F499,'[2]Chuyển đổi mã'!$A$1:$C$184,3,0),F499)</f>
        <v>Lotte South</v>
      </c>
      <c r="Z499" s="196" t="str">
        <f>VLOOKUP($G499,'[2]Thông tin NPP'!$B:$D,3,0)</f>
        <v>Lotte South</v>
      </c>
      <c r="AA499" s="196" t="str">
        <f t="shared" si="115"/>
        <v>Na 58g</v>
      </c>
      <c r="AB499" s="196" t="str">
        <f>IFERROR(VLOOKUP(DAY(B499),'[2]Chuyển đổi mã'!$F$1:$G$32,2,0),0)</f>
        <v>W3</v>
      </c>
      <c r="AC499" s="196" t="str">
        <f t="shared" si="116"/>
        <v>320445</v>
      </c>
      <c r="AD499" s="196" t="str">
        <f t="shared" si="117"/>
        <v>NPP</v>
      </c>
      <c r="AE499" s="196" t="str">
        <f t="shared" si="118"/>
        <v>NPP320445</v>
      </c>
      <c r="AF499" s="196">
        <f t="shared" si="119"/>
        <v>0</v>
      </c>
    </row>
    <row r="500" spans="1:32" ht="12.95" customHeight="1">
      <c r="A500" s="190">
        <v>62739</v>
      </c>
      <c r="B500" s="191">
        <v>43571</v>
      </c>
      <c r="C500" s="190" t="s">
        <v>457</v>
      </c>
      <c r="D500" s="190" t="s">
        <v>612</v>
      </c>
      <c r="E500" s="190" t="s">
        <v>346</v>
      </c>
      <c r="F500" s="190" t="s">
        <v>550</v>
      </c>
      <c r="G500" s="192" t="s">
        <v>551</v>
      </c>
      <c r="H500" s="192" t="s">
        <v>296</v>
      </c>
      <c r="I500" s="192" t="s">
        <v>349</v>
      </c>
      <c r="J500" s="192" t="s">
        <v>350</v>
      </c>
      <c r="K500" s="190" t="s">
        <v>351</v>
      </c>
      <c r="L500" s="190" t="s">
        <v>357</v>
      </c>
      <c r="M500" s="192" t="s">
        <v>358</v>
      </c>
      <c r="N500" s="193">
        <v>5</v>
      </c>
      <c r="O500" s="193">
        <v>213273</v>
      </c>
      <c r="P500" s="194">
        <v>1066365</v>
      </c>
      <c r="Q500" s="194">
        <v>106636.5</v>
      </c>
      <c r="R500" s="194">
        <v>1173001.5</v>
      </c>
      <c r="S500" s="192"/>
      <c r="T500" s="192" t="s">
        <v>310</v>
      </c>
      <c r="U500" s="190">
        <v>60557</v>
      </c>
      <c r="V500" s="190"/>
      <c r="W500" s="195" t="s">
        <v>356</v>
      </c>
      <c r="X500" s="196" t="str">
        <f>+IFERROR(VLOOKUP($F500,'[2]Chuyển đổi mã'!$A$1:$C$91,3,0),$F500)&amp;AC500</f>
        <v>Lotte South323555</v>
      </c>
      <c r="Y500" s="196" t="str">
        <f>IFERROR(VLOOKUP($F500,'[2]Chuyển đổi mã'!$A$1:$C$184,3,0),F500)</f>
        <v>Lotte South</v>
      </c>
      <c r="Z500" s="196" t="str">
        <f>VLOOKUP($G500,'[2]Thông tin NPP'!$B:$D,3,0)</f>
        <v>Lotte South</v>
      </c>
      <c r="AA500" s="196" t="str">
        <f t="shared" si="115"/>
        <v>Na 17g - M</v>
      </c>
      <c r="AB500" s="196" t="str">
        <f>IFERROR(VLOOKUP(DAY(B500),'[2]Chuyển đổi mã'!$F$1:$G$32,2,0),0)</f>
        <v>W3</v>
      </c>
      <c r="AC500" s="196" t="str">
        <f t="shared" si="116"/>
        <v>323555</v>
      </c>
      <c r="AD500" s="196" t="str">
        <f t="shared" si="117"/>
        <v>NPP</v>
      </c>
      <c r="AE500" s="196" t="str">
        <f t="shared" si="118"/>
        <v>NPP323555</v>
      </c>
      <c r="AF500" s="196">
        <f t="shared" si="119"/>
        <v>0</v>
      </c>
    </row>
    <row r="501" spans="1:32" ht="12.95" customHeight="1">
      <c r="A501" s="190">
        <v>62739</v>
      </c>
      <c r="B501" s="191">
        <v>43571</v>
      </c>
      <c r="C501" s="190" t="s">
        <v>457</v>
      </c>
      <c r="D501" s="190" t="s">
        <v>612</v>
      </c>
      <c r="E501" s="190" t="s">
        <v>346</v>
      </c>
      <c r="F501" s="190" t="s">
        <v>550</v>
      </c>
      <c r="G501" s="192" t="s">
        <v>551</v>
      </c>
      <c r="H501" s="192" t="s">
        <v>296</v>
      </c>
      <c r="I501" s="192" t="s">
        <v>349</v>
      </c>
      <c r="J501" s="192" t="s">
        <v>350</v>
      </c>
      <c r="K501" s="190" t="s">
        <v>351</v>
      </c>
      <c r="L501" s="190" t="s">
        <v>363</v>
      </c>
      <c r="M501" s="192" t="s">
        <v>364</v>
      </c>
      <c r="N501" s="193">
        <v>5</v>
      </c>
      <c r="O501" s="193">
        <v>320000</v>
      </c>
      <c r="P501" s="194">
        <v>1600000</v>
      </c>
      <c r="Q501" s="194">
        <v>160000</v>
      </c>
      <c r="R501" s="194">
        <v>1760000</v>
      </c>
      <c r="S501" s="192"/>
      <c r="T501" s="192" t="s">
        <v>310</v>
      </c>
      <c r="U501" s="190">
        <v>60557</v>
      </c>
      <c r="V501" s="190"/>
      <c r="W501" s="195" t="s">
        <v>356</v>
      </c>
      <c r="X501" s="196" t="str">
        <f>+IFERROR(VLOOKUP($F501,'[2]Chuyển đổi mã'!$A$1:$C$91,3,0),$F501)&amp;AC501</f>
        <v>Lotte South323708</v>
      </c>
      <c r="Y501" s="196" t="str">
        <f>IFERROR(VLOOKUP($F501,'[2]Chuyển đổi mã'!$A$1:$C$184,3,0),F501)</f>
        <v>Lotte South</v>
      </c>
      <c r="Z501" s="196" t="str">
        <f>VLOOKUP($G501,'[2]Thông tin NPP'!$B:$D,3,0)</f>
        <v>Lotte South</v>
      </c>
      <c r="AA501" s="196" t="str">
        <f t="shared" si="115"/>
        <v>Nextar Bro</v>
      </c>
      <c r="AB501" s="196" t="str">
        <f>IFERROR(VLOOKUP(DAY(B501),'[2]Chuyển đổi mã'!$F$1:$G$32,2,0),0)</f>
        <v>W3</v>
      </c>
      <c r="AC501" s="196" t="str">
        <f t="shared" si="116"/>
        <v>323708</v>
      </c>
      <c r="AD501" s="196" t="str">
        <f t="shared" si="117"/>
        <v>NPP</v>
      </c>
      <c r="AE501" s="196" t="str">
        <f t="shared" si="118"/>
        <v>NPP323708</v>
      </c>
      <c r="AF501" s="196">
        <f t="shared" si="119"/>
        <v>0</v>
      </c>
    </row>
    <row r="502" spans="1:32" ht="12.95" hidden="1" customHeight="1">
      <c r="A502" s="190">
        <v>62740</v>
      </c>
      <c r="B502" s="191">
        <v>43571</v>
      </c>
      <c r="C502" s="190" t="s">
        <v>457</v>
      </c>
      <c r="D502" s="190" t="s">
        <v>613</v>
      </c>
      <c r="E502" s="190" t="s">
        <v>346</v>
      </c>
      <c r="F502" s="190" t="s">
        <v>414</v>
      </c>
      <c r="G502" s="192" t="s">
        <v>415</v>
      </c>
      <c r="H502" s="192" t="s">
        <v>296</v>
      </c>
      <c r="I502" s="192" t="s">
        <v>416</v>
      </c>
      <c r="J502" s="192" t="s">
        <v>350</v>
      </c>
      <c r="K502" s="190" t="s">
        <v>367</v>
      </c>
      <c r="L502" s="190" t="s">
        <v>352</v>
      </c>
      <c r="M502" s="192" t="s">
        <v>353</v>
      </c>
      <c r="N502" s="193">
        <v>100</v>
      </c>
      <c r="O502" s="193">
        <v>107728</v>
      </c>
      <c r="P502" s="194">
        <v>10772800</v>
      </c>
      <c r="Q502" s="194">
        <v>1077280</v>
      </c>
      <c r="R502" s="194">
        <v>11850080</v>
      </c>
      <c r="S502" s="192"/>
      <c r="T502" s="192" t="s">
        <v>310</v>
      </c>
      <c r="U502" s="190">
        <v>60561</v>
      </c>
      <c r="V502" s="190"/>
      <c r="W502" s="195" t="s">
        <v>356</v>
      </c>
      <c r="X502" s="196" t="str">
        <f>+IFERROR(VLOOKUP($F502,'[2]Chuyển đổi mã'!$A$1:$C$91,3,0),$F502)&amp;AC502</f>
        <v>NPP00000119320463</v>
      </c>
      <c r="Y502" s="196" t="str">
        <f>IFERROR(VLOOKUP($F502,'[2]Chuyển đổi mã'!$A$1:$C$184,3,0),F502)</f>
        <v>NPP00000119</v>
      </c>
      <c r="Z502" s="196" t="str">
        <f>VLOOKUP($G502,'[2]Thông tin NPP'!$B:$D,3,0)</f>
        <v>NGUYỄN DUNG</v>
      </c>
      <c r="AA502" s="196" t="str">
        <f t="shared" si="115"/>
        <v>Na 8,5g</v>
      </c>
      <c r="AB502" s="196" t="str">
        <f>IFERROR(VLOOKUP(DAY(B502),'[2]Chuyển đổi mã'!$F$1:$G$32,2,0),0)</f>
        <v>W3</v>
      </c>
      <c r="AC502" s="196" t="str">
        <f t="shared" si="116"/>
        <v>320463</v>
      </c>
      <c r="AD502" s="196" t="str">
        <f t="shared" si="117"/>
        <v>NPP</v>
      </c>
      <c r="AE502" s="196" t="str">
        <f t="shared" si="118"/>
        <v>NPP320463</v>
      </c>
      <c r="AF502" s="196">
        <f t="shared" si="119"/>
        <v>0</v>
      </c>
    </row>
    <row r="503" spans="1:32" ht="12.95" customHeight="1">
      <c r="A503" s="190">
        <v>62741</v>
      </c>
      <c r="B503" s="191">
        <v>43571</v>
      </c>
      <c r="C503" s="190" t="s">
        <v>457</v>
      </c>
      <c r="D503" s="190" t="s">
        <v>614</v>
      </c>
      <c r="E503" s="190" t="s">
        <v>346</v>
      </c>
      <c r="F503" s="190" t="s">
        <v>556</v>
      </c>
      <c r="G503" s="192" t="s">
        <v>557</v>
      </c>
      <c r="H503" s="192" t="s">
        <v>296</v>
      </c>
      <c r="I503" s="192" t="s">
        <v>349</v>
      </c>
      <c r="J503" s="192" t="s">
        <v>350</v>
      </c>
      <c r="K503" s="190" t="s">
        <v>351</v>
      </c>
      <c r="L503" s="190" t="s">
        <v>352</v>
      </c>
      <c r="M503" s="192" t="s">
        <v>353</v>
      </c>
      <c r="N503" s="193">
        <v>10</v>
      </c>
      <c r="O503" s="193">
        <v>115036.7</v>
      </c>
      <c r="P503" s="194">
        <v>1150367</v>
      </c>
      <c r="Q503" s="194">
        <v>115036.7</v>
      </c>
      <c r="R503" s="194">
        <v>1265403.7</v>
      </c>
      <c r="S503" s="192" t="s">
        <v>544</v>
      </c>
      <c r="T503" s="192" t="s">
        <v>545</v>
      </c>
      <c r="U503" s="190">
        <v>60556</v>
      </c>
      <c r="V503" s="190"/>
      <c r="W503" s="195" t="s">
        <v>356</v>
      </c>
      <c r="X503" s="196" t="str">
        <f>+IFERROR(VLOOKUP($F503,'[2]Chuyển đổi mã'!$A$1:$C$91,3,0),$F503)&amp;AC503</f>
        <v>Lotte South320463</v>
      </c>
      <c r="Y503" s="196" t="str">
        <f>IFERROR(VLOOKUP($F503,'[2]Chuyển đổi mã'!$A$1:$C$184,3,0),F503)</f>
        <v>Lotte South</v>
      </c>
      <c r="Z503" s="196" t="str">
        <f>VLOOKUP($G503,'[2]Thông tin NPP'!$B:$D,3,0)</f>
        <v>Lotte South</v>
      </c>
      <c r="AA503" s="196" t="str">
        <f t="shared" si="115"/>
        <v>Na 8,5g</v>
      </c>
      <c r="AB503" s="196" t="str">
        <f>IFERROR(VLOOKUP(DAY(B503),'[2]Chuyển đổi mã'!$F$1:$G$32,2,0),0)</f>
        <v>W3</v>
      </c>
      <c r="AC503" s="196" t="str">
        <f t="shared" si="116"/>
        <v>320463</v>
      </c>
      <c r="AD503" s="196" t="str">
        <f t="shared" si="117"/>
        <v>NPP</v>
      </c>
      <c r="AE503" s="196" t="str">
        <f t="shared" si="118"/>
        <v>NPP320463</v>
      </c>
      <c r="AF503" s="196">
        <f t="shared" si="119"/>
        <v>0</v>
      </c>
    </row>
    <row r="504" spans="1:32" ht="12.95" customHeight="1">
      <c r="A504" s="190">
        <v>62741</v>
      </c>
      <c r="B504" s="191">
        <v>43571</v>
      </c>
      <c r="C504" s="190" t="s">
        <v>457</v>
      </c>
      <c r="D504" s="190" t="s">
        <v>614</v>
      </c>
      <c r="E504" s="190" t="s">
        <v>346</v>
      </c>
      <c r="F504" s="190" t="s">
        <v>556</v>
      </c>
      <c r="G504" s="192" t="s">
        <v>557</v>
      </c>
      <c r="H504" s="192" t="s">
        <v>296</v>
      </c>
      <c r="I504" s="192" t="s">
        <v>349</v>
      </c>
      <c r="J504" s="192" t="s">
        <v>350</v>
      </c>
      <c r="K504" s="190" t="s">
        <v>351</v>
      </c>
      <c r="L504" s="190" t="s">
        <v>387</v>
      </c>
      <c r="M504" s="192" t="s">
        <v>388</v>
      </c>
      <c r="N504" s="193">
        <v>3</v>
      </c>
      <c r="O504" s="193">
        <v>340000</v>
      </c>
      <c r="P504" s="194">
        <v>1020000</v>
      </c>
      <c r="Q504" s="194">
        <v>102000</v>
      </c>
      <c r="R504" s="194">
        <v>1122000</v>
      </c>
      <c r="S504" s="192"/>
      <c r="T504" s="192" t="s">
        <v>310</v>
      </c>
      <c r="U504" s="190">
        <v>60556</v>
      </c>
      <c r="V504" s="190"/>
      <c r="W504" s="195" t="s">
        <v>356</v>
      </c>
      <c r="X504" s="196" t="str">
        <f>+IFERROR(VLOOKUP($F504,'[2]Chuyển đổi mã'!$A$1:$C$91,3,0),$F504)&amp;AC504</f>
        <v>Lotte South323620</v>
      </c>
      <c r="Y504" s="196" t="str">
        <f>IFERROR(VLOOKUP($F504,'[2]Chuyển đổi mã'!$A$1:$C$184,3,0),F504)</f>
        <v>Lotte South</v>
      </c>
      <c r="Z504" s="196" t="str">
        <f>VLOOKUP($G504,'[2]Thông tin NPP'!$B:$D,3,0)</f>
        <v>Lotte South</v>
      </c>
      <c r="AA504" s="196" t="str">
        <f t="shared" si="115"/>
        <v>Ahh 16g</v>
      </c>
      <c r="AB504" s="196" t="str">
        <f>IFERROR(VLOOKUP(DAY(B504),'[2]Chuyển đổi mã'!$F$1:$G$32,2,0),0)</f>
        <v>W3</v>
      </c>
      <c r="AC504" s="196" t="str">
        <f t="shared" si="116"/>
        <v>323620</v>
      </c>
      <c r="AD504" s="196" t="str">
        <f t="shared" si="117"/>
        <v>NPP</v>
      </c>
      <c r="AE504" s="196" t="str">
        <f t="shared" si="118"/>
        <v>NPP323620</v>
      </c>
      <c r="AF504" s="196">
        <f t="shared" si="119"/>
        <v>0</v>
      </c>
    </row>
    <row r="505" spans="1:32" ht="12.95" customHeight="1">
      <c r="A505" s="190">
        <v>62741</v>
      </c>
      <c r="B505" s="191">
        <v>43571</v>
      </c>
      <c r="C505" s="190" t="s">
        <v>457</v>
      </c>
      <c r="D505" s="190" t="s">
        <v>614</v>
      </c>
      <c r="E505" s="190" t="s">
        <v>346</v>
      </c>
      <c r="F505" s="190" t="s">
        <v>556</v>
      </c>
      <c r="G505" s="192" t="s">
        <v>557</v>
      </c>
      <c r="H505" s="192" t="s">
        <v>296</v>
      </c>
      <c r="I505" s="192" t="s">
        <v>349</v>
      </c>
      <c r="J505" s="192" t="s">
        <v>350</v>
      </c>
      <c r="K505" s="190" t="s">
        <v>351</v>
      </c>
      <c r="L505" s="190" t="s">
        <v>359</v>
      </c>
      <c r="M505" s="192" t="s">
        <v>360</v>
      </c>
      <c r="N505" s="193">
        <v>1</v>
      </c>
      <c r="O505" s="193">
        <v>300000</v>
      </c>
      <c r="P505" s="194">
        <v>300000</v>
      </c>
      <c r="Q505" s="194">
        <v>30000</v>
      </c>
      <c r="R505" s="194">
        <v>330000</v>
      </c>
      <c r="S505" s="192"/>
      <c r="T505" s="192" t="s">
        <v>310</v>
      </c>
      <c r="U505" s="190">
        <v>60556</v>
      </c>
      <c r="V505" s="190"/>
      <c r="W505" s="195" t="s">
        <v>356</v>
      </c>
      <c r="X505" s="196" t="str">
        <f>+IFERROR(VLOOKUP($F505,'[2]Chuyển đổi mã'!$A$1:$C$91,3,0),$F505)&amp;AC505</f>
        <v>Lotte South320445</v>
      </c>
      <c r="Y505" s="196" t="str">
        <f>IFERROR(VLOOKUP($F505,'[2]Chuyển đổi mã'!$A$1:$C$184,3,0),F505)</f>
        <v>Lotte South</v>
      </c>
      <c r="Z505" s="196" t="str">
        <f>VLOOKUP($G505,'[2]Thông tin NPP'!$B:$D,3,0)</f>
        <v>Lotte South</v>
      </c>
      <c r="AA505" s="196" t="str">
        <f t="shared" si="115"/>
        <v>Na 58g</v>
      </c>
      <c r="AB505" s="196" t="str">
        <f>IFERROR(VLOOKUP(DAY(B505),'[2]Chuyển đổi mã'!$F$1:$G$32,2,0),0)</f>
        <v>W3</v>
      </c>
      <c r="AC505" s="196" t="str">
        <f t="shared" si="116"/>
        <v>320445</v>
      </c>
      <c r="AD505" s="196" t="str">
        <f t="shared" si="117"/>
        <v>NPP</v>
      </c>
      <c r="AE505" s="196" t="str">
        <f t="shared" si="118"/>
        <v>NPP320445</v>
      </c>
      <c r="AF505" s="196">
        <f t="shared" si="119"/>
        <v>0</v>
      </c>
    </row>
    <row r="506" spans="1:32" ht="12.95" customHeight="1">
      <c r="A506" s="190">
        <v>62741</v>
      </c>
      <c r="B506" s="191">
        <v>43571</v>
      </c>
      <c r="C506" s="190" t="s">
        <v>457</v>
      </c>
      <c r="D506" s="190" t="s">
        <v>614</v>
      </c>
      <c r="E506" s="190" t="s">
        <v>346</v>
      </c>
      <c r="F506" s="190" t="s">
        <v>556</v>
      </c>
      <c r="G506" s="192" t="s">
        <v>557</v>
      </c>
      <c r="H506" s="192" t="s">
        <v>296</v>
      </c>
      <c r="I506" s="192" t="s">
        <v>349</v>
      </c>
      <c r="J506" s="192" t="s">
        <v>350</v>
      </c>
      <c r="K506" s="190" t="s">
        <v>351</v>
      </c>
      <c r="L506" s="190" t="s">
        <v>357</v>
      </c>
      <c r="M506" s="192" t="s">
        <v>358</v>
      </c>
      <c r="N506" s="193">
        <v>5</v>
      </c>
      <c r="O506" s="193">
        <v>213273</v>
      </c>
      <c r="P506" s="194">
        <v>1066365</v>
      </c>
      <c r="Q506" s="194">
        <v>106636.5</v>
      </c>
      <c r="R506" s="194">
        <v>1173001.5</v>
      </c>
      <c r="S506" s="192"/>
      <c r="T506" s="192" t="s">
        <v>310</v>
      </c>
      <c r="U506" s="190">
        <v>60556</v>
      </c>
      <c r="V506" s="190"/>
      <c r="W506" s="195" t="s">
        <v>356</v>
      </c>
      <c r="X506" s="196" t="str">
        <f>+IFERROR(VLOOKUP($F506,'[2]Chuyển đổi mã'!$A$1:$C$91,3,0),$F506)&amp;AC506</f>
        <v>Lotte South323555</v>
      </c>
      <c r="Y506" s="196" t="str">
        <f>IFERROR(VLOOKUP($F506,'[2]Chuyển đổi mã'!$A$1:$C$184,3,0),F506)</f>
        <v>Lotte South</v>
      </c>
      <c r="Z506" s="196" t="str">
        <f>VLOOKUP($G506,'[2]Thông tin NPP'!$B:$D,3,0)</f>
        <v>Lotte South</v>
      </c>
      <c r="AA506" s="196" t="str">
        <f t="shared" si="115"/>
        <v>Na 17g - M</v>
      </c>
      <c r="AB506" s="196" t="str">
        <f>IFERROR(VLOOKUP(DAY(B506),'[2]Chuyển đổi mã'!$F$1:$G$32,2,0),0)</f>
        <v>W3</v>
      </c>
      <c r="AC506" s="196" t="str">
        <f t="shared" si="116"/>
        <v>323555</v>
      </c>
      <c r="AD506" s="196" t="str">
        <f t="shared" si="117"/>
        <v>NPP</v>
      </c>
      <c r="AE506" s="196" t="str">
        <f t="shared" si="118"/>
        <v>NPP323555</v>
      </c>
      <c r="AF506" s="196">
        <f t="shared" si="119"/>
        <v>0</v>
      </c>
    </row>
    <row r="507" spans="1:32" ht="12.95" hidden="1" customHeight="1">
      <c r="A507" s="190">
        <v>62742</v>
      </c>
      <c r="B507" s="191">
        <v>43571</v>
      </c>
      <c r="C507" s="190" t="s">
        <v>457</v>
      </c>
      <c r="D507" s="190" t="s">
        <v>615</v>
      </c>
      <c r="E507" s="190" t="s">
        <v>346</v>
      </c>
      <c r="F507" s="190" t="s">
        <v>454</v>
      </c>
      <c r="G507" s="192" t="s">
        <v>455</v>
      </c>
      <c r="H507" s="192" t="s">
        <v>296</v>
      </c>
      <c r="I507" s="192" t="s">
        <v>395</v>
      </c>
      <c r="J507" s="192" t="s">
        <v>350</v>
      </c>
      <c r="K507" s="190" t="s">
        <v>351</v>
      </c>
      <c r="L507" s="190" t="s">
        <v>352</v>
      </c>
      <c r="M507" s="192" t="s">
        <v>353</v>
      </c>
      <c r="N507" s="193">
        <v>172</v>
      </c>
      <c r="O507" s="193">
        <v>115036.7</v>
      </c>
      <c r="P507" s="194">
        <v>19786312.399999999</v>
      </c>
      <c r="Q507" s="194">
        <v>1978631.24</v>
      </c>
      <c r="R507" s="194">
        <v>21764943.640000001</v>
      </c>
      <c r="S507" s="192" t="s">
        <v>544</v>
      </c>
      <c r="T507" s="192" t="s">
        <v>545</v>
      </c>
      <c r="U507" s="190">
        <v>60558</v>
      </c>
      <c r="V507" s="190"/>
      <c r="W507" s="195" t="s">
        <v>356</v>
      </c>
      <c r="X507" s="196" t="str">
        <f>+IFERROR(VLOOKUP($F507,'[2]Chuyển đổi mã'!$A$1:$C$91,3,0),$F507)&amp;AC507</f>
        <v>Lotte North320463</v>
      </c>
      <c r="Y507" s="196" t="str">
        <f>IFERROR(VLOOKUP($F507,'[2]Chuyển đổi mã'!$A$1:$C$184,3,0),F507)</f>
        <v>Lotte North</v>
      </c>
      <c r="Z507" s="196" t="str">
        <f>VLOOKUP($G507,'[2]Thông tin NPP'!$B:$D,3,0)</f>
        <v>Lotte North</v>
      </c>
      <c r="AA507" s="196" t="str">
        <f t="shared" si="115"/>
        <v>Na 8,5g</v>
      </c>
      <c r="AB507" s="196" t="str">
        <f>IFERROR(VLOOKUP(DAY(B507),'[2]Chuyển đổi mã'!$F$1:$G$32,2,0),0)</f>
        <v>W3</v>
      </c>
      <c r="AC507" s="196" t="str">
        <f t="shared" si="116"/>
        <v>320463</v>
      </c>
      <c r="AD507" s="196" t="str">
        <f t="shared" si="117"/>
        <v>NPP</v>
      </c>
      <c r="AE507" s="196" t="str">
        <f t="shared" si="118"/>
        <v>NPP320463</v>
      </c>
      <c r="AF507" s="196">
        <f t="shared" si="119"/>
        <v>0</v>
      </c>
    </row>
    <row r="508" spans="1:32" ht="12.95" hidden="1" customHeight="1">
      <c r="A508" s="190">
        <v>62742</v>
      </c>
      <c r="B508" s="191">
        <v>43571</v>
      </c>
      <c r="C508" s="190" t="s">
        <v>457</v>
      </c>
      <c r="D508" s="190" t="s">
        <v>615</v>
      </c>
      <c r="E508" s="190" t="s">
        <v>346</v>
      </c>
      <c r="F508" s="190" t="s">
        <v>454</v>
      </c>
      <c r="G508" s="192" t="s">
        <v>455</v>
      </c>
      <c r="H508" s="192" t="s">
        <v>296</v>
      </c>
      <c r="I508" s="192" t="s">
        <v>395</v>
      </c>
      <c r="J508" s="192" t="s">
        <v>350</v>
      </c>
      <c r="K508" s="190" t="s">
        <v>351</v>
      </c>
      <c r="L508" s="190" t="s">
        <v>378</v>
      </c>
      <c r="M508" s="192" t="s">
        <v>379</v>
      </c>
      <c r="N508" s="193">
        <v>2</v>
      </c>
      <c r="O508" s="193">
        <v>213273</v>
      </c>
      <c r="P508" s="194">
        <v>426546</v>
      </c>
      <c r="Q508" s="194">
        <v>42654.6</v>
      </c>
      <c r="R508" s="194">
        <v>469200.6</v>
      </c>
      <c r="S508" s="192"/>
      <c r="T508" s="192" t="s">
        <v>310</v>
      </c>
      <c r="U508" s="190">
        <v>60558</v>
      </c>
      <c r="V508" s="190"/>
      <c r="W508" s="195" t="s">
        <v>356</v>
      </c>
      <c r="X508" s="196" t="str">
        <f>+IFERROR(VLOOKUP($F508,'[2]Chuyển đổi mã'!$A$1:$C$91,3,0),$F508)&amp;AC508</f>
        <v>Lotte North321238</v>
      </c>
      <c r="Y508" s="196" t="str">
        <f>IFERROR(VLOOKUP($F508,'[2]Chuyển đổi mã'!$A$1:$C$184,3,0),F508)</f>
        <v>Lotte North</v>
      </c>
      <c r="Z508" s="196" t="str">
        <f>VLOOKUP($G508,'[2]Thông tin NPP'!$B:$D,3,0)</f>
        <v>Lotte North</v>
      </c>
      <c r="AA508" s="196" t="str">
        <f t="shared" si="115"/>
        <v>Richoco Wf</v>
      </c>
      <c r="AB508" s="196" t="str">
        <f>IFERROR(VLOOKUP(DAY(B508),'[2]Chuyển đổi mã'!$F$1:$G$32,2,0),0)</f>
        <v>W3</v>
      </c>
      <c r="AC508" s="196" t="str">
        <f t="shared" si="116"/>
        <v>321238</v>
      </c>
      <c r="AD508" s="196" t="str">
        <f t="shared" si="117"/>
        <v>NPP</v>
      </c>
      <c r="AE508" s="196" t="str">
        <f t="shared" si="118"/>
        <v>NPP321238</v>
      </c>
      <c r="AF508" s="196">
        <f t="shared" si="119"/>
        <v>0</v>
      </c>
    </row>
    <row r="509" spans="1:32" ht="12.95" hidden="1" customHeight="1">
      <c r="A509" s="190">
        <v>62742</v>
      </c>
      <c r="B509" s="191">
        <v>43571</v>
      </c>
      <c r="C509" s="190" t="s">
        <v>457</v>
      </c>
      <c r="D509" s="190" t="s">
        <v>615</v>
      </c>
      <c r="E509" s="190" t="s">
        <v>346</v>
      </c>
      <c r="F509" s="190" t="s">
        <v>454</v>
      </c>
      <c r="G509" s="192" t="s">
        <v>455</v>
      </c>
      <c r="H509" s="192" t="s">
        <v>296</v>
      </c>
      <c r="I509" s="192" t="s">
        <v>395</v>
      </c>
      <c r="J509" s="192" t="s">
        <v>350</v>
      </c>
      <c r="K509" s="190" t="s">
        <v>351</v>
      </c>
      <c r="L509" s="190" t="s">
        <v>361</v>
      </c>
      <c r="M509" s="192" t="s">
        <v>362</v>
      </c>
      <c r="N509" s="193">
        <v>1</v>
      </c>
      <c r="O509" s="193">
        <v>300000</v>
      </c>
      <c r="P509" s="194">
        <v>300000</v>
      </c>
      <c r="Q509" s="194">
        <v>30000</v>
      </c>
      <c r="R509" s="194">
        <v>330000</v>
      </c>
      <c r="S509" s="192"/>
      <c r="T509" s="192" t="s">
        <v>310</v>
      </c>
      <c r="U509" s="190">
        <v>60558</v>
      </c>
      <c r="V509" s="190"/>
      <c r="W509" s="195" t="s">
        <v>356</v>
      </c>
      <c r="X509" s="196" t="str">
        <f>+IFERROR(VLOOKUP($F509,'[2]Chuyển đổi mã'!$A$1:$C$91,3,0),$F509)&amp;AC509</f>
        <v>Lotte North331017</v>
      </c>
      <c r="Y509" s="196" t="str">
        <f>IFERROR(VLOOKUP($F509,'[2]Chuyển đổi mã'!$A$1:$C$184,3,0),F509)</f>
        <v>Lotte North</v>
      </c>
      <c r="Z509" s="196" t="str">
        <f>VLOOKUP($G509,'[2]Thông tin NPP'!$B:$D,3,0)</f>
        <v>Lotte North</v>
      </c>
      <c r="AA509" s="196" t="str">
        <f t="shared" si="115"/>
        <v>Richoco Wf</v>
      </c>
      <c r="AB509" s="196" t="str">
        <f>IFERROR(VLOOKUP(DAY(B509),'[2]Chuyển đổi mã'!$F$1:$G$32,2,0),0)</f>
        <v>W3</v>
      </c>
      <c r="AC509" s="196" t="str">
        <f t="shared" si="116"/>
        <v>331017</v>
      </c>
      <c r="AD509" s="196" t="str">
        <f t="shared" si="117"/>
        <v>NPP</v>
      </c>
      <c r="AE509" s="196" t="str">
        <f t="shared" si="118"/>
        <v>NPP331017</v>
      </c>
      <c r="AF509" s="196">
        <f t="shared" si="119"/>
        <v>0</v>
      </c>
    </row>
    <row r="510" spans="1:32" ht="12.95" hidden="1" customHeight="1">
      <c r="A510" s="190">
        <v>62742</v>
      </c>
      <c r="B510" s="191">
        <v>43571</v>
      </c>
      <c r="C510" s="190" t="s">
        <v>457</v>
      </c>
      <c r="D510" s="190" t="s">
        <v>615</v>
      </c>
      <c r="E510" s="190" t="s">
        <v>346</v>
      </c>
      <c r="F510" s="190" t="s">
        <v>454</v>
      </c>
      <c r="G510" s="192" t="s">
        <v>455</v>
      </c>
      <c r="H510" s="192" t="s">
        <v>296</v>
      </c>
      <c r="I510" s="192" t="s">
        <v>395</v>
      </c>
      <c r="J510" s="192" t="s">
        <v>350</v>
      </c>
      <c r="K510" s="190" t="s">
        <v>351</v>
      </c>
      <c r="L510" s="190" t="s">
        <v>359</v>
      </c>
      <c r="M510" s="192" t="s">
        <v>360</v>
      </c>
      <c r="N510" s="193">
        <v>3</v>
      </c>
      <c r="O510" s="193">
        <v>300000</v>
      </c>
      <c r="P510" s="194">
        <v>900000</v>
      </c>
      <c r="Q510" s="194">
        <v>90000</v>
      </c>
      <c r="R510" s="194">
        <v>990000</v>
      </c>
      <c r="S510" s="192"/>
      <c r="T510" s="192" t="s">
        <v>310</v>
      </c>
      <c r="U510" s="190">
        <v>60558</v>
      </c>
      <c r="V510" s="190"/>
      <c r="W510" s="195" t="s">
        <v>356</v>
      </c>
      <c r="X510" s="196" t="str">
        <f>+IFERROR(VLOOKUP($F510,'[2]Chuyển đổi mã'!$A$1:$C$91,3,0),$F510)&amp;AC510</f>
        <v>Lotte North320445</v>
      </c>
      <c r="Y510" s="196" t="str">
        <f>IFERROR(VLOOKUP($F510,'[2]Chuyển đổi mã'!$A$1:$C$184,3,0),F510)</f>
        <v>Lotte North</v>
      </c>
      <c r="Z510" s="196" t="str">
        <f>VLOOKUP($G510,'[2]Thông tin NPP'!$B:$D,3,0)</f>
        <v>Lotte North</v>
      </c>
      <c r="AA510" s="196" t="str">
        <f t="shared" si="115"/>
        <v>Na 58g</v>
      </c>
      <c r="AB510" s="196" t="str">
        <f>IFERROR(VLOOKUP(DAY(B510),'[2]Chuyển đổi mã'!$F$1:$G$32,2,0),0)</f>
        <v>W3</v>
      </c>
      <c r="AC510" s="196" t="str">
        <f t="shared" si="116"/>
        <v>320445</v>
      </c>
      <c r="AD510" s="196" t="str">
        <f t="shared" si="117"/>
        <v>NPP</v>
      </c>
      <c r="AE510" s="196" t="str">
        <f t="shared" si="118"/>
        <v>NPP320445</v>
      </c>
      <c r="AF510" s="196">
        <f t="shared" si="119"/>
        <v>0</v>
      </c>
    </row>
    <row r="511" spans="1:32" ht="12.95" hidden="1" customHeight="1">
      <c r="A511" s="190">
        <v>62743</v>
      </c>
      <c r="B511" s="191">
        <v>43571</v>
      </c>
      <c r="C511" s="190" t="s">
        <v>457</v>
      </c>
      <c r="D511" s="190" t="s">
        <v>616</v>
      </c>
      <c r="E511" s="190" t="s">
        <v>346</v>
      </c>
      <c r="F511" s="190" t="s">
        <v>414</v>
      </c>
      <c r="G511" s="192" t="s">
        <v>415</v>
      </c>
      <c r="H511" s="192" t="s">
        <v>296</v>
      </c>
      <c r="I511" s="192" t="s">
        <v>416</v>
      </c>
      <c r="J511" s="192" t="s">
        <v>350</v>
      </c>
      <c r="K511" s="190" t="s">
        <v>367</v>
      </c>
      <c r="L511" s="190" t="s">
        <v>408</v>
      </c>
      <c r="M511" s="192" t="s">
        <v>409</v>
      </c>
      <c r="N511" s="193">
        <v>100</v>
      </c>
      <c r="O511" s="193">
        <v>176640</v>
      </c>
      <c r="P511" s="194">
        <v>17664000</v>
      </c>
      <c r="Q511" s="194">
        <v>1766400</v>
      </c>
      <c r="R511" s="194">
        <v>19430400</v>
      </c>
      <c r="S511" s="192"/>
      <c r="T511" s="192" t="s">
        <v>310</v>
      </c>
      <c r="U511" s="190">
        <v>60565</v>
      </c>
      <c r="V511" s="190"/>
      <c r="W511" s="195" t="s">
        <v>356</v>
      </c>
      <c r="X511" s="196" t="str">
        <f>+IFERROR(VLOOKUP($F511,'[2]Chuyển đổi mã'!$A$1:$C$91,3,0),$F511)&amp;AC511</f>
        <v>NPP00000119324136</v>
      </c>
      <c r="Y511" s="196" t="str">
        <f>IFERROR(VLOOKUP($F511,'[2]Chuyển đổi mã'!$A$1:$C$184,3,0),F511)</f>
        <v>NPP00000119</v>
      </c>
      <c r="Z511" s="196" t="str">
        <f>VLOOKUP($G511,'[2]Thông tin NPP'!$B:$D,3,0)</f>
        <v>NGUYỄN DUNG</v>
      </c>
      <c r="AA511" s="196" t="str">
        <f t="shared" si="115"/>
        <v>Na 145g</v>
      </c>
      <c r="AB511" s="196" t="str">
        <f>IFERROR(VLOOKUP(DAY(B511),'[2]Chuyển đổi mã'!$F$1:$G$32,2,0),0)</f>
        <v>W3</v>
      </c>
      <c r="AC511" s="196" t="str">
        <f t="shared" si="116"/>
        <v>324136</v>
      </c>
      <c r="AD511" s="196" t="str">
        <f t="shared" si="117"/>
        <v>NPP</v>
      </c>
      <c r="AE511" s="196" t="str">
        <f t="shared" si="118"/>
        <v>NPP324136</v>
      </c>
      <c r="AF511" s="196">
        <f t="shared" si="119"/>
        <v>0</v>
      </c>
    </row>
    <row r="512" spans="1:32" ht="12.95" hidden="1" customHeight="1">
      <c r="A512" s="190">
        <v>62743</v>
      </c>
      <c r="B512" s="191">
        <v>43571</v>
      </c>
      <c r="C512" s="190" t="s">
        <v>457</v>
      </c>
      <c r="D512" s="190" t="s">
        <v>616</v>
      </c>
      <c r="E512" s="190" t="s">
        <v>346</v>
      </c>
      <c r="F512" s="190" t="s">
        <v>414</v>
      </c>
      <c r="G512" s="192" t="s">
        <v>415</v>
      </c>
      <c r="H512" s="192" t="s">
        <v>296</v>
      </c>
      <c r="I512" s="192" t="s">
        <v>416</v>
      </c>
      <c r="J512" s="192" t="s">
        <v>350</v>
      </c>
      <c r="K512" s="190" t="s">
        <v>367</v>
      </c>
      <c r="L512" s="190" t="s">
        <v>361</v>
      </c>
      <c r="M512" s="192" t="s">
        <v>362</v>
      </c>
      <c r="N512" s="193">
        <v>200</v>
      </c>
      <c r="O512" s="193">
        <v>276000</v>
      </c>
      <c r="P512" s="194">
        <v>55200000</v>
      </c>
      <c r="Q512" s="194">
        <v>5520000</v>
      </c>
      <c r="R512" s="194">
        <v>60720000</v>
      </c>
      <c r="S512" s="192"/>
      <c r="T512" s="192" t="s">
        <v>310</v>
      </c>
      <c r="U512" s="190">
        <v>60565</v>
      </c>
      <c r="V512" s="190"/>
      <c r="W512" s="195" t="s">
        <v>356</v>
      </c>
      <c r="X512" s="196" t="str">
        <f>+IFERROR(VLOOKUP($F512,'[2]Chuyển đổi mã'!$A$1:$C$91,3,0),$F512)&amp;AC512</f>
        <v>NPP00000119331017</v>
      </c>
      <c r="Y512" s="196" t="str">
        <f>IFERROR(VLOOKUP($F512,'[2]Chuyển đổi mã'!$A$1:$C$184,3,0),F512)</f>
        <v>NPP00000119</v>
      </c>
      <c r="Z512" s="196" t="str">
        <f>VLOOKUP($G512,'[2]Thông tin NPP'!$B:$D,3,0)</f>
        <v>NGUYỄN DUNG</v>
      </c>
      <c r="AA512" s="196" t="str">
        <f t="shared" si="115"/>
        <v>Richoco Wf</v>
      </c>
      <c r="AB512" s="196" t="str">
        <f>IFERROR(VLOOKUP(DAY(B512),'[2]Chuyển đổi mã'!$F$1:$G$32,2,0),0)</f>
        <v>W3</v>
      </c>
      <c r="AC512" s="196" t="str">
        <f t="shared" si="116"/>
        <v>331017</v>
      </c>
      <c r="AD512" s="196" t="str">
        <f t="shared" si="117"/>
        <v>NPP</v>
      </c>
      <c r="AE512" s="196" t="str">
        <f t="shared" si="118"/>
        <v>NPP331017</v>
      </c>
      <c r="AF512" s="196">
        <f t="shared" si="119"/>
        <v>0</v>
      </c>
    </row>
    <row r="513" spans="1:32" ht="12.95" customHeight="1">
      <c r="A513" s="190">
        <v>62744</v>
      </c>
      <c r="B513" s="191">
        <v>43571</v>
      </c>
      <c r="C513" s="190" t="s">
        <v>457</v>
      </c>
      <c r="D513" s="190" t="s">
        <v>617</v>
      </c>
      <c r="E513" s="190" t="s">
        <v>346</v>
      </c>
      <c r="F513" s="190" t="s">
        <v>477</v>
      </c>
      <c r="G513" s="192" t="s">
        <v>478</v>
      </c>
      <c r="H513" s="192" t="s">
        <v>296</v>
      </c>
      <c r="I513" s="192" t="s">
        <v>349</v>
      </c>
      <c r="J513" s="192" t="s">
        <v>350</v>
      </c>
      <c r="K513" s="190" t="s">
        <v>351</v>
      </c>
      <c r="L513" s="190" t="s">
        <v>352</v>
      </c>
      <c r="M513" s="192" t="s">
        <v>353</v>
      </c>
      <c r="N513" s="193">
        <v>200</v>
      </c>
      <c r="O513" s="193">
        <v>115036.7</v>
      </c>
      <c r="P513" s="194">
        <v>23007340</v>
      </c>
      <c r="Q513" s="194">
        <v>2300734</v>
      </c>
      <c r="R513" s="194">
        <v>25308074</v>
      </c>
      <c r="S513" s="192" t="s">
        <v>544</v>
      </c>
      <c r="T513" s="192" t="s">
        <v>545</v>
      </c>
      <c r="U513" s="190">
        <v>60554</v>
      </c>
      <c r="V513" s="190"/>
      <c r="W513" s="195" t="s">
        <v>356</v>
      </c>
      <c r="X513" s="196" t="str">
        <f>+IFERROR(VLOOKUP($F513,'[2]Chuyển đổi mã'!$A$1:$C$91,3,0),$F513)&amp;AC513</f>
        <v>Lotte South320463</v>
      </c>
      <c r="Y513" s="196" t="str">
        <f>IFERROR(VLOOKUP($F513,'[2]Chuyển đổi mã'!$A$1:$C$184,3,0),F513)</f>
        <v>Lotte South</v>
      </c>
      <c r="Z513" s="196" t="str">
        <f>VLOOKUP($G513,'[2]Thông tin NPP'!$B:$D,3,0)</f>
        <v>Lotte South</v>
      </c>
      <c r="AA513" s="196" t="str">
        <f t="shared" si="115"/>
        <v>Na 8,5g</v>
      </c>
      <c r="AB513" s="196" t="str">
        <f>IFERROR(VLOOKUP(DAY(B513),'[2]Chuyển đổi mã'!$F$1:$G$32,2,0),0)</f>
        <v>W3</v>
      </c>
      <c r="AC513" s="196" t="str">
        <f t="shared" si="116"/>
        <v>320463</v>
      </c>
      <c r="AD513" s="196" t="str">
        <f t="shared" si="117"/>
        <v>NPP</v>
      </c>
      <c r="AE513" s="196" t="str">
        <f t="shared" si="118"/>
        <v>NPP320463</v>
      </c>
      <c r="AF513" s="196">
        <f t="shared" si="119"/>
        <v>0</v>
      </c>
    </row>
    <row r="514" spans="1:32" ht="12.95" customHeight="1">
      <c r="A514" s="190">
        <v>62744</v>
      </c>
      <c r="B514" s="191">
        <v>43571</v>
      </c>
      <c r="C514" s="190" t="s">
        <v>457</v>
      </c>
      <c r="D514" s="190" t="s">
        <v>617</v>
      </c>
      <c r="E514" s="190" t="s">
        <v>346</v>
      </c>
      <c r="F514" s="190" t="s">
        <v>477</v>
      </c>
      <c r="G514" s="192" t="s">
        <v>478</v>
      </c>
      <c r="H514" s="192" t="s">
        <v>296</v>
      </c>
      <c r="I514" s="192" t="s">
        <v>349</v>
      </c>
      <c r="J514" s="192" t="s">
        <v>350</v>
      </c>
      <c r="K514" s="190" t="s">
        <v>351</v>
      </c>
      <c r="L514" s="190" t="s">
        <v>357</v>
      </c>
      <c r="M514" s="192" t="s">
        <v>358</v>
      </c>
      <c r="N514" s="193">
        <v>10</v>
      </c>
      <c r="O514" s="193">
        <v>213273</v>
      </c>
      <c r="P514" s="194">
        <v>2132730</v>
      </c>
      <c r="Q514" s="194">
        <v>213273</v>
      </c>
      <c r="R514" s="194">
        <v>2346003</v>
      </c>
      <c r="S514" s="192"/>
      <c r="T514" s="192" t="s">
        <v>310</v>
      </c>
      <c r="U514" s="190">
        <v>60554</v>
      </c>
      <c r="V514" s="190"/>
      <c r="W514" s="195" t="s">
        <v>356</v>
      </c>
      <c r="X514" s="196" t="str">
        <f>+IFERROR(VLOOKUP($F514,'[2]Chuyển đổi mã'!$A$1:$C$91,3,0),$F514)&amp;AC514</f>
        <v>Lotte South323555</v>
      </c>
      <c r="Y514" s="196" t="str">
        <f>IFERROR(VLOOKUP($F514,'[2]Chuyển đổi mã'!$A$1:$C$184,3,0),F514)</f>
        <v>Lotte South</v>
      </c>
      <c r="Z514" s="196" t="str">
        <f>VLOOKUP($G514,'[2]Thông tin NPP'!$B:$D,3,0)</f>
        <v>Lotte South</v>
      </c>
      <c r="AA514" s="196" t="str">
        <f t="shared" si="115"/>
        <v>Na 17g - M</v>
      </c>
      <c r="AB514" s="196" t="str">
        <f>IFERROR(VLOOKUP(DAY(B514),'[2]Chuyển đổi mã'!$F$1:$G$32,2,0),0)</f>
        <v>W3</v>
      </c>
      <c r="AC514" s="196" t="str">
        <f t="shared" si="116"/>
        <v>323555</v>
      </c>
      <c r="AD514" s="196" t="str">
        <f t="shared" si="117"/>
        <v>NPP</v>
      </c>
      <c r="AE514" s="196" t="str">
        <f t="shared" si="118"/>
        <v>NPP323555</v>
      </c>
      <c r="AF514" s="196">
        <f t="shared" si="119"/>
        <v>0</v>
      </c>
    </row>
    <row r="515" spans="1:32" ht="12.95" hidden="1" customHeight="1">
      <c r="A515" s="190">
        <v>62751</v>
      </c>
      <c r="B515" s="191">
        <v>43571</v>
      </c>
      <c r="C515" s="190" t="s">
        <v>457</v>
      </c>
      <c r="D515" s="190" t="s">
        <v>618</v>
      </c>
      <c r="E515" s="190" t="s">
        <v>346</v>
      </c>
      <c r="F515" s="190" t="s">
        <v>414</v>
      </c>
      <c r="G515" s="192" t="s">
        <v>415</v>
      </c>
      <c r="H515" s="192" t="s">
        <v>296</v>
      </c>
      <c r="I515" s="192" t="s">
        <v>416</v>
      </c>
      <c r="J515" s="192" t="s">
        <v>350</v>
      </c>
      <c r="K515" s="190" t="s">
        <v>367</v>
      </c>
      <c r="L515" s="190" t="s">
        <v>352</v>
      </c>
      <c r="M515" s="192" t="s">
        <v>353</v>
      </c>
      <c r="N515" s="193">
        <v>300</v>
      </c>
      <c r="O515" s="193">
        <v>107728</v>
      </c>
      <c r="P515" s="194">
        <v>32318400</v>
      </c>
      <c r="Q515" s="194">
        <v>3231840</v>
      </c>
      <c r="R515" s="194">
        <v>35550240</v>
      </c>
      <c r="S515" s="192"/>
      <c r="T515" s="192" t="s">
        <v>310</v>
      </c>
      <c r="U515" s="190">
        <v>60562</v>
      </c>
      <c r="V515" s="190"/>
      <c r="W515" s="195" t="s">
        <v>356</v>
      </c>
      <c r="X515" s="196" t="str">
        <f>+IFERROR(VLOOKUP($F515,'[2]Chuyển đổi mã'!$A$1:$C$91,3,0),$F515)&amp;AC515</f>
        <v>NPP00000119320463</v>
      </c>
      <c r="Y515" s="196" t="str">
        <f>IFERROR(VLOOKUP($F515,'[2]Chuyển đổi mã'!$A$1:$C$184,3,0),F515)</f>
        <v>NPP00000119</v>
      </c>
      <c r="Z515" s="196" t="str">
        <f>VLOOKUP($G515,'[2]Thông tin NPP'!$B:$D,3,0)</f>
        <v>NGUYỄN DUNG</v>
      </c>
      <c r="AA515" s="196" t="str">
        <f t="shared" si="115"/>
        <v>Na 8,5g</v>
      </c>
      <c r="AB515" s="196" t="str">
        <f>IFERROR(VLOOKUP(DAY(B515),'[2]Chuyển đổi mã'!$F$1:$G$32,2,0),0)</f>
        <v>W3</v>
      </c>
      <c r="AC515" s="196" t="str">
        <f t="shared" si="116"/>
        <v>320463</v>
      </c>
      <c r="AD515" s="196" t="str">
        <f t="shared" si="117"/>
        <v>NPP</v>
      </c>
      <c r="AE515" s="196" t="str">
        <f t="shared" si="118"/>
        <v>NPP320463</v>
      </c>
      <c r="AF515" s="196">
        <f t="shared" si="119"/>
        <v>0</v>
      </c>
    </row>
    <row r="516" spans="1:32" ht="12.95" hidden="1" customHeight="1">
      <c r="A516" s="190">
        <v>62752</v>
      </c>
      <c r="B516" s="191">
        <v>43571</v>
      </c>
      <c r="C516" s="190" t="s">
        <v>457</v>
      </c>
      <c r="D516" s="190" t="s">
        <v>619</v>
      </c>
      <c r="E516" s="190" t="s">
        <v>346</v>
      </c>
      <c r="F516" s="190" t="s">
        <v>397</v>
      </c>
      <c r="G516" s="192" t="s">
        <v>398</v>
      </c>
      <c r="H516" s="192" t="s">
        <v>296</v>
      </c>
      <c r="I516" s="192" t="s">
        <v>395</v>
      </c>
      <c r="J516" s="192" t="s">
        <v>350</v>
      </c>
      <c r="K516" s="190" t="s">
        <v>351</v>
      </c>
      <c r="L516" s="190" t="s">
        <v>352</v>
      </c>
      <c r="M516" s="192" t="s">
        <v>353</v>
      </c>
      <c r="N516" s="193">
        <v>5</v>
      </c>
      <c r="O516" s="193">
        <v>119700.35</v>
      </c>
      <c r="P516" s="194">
        <v>598501.75</v>
      </c>
      <c r="Q516" s="194">
        <v>59850.175000000003</v>
      </c>
      <c r="R516" s="194">
        <v>658351.92500000005</v>
      </c>
      <c r="S516" s="192" t="s">
        <v>354</v>
      </c>
      <c r="T516" s="192" t="s">
        <v>355</v>
      </c>
      <c r="U516" s="190">
        <v>60579</v>
      </c>
      <c r="V516" s="190"/>
      <c r="W516" s="195" t="s">
        <v>356</v>
      </c>
      <c r="X516" s="196" t="str">
        <f>+IFERROR(VLOOKUP($F516,'[2]Chuyển đổi mã'!$A$1:$C$91,3,0),$F516)&amp;AC516</f>
        <v>Big C North320463</v>
      </c>
      <c r="Y516" s="196" t="str">
        <f>IFERROR(VLOOKUP($F516,'[2]Chuyển đổi mã'!$A$1:$C$184,3,0),F516)</f>
        <v>Big C North</v>
      </c>
      <c r="Z516" s="196" t="str">
        <f>VLOOKUP($G516,'[2]Thông tin NPP'!$B:$D,3,0)</f>
        <v>BIG C North</v>
      </c>
      <c r="AA516" s="196" t="str">
        <f t="shared" si="115"/>
        <v>Na 8,5g</v>
      </c>
      <c r="AB516" s="196" t="str">
        <f>IFERROR(VLOOKUP(DAY(B516),'[2]Chuyển đổi mã'!$F$1:$G$32,2,0),0)</f>
        <v>W3</v>
      </c>
      <c r="AC516" s="196" t="str">
        <f t="shared" si="116"/>
        <v>320463</v>
      </c>
      <c r="AD516" s="196" t="str">
        <f t="shared" si="117"/>
        <v>NPP</v>
      </c>
      <c r="AE516" s="196" t="str">
        <f t="shared" si="118"/>
        <v>NPP320463</v>
      </c>
      <c r="AF516" s="196">
        <f t="shared" si="119"/>
        <v>0</v>
      </c>
    </row>
    <row r="517" spans="1:32" ht="12.95" hidden="1" customHeight="1">
      <c r="A517" s="190">
        <v>62752</v>
      </c>
      <c r="B517" s="191">
        <v>43571</v>
      </c>
      <c r="C517" s="190" t="s">
        <v>457</v>
      </c>
      <c r="D517" s="190" t="s">
        <v>619</v>
      </c>
      <c r="E517" s="190" t="s">
        <v>346</v>
      </c>
      <c r="F517" s="190" t="s">
        <v>397</v>
      </c>
      <c r="G517" s="192" t="s">
        <v>398</v>
      </c>
      <c r="H517" s="192" t="s">
        <v>296</v>
      </c>
      <c r="I517" s="192" t="s">
        <v>395</v>
      </c>
      <c r="J517" s="192" t="s">
        <v>350</v>
      </c>
      <c r="K517" s="190" t="s">
        <v>351</v>
      </c>
      <c r="L517" s="190" t="s">
        <v>357</v>
      </c>
      <c r="M517" s="192" t="s">
        <v>358</v>
      </c>
      <c r="N517" s="193">
        <v>6</v>
      </c>
      <c r="O517" s="193">
        <v>213273</v>
      </c>
      <c r="P517" s="194">
        <v>1279638</v>
      </c>
      <c r="Q517" s="194">
        <v>127963.8</v>
      </c>
      <c r="R517" s="194">
        <v>1407601.8</v>
      </c>
      <c r="S517" s="192"/>
      <c r="T517" s="192" t="s">
        <v>310</v>
      </c>
      <c r="U517" s="190">
        <v>60579</v>
      </c>
      <c r="V517" s="190"/>
      <c r="W517" s="195" t="s">
        <v>356</v>
      </c>
      <c r="X517" s="196" t="str">
        <f>+IFERROR(VLOOKUP($F517,'[2]Chuyển đổi mã'!$A$1:$C$91,3,0),$F517)&amp;AC517</f>
        <v>Big C North323555</v>
      </c>
      <c r="Y517" s="196" t="str">
        <f>IFERROR(VLOOKUP($F517,'[2]Chuyển đổi mã'!$A$1:$C$184,3,0),F517)</f>
        <v>Big C North</v>
      </c>
      <c r="Z517" s="196" t="str">
        <f>VLOOKUP($G517,'[2]Thông tin NPP'!$B:$D,3,0)</f>
        <v>BIG C North</v>
      </c>
      <c r="AA517" s="196" t="str">
        <f t="shared" si="115"/>
        <v>Na 17g - M</v>
      </c>
      <c r="AB517" s="196" t="str">
        <f>IFERROR(VLOOKUP(DAY(B517),'[2]Chuyển đổi mã'!$F$1:$G$32,2,0),0)</f>
        <v>W3</v>
      </c>
      <c r="AC517" s="196" t="str">
        <f t="shared" si="116"/>
        <v>323555</v>
      </c>
      <c r="AD517" s="196" t="str">
        <f t="shared" si="117"/>
        <v>NPP</v>
      </c>
      <c r="AE517" s="196" t="str">
        <f t="shared" si="118"/>
        <v>NPP323555</v>
      </c>
      <c r="AF517" s="196">
        <f t="shared" si="119"/>
        <v>0</v>
      </c>
    </row>
    <row r="518" spans="1:32" ht="12.95" hidden="1" customHeight="1">
      <c r="A518" s="190">
        <v>62753</v>
      </c>
      <c r="B518" s="191">
        <v>43571</v>
      </c>
      <c r="C518" s="190" t="s">
        <v>457</v>
      </c>
      <c r="D518" s="190" t="s">
        <v>620</v>
      </c>
      <c r="E518" s="190" t="s">
        <v>346</v>
      </c>
      <c r="F518" s="190" t="s">
        <v>393</v>
      </c>
      <c r="G518" s="192" t="s">
        <v>394</v>
      </c>
      <c r="H518" s="192" t="s">
        <v>296</v>
      </c>
      <c r="I518" s="192" t="s">
        <v>395</v>
      </c>
      <c r="J518" s="192" t="s">
        <v>350</v>
      </c>
      <c r="K518" s="190" t="s">
        <v>351</v>
      </c>
      <c r="L518" s="190" t="s">
        <v>387</v>
      </c>
      <c r="M518" s="192" t="s">
        <v>388</v>
      </c>
      <c r="N518" s="193">
        <v>1</v>
      </c>
      <c r="O518" s="193">
        <v>355455</v>
      </c>
      <c r="P518" s="194">
        <v>355455</v>
      </c>
      <c r="Q518" s="194">
        <v>35545.5</v>
      </c>
      <c r="R518" s="194">
        <v>391000.5</v>
      </c>
      <c r="S518" s="192"/>
      <c r="T518" s="192" t="s">
        <v>310</v>
      </c>
      <c r="U518" s="190">
        <v>60578</v>
      </c>
      <c r="V518" s="190" t="s">
        <v>621</v>
      </c>
      <c r="W518" s="195" t="s">
        <v>356</v>
      </c>
      <c r="X518" s="196" t="str">
        <f>+IFERROR(VLOOKUP($F518,'[2]Chuyển đổi mã'!$A$1:$C$91,3,0),$F518)&amp;AC518</f>
        <v>Big C North323620</v>
      </c>
      <c r="Y518" s="196" t="str">
        <f>IFERROR(VLOOKUP($F518,'[2]Chuyển đổi mã'!$A$1:$C$184,3,0),F518)</f>
        <v>Big C North</v>
      </c>
      <c r="Z518" s="196" t="str">
        <f>VLOOKUP($G518,'[2]Thông tin NPP'!$B:$D,3,0)</f>
        <v>BIG C North</v>
      </c>
      <c r="AA518" s="196" t="str">
        <f t="shared" si="115"/>
        <v>Ahh 16g</v>
      </c>
      <c r="AB518" s="196" t="str">
        <f>IFERROR(VLOOKUP(DAY(B518),'[2]Chuyển đổi mã'!$F$1:$G$32,2,0),0)</f>
        <v>W3</v>
      </c>
      <c r="AC518" s="196" t="str">
        <f t="shared" si="116"/>
        <v>323620</v>
      </c>
      <c r="AD518" s="196" t="str">
        <f t="shared" si="117"/>
        <v>NPP</v>
      </c>
      <c r="AE518" s="196" t="str">
        <f t="shared" si="118"/>
        <v>NPP323620</v>
      </c>
      <c r="AF518" s="196">
        <f t="shared" si="119"/>
        <v>0</v>
      </c>
    </row>
    <row r="519" spans="1:32" ht="12.95" hidden="1" customHeight="1">
      <c r="A519" s="190">
        <v>62753</v>
      </c>
      <c r="B519" s="191">
        <v>43571</v>
      </c>
      <c r="C519" s="190" t="s">
        <v>457</v>
      </c>
      <c r="D519" s="190" t="s">
        <v>620</v>
      </c>
      <c r="E519" s="190" t="s">
        <v>346</v>
      </c>
      <c r="F519" s="190" t="s">
        <v>393</v>
      </c>
      <c r="G519" s="192" t="s">
        <v>394</v>
      </c>
      <c r="H519" s="192" t="s">
        <v>296</v>
      </c>
      <c r="I519" s="192" t="s">
        <v>395</v>
      </c>
      <c r="J519" s="192" t="s">
        <v>350</v>
      </c>
      <c r="K519" s="190" t="s">
        <v>351</v>
      </c>
      <c r="L519" s="190" t="s">
        <v>357</v>
      </c>
      <c r="M519" s="192" t="s">
        <v>358</v>
      </c>
      <c r="N519" s="193">
        <v>2</v>
      </c>
      <c r="O519" s="193">
        <v>213273</v>
      </c>
      <c r="P519" s="194">
        <v>426546</v>
      </c>
      <c r="Q519" s="194">
        <v>42654.6</v>
      </c>
      <c r="R519" s="194">
        <v>469200.6</v>
      </c>
      <c r="S519" s="192"/>
      <c r="T519" s="192" t="s">
        <v>310</v>
      </c>
      <c r="U519" s="190">
        <v>60578</v>
      </c>
      <c r="V519" s="190" t="s">
        <v>621</v>
      </c>
      <c r="W519" s="195" t="s">
        <v>356</v>
      </c>
      <c r="X519" s="196" t="str">
        <f>+IFERROR(VLOOKUP($F519,'[2]Chuyển đổi mã'!$A$1:$C$91,3,0),$F519)&amp;AC519</f>
        <v>Big C North323555</v>
      </c>
      <c r="Y519" s="196" t="str">
        <f>IFERROR(VLOOKUP($F519,'[2]Chuyển đổi mã'!$A$1:$C$184,3,0),F519)</f>
        <v>Big C North</v>
      </c>
      <c r="Z519" s="196" t="str">
        <f>VLOOKUP($G519,'[2]Thông tin NPP'!$B:$D,3,0)</f>
        <v>BIG C North</v>
      </c>
      <c r="AA519" s="196" t="str">
        <f t="shared" si="115"/>
        <v>Na 17g - M</v>
      </c>
      <c r="AB519" s="196" t="str">
        <f>IFERROR(VLOOKUP(DAY(B519),'[2]Chuyển đổi mã'!$F$1:$G$32,2,0),0)</f>
        <v>W3</v>
      </c>
      <c r="AC519" s="196" t="str">
        <f t="shared" si="116"/>
        <v>323555</v>
      </c>
      <c r="AD519" s="196" t="str">
        <f t="shared" si="117"/>
        <v>NPP</v>
      </c>
      <c r="AE519" s="196" t="str">
        <f t="shared" si="118"/>
        <v>NPP323555</v>
      </c>
      <c r="AF519" s="196">
        <f t="shared" si="119"/>
        <v>0</v>
      </c>
    </row>
    <row r="520" spans="1:32" ht="12.95" hidden="1" customHeight="1">
      <c r="A520" s="190">
        <v>62753</v>
      </c>
      <c r="B520" s="191">
        <v>43571</v>
      </c>
      <c r="C520" s="190" t="s">
        <v>457</v>
      </c>
      <c r="D520" s="190" t="s">
        <v>620</v>
      </c>
      <c r="E520" s="190" t="s">
        <v>346</v>
      </c>
      <c r="F520" s="190" t="s">
        <v>393</v>
      </c>
      <c r="G520" s="192" t="s">
        <v>394</v>
      </c>
      <c r="H520" s="192" t="s">
        <v>296</v>
      </c>
      <c r="I520" s="192" t="s">
        <v>395</v>
      </c>
      <c r="J520" s="192" t="s">
        <v>350</v>
      </c>
      <c r="K520" s="190" t="s">
        <v>351</v>
      </c>
      <c r="L520" s="190" t="s">
        <v>359</v>
      </c>
      <c r="M520" s="192" t="s">
        <v>360</v>
      </c>
      <c r="N520" s="193">
        <v>2</v>
      </c>
      <c r="O520" s="193">
        <v>313636</v>
      </c>
      <c r="P520" s="194">
        <v>627272</v>
      </c>
      <c r="Q520" s="194">
        <v>62727.199999999997</v>
      </c>
      <c r="R520" s="194">
        <v>689999.2</v>
      </c>
      <c r="S520" s="192"/>
      <c r="T520" s="192" t="s">
        <v>310</v>
      </c>
      <c r="U520" s="190">
        <v>60578</v>
      </c>
      <c r="V520" s="190" t="s">
        <v>621</v>
      </c>
      <c r="W520" s="195" t="s">
        <v>356</v>
      </c>
      <c r="X520" s="196" t="str">
        <f>+IFERROR(VLOOKUP($F520,'[2]Chuyển đổi mã'!$A$1:$C$91,3,0),$F520)&amp;AC520</f>
        <v>Big C North320445</v>
      </c>
      <c r="Y520" s="196" t="str">
        <f>IFERROR(VLOOKUP($F520,'[2]Chuyển đổi mã'!$A$1:$C$184,3,0),F520)</f>
        <v>Big C North</v>
      </c>
      <c r="Z520" s="196" t="str">
        <f>VLOOKUP($G520,'[2]Thông tin NPP'!$B:$D,3,0)</f>
        <v>BIG C North</v>
      </c>
      <c r="AA520" s="196" t="str">
        <f t="shared" si="115"/>
        <v>Na 58g</v>
      </c>
      <c r="AB520" s="196" t="str">
        <f>IFERROR(VLOOKUP(DAY(B520),'[2]Chuyển đổi mã'!$F$1:$G$32,2,0),0)</f>
        <v>W3</v>
      </c>
      <c r="AC520" s="196" t="str">
        <f t="shared" si="116"/>
        <v>320445</v>
      </c>
      <c r="AD520" s="196" t="str">
        <f t="shared" si="117"/>
        <v>NPP</v>
      </c>
      <c r="AE520" s="196" t="str">
        <f t="shared" si="118"/>
        <v>NPP320445</v>
      </c>
      <c r="AF520" s="196">
        <f t="shared" si="119"/>
        <v>0</v>
      </c>
    </row>
    <row r="521" spans="1:32" ht="12.95" hidden="1" customHeight="1">
      <c r="A521" s="190">
        <v>62753</v>
      </c>
      <c r="B521" s="191">
        <v>43571</v>
      </c>
      <c r="C521" s="190" t="s">
        <v>457</v>
      </c>
      <c r="D521" s="190" t="s">
        <v>620</v>
      </c>
      <c r="E521" s="190" t="s">
        <v>346</v>
      </c>
      <c r="F521" s="190" t="s">
        <v>393</v>
      </c>
      <c r="G521" s="192" t="s">
        <v>394</v>
      </c>
      <c r="H521" s="192" t="s">
        <v>296</v>
      </c>
      <c r="I521" s="192" t="s">
        <v>395</v>
      </c>
      <c r="J521" s="192" t="s">
        <v>350</v>
      </c>
      <c r="K521" s="190" t="s">
        <v>351</v>
      </c>
      <c r="L521" s="190" t="s">
        <v>361</v>
      </c>
      <c r="M521" s="192" t="s">
        <v>362</v>
      </c>
      <c r="N521" s="193">
        <v>2</v>
      </c>
      <c r="O521" s="193">
        <v>313636</v>
      </c>
      <c r="P521" s="194">
        <v>627272</v>
      </c>
      <c r="Q521" s="194">
        <v>62727.199999999997</v>
      </c>
      <c r="R521" s="194">
        <v>689999.2</v>
      </c>
      <c r="S521" s="192"/>
      <c r="T521" s="192" t="s">
        <v>310</v>
      </c>
      <c r="U521" s="190">
        <v>60578</v>
      </c>
      <c r="V521" s="190" t="s">
        <v>621</v>
      </c>
      <c r="W521" s="195" t="s">
        <v>356</v>
      </c>
      <c r="X521" s="196" t="str">
        <f>+IFERROR(VLOOKUP($F521,'[2]Chuyển đổi mã'!$A$1:$C$91,3,0),$F521)&amp;AC521</f>
        <v>Big C North331017</v>
      </c>
      <c r="Y521" s="196" t="str">
        <f>IFERROR(VLOOKUP($F521,'[2]Chuyển đổi mã'!$A$1:$C$184,3,0),F521)</f>
        <v>Big C North</v>
      </c>
      <c r="Z521" s="196" t="str">
        <f>VLOOKUP($G521,'[2]Thông tin NPP'!$B:$D,3,0)</f>
        <v>BIG C North</v>
      </c>
      <c r="AA521" s="196" t="str">
        <f t="shared" si="115"/>
        <v>Richoco Wf</v>
      </c>
      <c r="AB521" s="196" t="str">
        <f>IFERROR(VLOOKUP(DAY(B521),'[2]Chuyển đổi mã'!$F$1:$G$32,2,0),0)</f>
        <v>W3</v>
      </c>
      <c r="AC521" s="196" t="str">
        <f t="shared" si="116"/>
        <v>331017</v>
      </c>
      <c r="AD521" s="196" t="str">
        <f t="shared" si="117"/>
        <v>NPP</v>
      </c>
      <c r="AE521" s="196" t="str">
        <f t="shared" si="118"/>
        <v>NPP331017</v>
      </c>
      <c r="AF521" s="196">
        <f t="shared" si="119"/>
        <v>0</v>
      </c>
    </row>
    <row r="522" spans="1:32" ht="12.95" hidden="1" customHeight="1">
      <c r="A522" s="190">
        <v>62761</v>
      </c>
      <c r="B522" s="191">
        <v>43572</v>
      </c>
      <c r="C522" s="190" t="s">
        <v>457</v>
      </c>
      <c r="D522" s="190" t="s">
        <v>622</v>
      </c>
      <c r="E522" s="190" t="s">
        <v>346</v>
      </c>
      <c r="F522" s="190" t="s">
        <v>519</v>
      </c>
      <c r="G522" s="192" t="s">
        <v>520</v>
      </c>
      <c r="H522" s="192" t="s">
        <v>296</v>
      </c>
      <c r="I522" s="192" t="s">
        <v>395</v>
      </c>
      <c r="J522" s="192" t="s">
        <v>350</v>
      </c>
      <c r="K522" s="190" t="s">
        <v>351</v>
      </c>
      <c r="L522" s="190" t="s">
        <v>352</v>
      </c>
      <c r="M522" s="192" t="s">
        <v>353</v>
      </c>
      <c r="N522" s="193">
        <v>2</v>
      </c>
      <c r="O522" s="193">
        <v>115036.7</v>
      </c>
      <c r="P522" s="194">
        <v>230073.4</v>
      </c>
      <c r="Q522" s="194">
        <v>23007.34</v>
      </c>
      <c r="R522" s="194">
        <v>253080.74</v>
      </c>
      <c r="S522" s="192" t="s">
        <v>544</v>
      </c>
      <c r="T522" s="192" t="s">
        <v>545</v>
      </c>
      <c r="U522" s="190">
        <v>60591</v>
      </c>
      <c r="V522" s="190"/>
      <c r="W522" s="195" t="s">
        <v>356</v>
      </c>
      <c r="X522" s="196" t="str">
        <f>+IFERROR(VLOOKUP($F522,'[2]Chuyển đổi mã'!$A$1:$C$91,3,0),$F522)&amp;AC522</f>
        <v>Lotte North320463</v>
      </c>
      <c r="Y522" s="196" t="str">
        <f>IFERROR(VLOOKUP($F522,'[2]Chuyển đổi mã'!$A$1:$C$184,3,0),F522)</f>
        <v>Lotte North</v>
      </c>
      <c r="Z522" s="196" t="str">
        <f>VLOOKUP($G522,'[2]Thông tin NPP'!$B:$D,3,0)</f>
        <v>Lotte North</v>
      </c>
      <c r="AA522" s="196" t="str">
        <f t="shared" ref="AA522:AA534" si="120">LEFT($M522,10)</f>
        <v>Na 8,5g</v>
      </c>
      <c r="AB522" s="196" t="str">
        <f>IFERROR(VLOOKUP(DAY(B522),'[2]Chuyển đổi mã'!$F$1:$G$32,2,0),0)</f>
        <v>W3</v>
      </c>
      <c r="AC522" s="196" t="str">
        <f t="shared" ref="AC522:AC534" si="121">LEFT(L522,6)</f>
        <v>320463</v>
      </c>
      <c r="AD522" s="196" t="str">
        <f t="shared" ref="AD522:AD534" si="122">LEFT(F522,3)</f>
        <v>NPP</v>
      </c>
      <c r="AE522" s="196" t="str">
        <f t="shared" ref="AE522:AE534" si="123">AD522&amp;AC522</f>
        <v>NPP320463</v>
      </c>
      <c r="AF522" s="196">
        <f t="shared" ref="AF522:AF534" si="124">IF(RIGHT(L522,1)="P","P",0)</f>
        <v>0</v>
      </c>
    </row>
    <row r="523" spans="1:32" ht="12.95" hidden="1" customHeight="1">
      <c r="A523" s="190">
        <v>62761</v>
      </c>
      <c r="B523" s="191">
        <v>43572</v>
      </c>
      <c r="C523" s="190" t="s">
        <v>457</v>
      </c>
      <c r="D523" s="190" t="s">
        <v>622</v>
      </c>
      <c r="E523" s="190" t="s">
        <v>346</v>
      </c>
      <c r="F523" s="190" t="s">
        <v>519</v>
      </c>
      <c r="G523" s="192" t="s">
        <v>520</v>
      </c>
      <c r="H523" s="192" t="s">
        <v>296</v>
      </c>
      <c r="I523" s="192" t="s">
        <v>395</v>
      </c>
      <c r="J523" s="192" t="s">
        <v>350</v>
      </c>
      <c r="K523" s="190" t="s">
        <v>351</v>
      </c>
      <c r="L523" s="190" t="s">
        <v>387</v>
      </c>
      <c r="M523" s="192" t="s">
        <v>388</v>
      </c>
      <c r="N523" s="193">
        <v>2</v>
      </c>
      <c r="O523" s="193">
        <v>340000</v>
      </c>
      <c r="P523" s="194">
        <v>680000</v>
      </c>
      <c r="Q523" s="194">
        <v>68000</v>
      </c>
      <c r="R523" s="194">
        <v>748000</v>
      </c>
      <c r="S523" s="192"/>
      <c r="T523" s="192" t="s">
        <v>310</v>
      </c>
      <c r="U523" s="190">
        <v>60591</v>
      </c>
      <c r="V523" s="190"/>
      <c r="W523" s="195" t="s">
        <v>356</v>
      </c>
      <c r="X523" s="196" t="str">
        <f>+IFERROR(VLOOKUP($F523,'[2]Chuyển đổi mã'!$A$1:$C$91,3,0),$F523)&amp;AC523</f>
        <v>Lotte North323620</v>
      </c>
      <c r="Y523" s="196" t="str">
        <f>IFERROR(VLOOKUP($F523,'[2]Chuyển đổi mã'!$A$1:$C$184,3,0),F523)</f>
        <v>Lotte North</v>
      </c>
      <c r="Z523" s="196" t="str">
        <f>VLOOKUP($G523,'[2]Thông tin NPP'!$B:$D,3,0)</f>
        <v>Lotte North</v>
      </c>
      <c r="AA523" s="196" t="str">
        <f t="shared" si="120"/>
        <v>Ahh 16g</v>
      </c>
      <c r="AB523" s="196" t="str">
        <f>IFERROR(VLOOKUP(DAY(B523),'[2]Chuyển đổi mã'!$F$1:$G$32,2,0),0)</f>
        <v>W3</v>
      </c>
      <c r="AC523" s="196" t="str">
        <f t="shared" si="121"/>
        <v>323620</v>
      </c>
      <c r="AD523" s="196" t="str">
        <f t="shared" si="122"/>
        <v>NPP</v>
      </c>
      <c r="AE523" s="196" t="str">
        <f t="shared" si="123"/>
        <v>NPP323620</v>
      </c>
      <c r="AF523" s="196">
        <f t="shared" si="124"/>
        <v>0</v>
      </c>
    </row>
    <row r="524" spans="1:32" ht="12.95" hidden="1" customHeight="1">
      <c r="A524" s="190">
        <v>62761</v>
      </c>
      <c r="B524" s="191">
        <v>43572</v>
      </c>
      <c r="C524" s="190" t="s">
        <v>457</v>
      </c>
      <c r="D524" s="190" t="s">
        <v>622</v>
      </c>
      <c r="E524" s="190" t="s">
        <v>346</v>
      </c>
      <c r="F524" s="190" t="s">
        <v>519</v>
      </c>
      <c r="G524" s="192" t="s">
        <v>520</v>
      </c>
      <c r="H524" s="192" t="s">
        <v>296</v>
      </c>
      <c r="I524" s="192" t="s">
        <v>395</v>
      </c>
      <c r="J524" s="192" t="s">
        <v>350</v>
      </c>
      <c r="K524" s="190" t="s">
        <v>351</v>
      </c>
      <c r="L524" s="190" t="s">
        <v>378</v>
      </c>
      <c r="M524" s="192" t="s">
        <v>379</v>
      </c>
      <c r="N524" s="193">
        <v>3</v>
      </c>
      <c r="O524" s="193">
        <v>213273</v>
      </c>
      <c r="P524" s="194">
        <v>639819</v>
      </c>
      <c r="Q524" s="194">
        <v>63981.9</v>
      </c>
      <c r="R524" s="194">
        <v>703800.9</v>
      </c>
      <c r="S524" s="192"/>
      <c r="T524" s="192" t="s">
        <v>310</v>
      </c>
      <c r="U524" s="190">
        <v>60591</v>
      </c>
      <c r="V524" s="190"/>
      <c r="W524" s="195" t="s">
        <v>356</v>
      </c>
      <c r="X524" s="196" t="str">
        <f>+IFERROR(VLOOKUP($F524,'[2]Chuyển đổi mã'!$A$1:$C$91,3,0),$F524)&amp;AC524</f>
        <v>Lotte North321238</v>
      </c>
      <c r="Y524" s="196" t="str">
        <f>IFERROR(VLOOKUP($F524,'[2]Chuyển đổi mã'!$A$1:$C$184,3,0),F524)</f>
        <v>Lotte North</v>
      </c>
      <c r="Z524" s="196" t="str">
        <f>VLOOKUP($G524,'[2]Thông tin NPP'!$B:$D,3,0)</f>
        <v>Lotte North</v>
      </c>
      <c r="AA524" s="196" t="str">
        <f t="shared" si="120"/>
        <v>Richoco Wf</v>
      </c>
      <c r="AB524" s="196" t="str">
        <f>IFERROR(VLOOKUP(DAY(B524),'[2]Chuyển đổi mã'!$F$1:$G$32,2,0),0)</f>
        <v>W3</v>
      </c>
      <c r="AC524" s="196" t="str">
        <f t="shared" si="121"/>
        <v>321238</v>
      </c>
      <c r="AD524" s="196" t="str">
        <f t="shared" si="122"/>
        <v>NPP</v>
      </c>
      <c r="AE524" s="196" t="str">
        <f t="shared" si="123"/>
        <v>NPP321238</v>
      </c>
      <c r="AF524" s="196">
        <f t="shared" si="124"/>
        <v>0</v>
      </c>
    </row>
    <row r="525" spans="1:32" ht="12.95" hidden="1" customHeight="1">
      <c r="A525" s="190">
        <v>62761</v>
      </c>
      <c r="B525" s="191">
        <v>43572</v>
      </c>
      <c r="C525" s="190" t="s">
        <v>457</v>
      </c>
      <c r="D525" s="190" t="s">
        <v>622</v>
      </c>
      <c r="E525" s="190" t="s">
        <v>346</v>
      </c>
      <c r="F525" s="190" t="s">
        <v>519</v>
      </c>
      <c r="G525" s="192" t="s">
        <v>520</v>
      </c>
      <c r="H525" s="192" t="s">
        <v>296</v>
      </c>
      <c r="I525" s="192" t="s">
        <v>395</v>
      </c>
      <c r="J525" s="192" t="s">
        <v>350</v>
      </c>
      <c r="K525" s="190" t="s">
        <v>351</v>
      </c>
      <c r="L525" s="190" t="s">
        <v>361</v>
      </c>
      <c r="M525" s="192" t="s">
        <v>362</v>
      </c>
      <c r="N525" s="193">
        <v>3</v>
      </c>
      <c r="O525" s="193">
        <v>300000</v>
      </c>
      <c r="P525" s="194">
        <v>900000</v>
      </c>
      <c r="Q525" s="194">
        <v>90000</v>
      </c>
      <c r="R525" s="194">
        <v>990000</v>
      </c>
      <c r="S525" s="192"/>
      <c r="T525" s="192" t="s">
        <v>310</v>
      </c>
      <c r="U525" s="190">
        <v>60591</v>
      </c>
      <c r="V525" s="190"/>
      <c r="W525" s="195" t="s">
        <v>356</v>
      </c>
      <c r="X525" s="196" t="str">
        <f>+IFERROR(VLOOKUP($F525,'[2]Chuyển đổi mã'!$A$1:$C$91,3,0),$F525)&amp;AC525</f>
        <v>Lotte North331017</v>
      </c>
      <c r="Y525" s="196" t="str">
        <f>IFERROR(VLOOKUP($F525,'[2]Chuyển đổi mã'!$A$1:$C$184,3,0),F525)</f>
        <v>Lotte North</v>
      </c>
      <c r="Z525" s="196" t="str">
        <f>VLOOKUP($G525,'[2]Thông tin NPP'!$B:$D,3,0)</f>
        <v>Lotte North</v>
      </c>
      <c r="AA525" s="196" t="str">
        <f t="shared" si="120"/>
        <v>Richoco Wf</v>
      </c>
      <c r="AB525" s="196" t="str">
        <f>IFERROR(VLOOKUP(DAY(B525),'[2]Chuyển đổi mã'!$F$1:$G$32,2,0),0)</f>
        <v>W3</v>
      </c>
      <c r="AC525" s="196" t="str">
        <f t="shared" si="121"/>
        <v>331017</v>
      </c>
      <c r="AD525" s="196" t="str">
        <f t="shared" si="122"/>
        <v>NPP</v>
      </c>
      <c r="AE525" s="196" t="str">
        <f t="shared" si="123"/>
        <v>NPP331017</v>
      </c>
      <c r="AF525" s="196">
        <f t="shared" si="124"/>
        <v>0</v>
      </c>
    </row>
    <row r="526" spans="1:32" ht="12.95" hidden="1" customHeight="1">
      <c r="A526" s="190">
        <v>62761</v>
      </c>
      <c r="B526" s="191">
        <v>43572</v>
      </c>
      <c r="C526" s="190" t="s">
        <v>457</v>
      </c>
      <c r="D526" s="190" t="s">
        <v>622</v>
      </c>
      <c r="E526" s="190" t="s">
        <v>346</v>
      </c>
      <c r="F526" s="190" t="s">
        <v>519</v>
      </c>
      <c r="G526" s="192" t="s">
        <v>520</v>
      </c>
      <c r="H526" s="192" t="s">
        <v>296</v>
      </c>
      <c r="I526" s="192" t="s">
        <v>395</v>
      </c>
      <c r="J526" s="192" t="s">
        <v>350</v>
      </c>
      <c r="K526" s="190" t="s">
        <v>351</v>
      </c>
      <c r="L526" s="190" t="s">
        <v>359</v>
      </c>
      <c r="M526" s="192" t="s">
        <v>360</v>
      </c>
      <c r="N526" s="193">
        <v>2</v>
      </c>
      <c r="O526" s="193">
        <v>300000</v>
      </c>
      <c r="P526" s="194">
        <v>600000</v>
      </c>
      <c r="Q526" s="194">
        <v>60000</v>
      </c>
      <c r="R526" s="194">
        <v>660000</v>
      </c>
      <c r="S526" s="192"/>
      <c r="T526" s="192" t="s">
        <v>310</v>
      </c>
      <c r="U526" s="190">
        <v>60591</v>
      </c>
      <c r="V526" s="190"/>
      <c r="W526" s="195" t="s">
        <v>356</v>
      </c>
      <c r="X526" s="196" t="str">
        <f>+IFERROR(VLOOKUP($F526,'[2]Chuyển đổi mã'!$A$1:$C$91,3,0),$F526)&amp;AC526</f>
        <v>Lotte North320445</v>
      </c>
      <c r="Y526" s="196" t="str">
        <f>IFERROR(VLOOKUP($F526,'[2]Chuyển đổi mã'!$A$1:$C$184,3,0),F526)</f>
        <v>Lotte North</v>
      </c>
      <c r="Z526" s="196" t="str">
        <f>VLOOKUP($G526,'[2]Thông tin NPP'!$B:$D,3,0)</f>
        <v>Lotte North</v>
      </c>
      <c r="AA526" s="196" t="str">
        <f t="shared" si="120"/>
        <v>Na 58g</v>
      </c>
      <c r="AB526" s="196" t="str">
        <f>IFERROR(VLOOKUP(DAY(B526),'[2]Chuyển đổi mã'!$F$1:$G$32,2,0),0)</f>
        <v>W3</v>
      </c>
      <c r="AC526" s="196" t="str">
        <f t="shared" si="121"/>
        <v>320445</v>
      </c>
      <c r="AD526" s="196" t="str">
        <f t="shared" si="122"/>
        <v>NPP</v>
      </c>
      <c r="AE526" s="196" t="str">
        <f t="shared" si="123"/>
        <v>NPP320445</v>
      </c>
      <c r="AF526" s="196">
        <f t="shared" si="124"/>
        <v>0</v>
      </c>
    </row>
    <row r="527" spans="1:32" ht="12.95" hidden="1" customHeight="1">
      <c r="A527" s="190">
        <v>62761</v>
      </c>
      <c r="B527" s="191">
        <v>43572</v>
      </c>
      <c r="C527" s="190" t="s">
        <v>457</v>
      </c>
      <c r="D527" s="190" t="s">
        <v>622</v>
      </c>
      <c r="E527" s="190" t="s">
        <v>346</v>
      </c>
      <c r="F527" s="190" t="s">
        <v>519</v>
      </c>
      <c r="G527" s="192" t="s">
        <v>520</v>
      </c>
      <c r="H527" s="192" t="s">
        <v>296</v>
      </c>
      <c r="I527" s="192" t="s">
        <v>395</v>
      </c>
      <c r="J527" s="192" t="s">
        <v>350</v>
      </c>
      <c r="K527" s="190" t="s">
        <v>351</v>
      </c>
      <c r="L527" s="190" t="s">
        <v>357</v>
      </c>
      <c r="M527" s="192" t="s">
        <v>358</v>
      </c>
      <c r="N527" s="193">
        <v>2</v>
      </c>
      <c r="O527" s="193">
        <v>213273</v>
      </c>
      <c r="P527" s="194">
        <v>426546</v>
      </c>
      <c r="Q527" s="194">
        <v>42654.6</v>
      </c>
      <c r="R527" s="194">
        <v>469200.6</v>
      </c>
      <c r="S527" s="192"/>
      <c r="T527" s="192" t="s">
        <v>310</v>
      </c>
      <c r="U527" s="190">
        <v>60591</v>
      </c>
      <c r="V527" s="190"/>
      <c r="W527" s="195" t="s">
        <v>356</v>
      </c>
      <c r="X527" s="196" t="str">
        <f>+IFERROR(VLOOKUP($F527,'[2]Chuyển đổi mã'!$A$1:$C$91,3,0),$F527)&amp;AC527</f>
        <v>Lotte North323555</v>
      </c>
      <c r="Y527" s="196" t="str">
        <f>IFERROR(VLOOKUP($F527,'[2]Chuyển đổi mã'!$A$1:$C$184,3,0),F527)</f>
        <v>Lotte North</v>
      </c>
      <c r="Z527" s="196" t="str">
        <f>VLOOKUP($G527,'[2]Thông tin NPP'!$B:$D,3,0)</f>
        <v>Lotte North</v>
      </c>
      <c r="AA527" s="196" t="str">
        <f t="shared" si="120"/>
        <v>Na 17g - M</v>
      </c>
      <c r="AB527" s="196" t="str">
        <f>IFERROR(VLOOKUP(DAY(B527),'[2]Chuyển đổi mã'!$F$1:$G$32,2,0),0)</f>
        <v>W3</v>
      </c>
      <c r="AC527" s="196" t="str">
        <f t="shared" si="121"/>
        <v>323555</v>
      </c>
      <c r="AD527" s="196" t="str">
        <f t="shared" si="122"/>
        <v>NPP</v>
      </c>
      <c r="AE527" s="196" t="str">
        <f t="shared" si="123"/>
        <v>NPP323555</v>
      </c>
      <c r="AF527" s="196">
        <f t="shared" si="124"/>
        <v>0</v>
      </c>
    </row>
    <row r="528" spans="1:32" ht="12.95" hidden="1" customHeight="1">
      <c r="A528" s="190">
        <v>62761</v>
      </c>
      <c r="B528" s="191">
        <v>43572</v>
      </c>
      <c r="C528" s="190" t="s">
        <v>457</v>
      </c>
      <c r="D528" s="190" t="s">
        <v>622</v>
      </c>
      <c r="E528" s="190" t="s">
        <v>346</v>
      </c>
      <c r="F528" s="190" t="s">
        <v>519</v>
      </c>
      <c r="G528" s="192" t="s">
        <v>520</v>
      </c>
      <c r="H528" s="192" t="s">
        <v>296</v>
      </c>
      <c r="I528" s="192" t="s">
        <v>395</v>
      </c>
      <c r="J528" s="192" t="s">
        <v>350</v>
      </c>
      <c r="K528" s="190" t="s">
        <v>351</v>
      </c>
      <c r="L528" s="190" t="s">
        <v>363</v>
      </c>
      <c r="M528" s="192" t="s">
        <v>364</v>
      </c>
      <c r="N528" s="193">
        <v>10</v>
      </c>
      <c r="O528" s="193">
        <v>320000</v>
      </c>
      <c r="P528" s="194">
        <v>3200000</v>
      </c>
      <c r="Q528" s="194">
        <v>320000</v>
      </c>
      <c r="R528" s="194">
        <v>3520000</v>
      </c>
      <c r="S528" s="192"/>
      <c r="T528" s="192" t="s">
        <v>310</v>
      </c>
      <c r="U528" s="190">
        <v>60591</v>
      </c>
      <c r="V528" s="190"/>
      <c r="W528" s="195" t="s">
        <v>356</v>
      </c>
      <c r="X528" s="196" t="str">
        <f>+IFERROR(VLOOKUP($F528,'[2]Chuyển đổi mã'!$A$1:$C$91,3,0),$F528)&amp;AC528</f>
        <v>Lotte North323708</v>
      </c>
      <c r="Y528" s="196" t="str">
        <f>IFERROR(VLOOKUP($F528,'[2]Chuyển đổi mã'!$A$1:$C$184,3,0),F528)</f>
        <v>Lotte North</v>
      </c>
      <c r="Z528" s="196" t="str">
        <f>VLOOKUP($G528,'[2]Thông tin NPP'!$B:$D,3,0)</f>
        <v>Lotte North</v>
      </c>
      <c r="AA528" s="196" t="str">
        <f t="shared" si="120"/>
        <v>Nextar Bro</v>
      </c>
      <c r="AB528" s="196" t="str">
        <f>IFERROR(VLOOKUP(DAY(B528),'[2]Chuyển đổi mã'!$F$1:$G$32,2,0),0)</f>
        <v>W3</v>
      </c>
      <c r="AC528" s="196" t="str">
        <f t="shared" si="121"/>
        <v>323708</v>
      </c>
      <c r="AD528" s="196" t="str">
        <f t="shared" si="122"/>
        <v>NPP</v>
      </c>
      <c r="AE528" s="196" t="str">
        <f t="shared" si="123"/>
        <v>NPP323708</v>
      </c>
      <c r="AF528" s="196">
        <f t="shared" si="124"/>
        <v>0</v>
      </c>
    </row>
    <row r="529" spans="1:32" ht="12.95" customHeight="1">
      <c r="A529" s="190">
        <v>62762</v>
      </c>
      <c r="B529" s="191">
        <v>43572</v>
      </c>
      <c r="C529" s="190" t="s">
        <v>457</v>
      </c>
      <c r="D529" s="190" t="s">
        <v>623</v>
      </c>
      <c r="E529" s="190" t="s">
        <v>346</v>
      </c>
      <c r="F529" s="190" t="s">
        <v>487</v>
      </c>
      <c r="G529" s="192" t="s">
        <v>488</v>
      </c>
      <c r="H529" s="192" t="s">
        <v>296</v>
      </c>
      <c r="I529" s="192" t="s">
        <v>349</v>
      </c>
      <c r="J529" s="192" t="s">
        <v>350</v>
      </c>
      <c r="K529" s="190" t="s">
        <v>351</v>
      </c>
      <c r="L529" s="190" t="s">
        <v>387</v>
      </c>
      <c r="M529" s="192" t="s">
        <v>388</v>
      </c>
      <c r="N529" s="193">
        <v>80</v>
      </c>
      <c r="O529" s="193">
        <v>340000</v>
      </c>
      <c r="P529" s="194">
        <v>27200000</v>
      </c>
      <c r="Q529" s="194">
        <v>2720000</v>
      </c>
      <c r="R529" s="194">
        <v>29920000</v>
      </c>
      <c r="S529" s="192"/>
      <c r="T529" s="192" t="s">
        <v>310</v>
      </c>
      <c r="U529" s="190">
        <v>60589</v>
      </c>
      <c r="V529" s="190"/>
      <c r="W529" s="195" t="s">
        <v>356</v>
      </c>
      <c r="X529" s="196" t="str">
        <f>+IFERROR(VLOOKUP($F529,'[2]Chuyển đổi mã'!$A$1:$C$91,3,0),$F529)&amp;AC529</f>
        <v>SG Coop323620</v>
      </c>
      <c r="Y529" s="196" t="str">
        <f>IFERROR(VLOOKUP($F529,'[2]Chuyển đổi mã'!$A$1:$C$184,3,0),F529)</f>
        <v>SG Coop</v>
      </c>
      <c r="Z529" s="196" t="str">
        <f>VLOOKUP($G529,'[2]Thông tin NPP'!$B:$D,3,0)</f>
        <v>SÀI GÒN CO.OP</v>
      </c>
      <c r="AA529" s="196" t="str">
        <f t="shared" si="120"/>
        <v>Ahh 16g</v>
      </c>
      <c r="AB529" s="196" t="str">
        <f>IFERROR(VLOOKUP(DAY(B529),'[2]Chuyển đổi mã'!$F$1:$G$32,2,0),0)</f>
        <v>W3</v>
      </c>
      <c r="AC529" s="196" t="str">
        <f t="shared" si="121"/>
        <v>323620</v>
      </c>
      <c r="AD529" s="196" t="str">
        <f t="shared" si="122"/>
        <v>NPP</v>
      </c>
      <c r="AE529" s="196" t="str">
        <f t="shared" si="123"/>
        <v>NPP323620</v>
      </c>
      <c r="AF529" s="196">
        <f t="shared" si="124"/>
        <v>0</v>
      </c>
    </row>
    <row r="530" spans="1:32" ht="12.95" customHeight="1">
      <c r="A530" s="190">
        <v>62762</v>
      </c>
      <c r="B530" s="191">
        <v>43572</v>
      </c>
      <c r="C530" s="190" t="s">
        <v>457</v>
      </c>
      <c r="D530" s="190" t="s">
        <v>623</v>
      </c>
      <c r="E530" s="190" t="s">
        <v>346</v>
      </c>
      <c r="F530" s="190" t="s">
        <v>487</v>
      </c>
      <c r="G530" s="192" t="s">
        <v>488</v>
      </c>
      <c r="H530" s="192" t="s">
        <v>296</v>
      </c>
      <c r="I530" s="192" t="s">
        <v>349</v>
      </c>
      <c r="J530" s="192" t="s">
        <v>350</v>
      </c>
      <c r="K530" s="190" t="s">
        <v>351</v>
      </c>
      <c r="L530" s="190" t="s">
        <v>378</v>
      </c>
      <c r="M530" s="192" t="s">
        <v>379</v>
      </c>
      <c r="N530" s="193">
        <v>50</v>
      </c>
      <c r="O530" s="193">
        <v>204000</v>
      </c>
      <c r="P530" s="194">
        <v>10200000</v>
      </c>
      <c r="Q530" s="194">
        <v>1020000</v>
      </c>
      <c r="R530" s="194">
        <v>11220000</v>
      </c>
      <c r="S530" s="192"/>
      <c r="T530" s="192" t="s">
        <v>310</v>
      </c>
      <c r="U530" s="190">
        <v>60589</v>
      </c>
      <c r="V530" s="190"/>
      <c r="W530" s="195" t="s">
        <v>356</v>
      </c>
      <c r="X530" s="196" t="str">
        <f>+IFERROR(VLOOKUP($F530,'[2]Chuyển đổi mã'!$A$1:$C$91,3,0),$F530)&amp;AC530</f>
        <v>SG Coop321238</v>
      </c>
      <c r="Y530" s="196" t="str">
        <f>IFERROR(VLOOKUP($F530,'[2]Chuyển đổi mã'!$A$1:$C$184,3,0),F530)</f>
        <v>SG Coop</v>
      </c>
      <c r="Z530" s="196" t="str">
        <f>VLOOKUP($G530,'[2]Thông tin NPP'!$B:$D,3,0)</f>
        <v>SÀI GÒN CO.OP</v>
      </c>
      <c r="AA530" s="196" t="str">
        <f t="shared" si="120"/>
        <v>Richoco Wf</v>
      </c>
      <c r="AB530" s="196" t="str">
        <f>IFERROR(VLOOKUP(DAY(B530),'[2]Chuyển đổi mã'!$F$1:$G$32,2,0),0)</f>
        <v>W3</v>
      </c>
      <c r="AC530" s="196" t="str">
        <f t="shared" si="121"/>
        <v>321238</v>
      </c>
      <c r="AD530" s="196" t="str">
        <f t="shared" si="122"/>
        <v>NPP</v>
      </c>
      <c r="AE530" s="196" t="str">
        <f t="shared" si="123"/>
        <v>NPP321238</v>
      </c>
      <c r="AF530" s="196">
        <f t="shared" si="124"/>
        <v>0</v>
      </c>
    </row>
    <row r="531" spans="1:32" ht="12.95" customHeight="1">
      <c r="A531" s="190">
        <v>62762</v>
      </c>
      <c r="B531" s="191">
        <v>43572</v>
      </c>
      <c r="C531" s="190" t="s">
        <v>457</v>
      </c>
      <c r="D531" s="190" t="s">
        <v>623</v>
      </c>
      <c r="E531" s="190" t="s">
        <v>346</v>
      </c>
      <c r="F531" s="190" t="s">
        <v>487</v>
      </c>
      <c r="G531" s="192" t="s">
        <v>488</v>
      </c>
      <c r="H531" s="192" t="s">
        <v>296</v>
      </c>
      <c r="I531" s="192" t="s">
        <v>349</v>
      </c>
      <c r="J531" s="192" t="s">
        <v>350</v>
      </c>
      <c r="K531" s="190" t="s">
        <v>351</v>
      </c>
      <c r="L531" s="190" t="s">
        <v>357</v>
      </c>
      <c r="M531" s="192" t="s">
        <v>358</v>
      </c>
      <c r="N531" s="193">
        <v>100</v>
      </c>
      <c r="O531" s="193">
        <v>173400</v>
      </c>
      <c r="P531" s="194">
        <v>17340000</v>
      </c>
      <c r="Q531" s="194">
        <v>1734000</v>
      </c>
      <c r="R531" s="194">
        <v>19074000</v>
      </c>
      <c r="S531" s="192" t="s">
        <v>490</v>
      </c>
      <c r="T531" s="192" t="s">
        <v>491</v>
      </c>
      <c r="U531" s="190">
        <v>60589</v>
      </c>
      <c r="V531" s="190"/>
      <c r="W531" s="195" t="s">
        <v>356</v>
      </c>
      <c r="X531" s="196" t="str">
        <f>+IFERROR(VLOOKUP($F531,'[2]Chuyển đổi mã'!$A$1:$C$91,3,0),$F531)&amp;AC531</f>
        <v>SG Coop323555</v>
      </c>
      <c r="Y531" s="196" t="str">
        <f>IFERROR(VLOOKUP($F531,'[2]Chuyển đổi mã'!$A$1:$C$184,3,0),F531)</f>
        <v>SG Coop</v>
      </c>
      <c r="Z531" s="196" t="str">
        <f>VLOOKUP($G531,'[2]Thông tin NPP'!$B:$D,3,0)</f>
        <v>SÀI GÒN CO.OP</v>
      </c>
      <c r="AA531" s="196" t="str">
        <f t="shared" si="120"/>
        <v>Na 17g - M</v>
      </c>
      <c r="AB531" s="196" t="str">
        <f>IFERROR(VLOOKUP(DAY(B531),'[2]Chuyển đổi mã'!$F$1:$G$32,2,0),0)</f>
        <v>W3</v>
      </c>
      <c r="AC531" s="196" t="str">
        <f t="shared" si="121"/>
        <v>323555</v>
      </c>
      <c r="AD531" s="196" t="str">
        <f t="shared" si="122"/>
        <v>NPP</v>
      </c>
      <c r="AE531" s="196" t="str">
        <f t="shared" si="123"/>
        <v>NPP323555</v>
      </c>
      <c r="AF531" s="196">
        <f t="shared" si="124"/>
        <v>0</v>
      </c>
    </row>
    <row r="532" spans="1:32" ht="12.95" customHeight="1">
      <c r="A532" s="190">
        <v>62762</v>
      </c>
      <c r="B532" s="191">
        <v>43572</v>
      </c>
      <c r="C532" s="190" t="s">
        <v>457</v>
      </c>
      <c r="D532" s="190" t="s">
        <v>623</v>
      </c>
      <c r="E532" s="190" t="s">
        <v>346</v>
      </c>
      <c r="F532" s="190" t="s">
        <v>487</v>
      </c>
      <c r="G532" s="192" t="s">
        <v>488</v>
      </c>
      <c r="H532" s="192" t="s">
        <v>296</v>
      </c>
      <c r="I532" s="192" t="s">
        <v>349</v>
      </c>
      <c r="J532" s="192" t="s">
        <v>350</v>
      </c>
      <c r="K532" s="190" t="s">
        <v>351</v>
      </c>
      <c r="L532" s="190" t="s">
        <v>359</v>
      </c>
      <c r="M532" s="192" t="s">
        <v>360</v>
      </c>
      <c r="N532" s="193">
        <v>250</v>
      </c>
      <c r="O532" s="193">
        <v>300000</v>
      </c>
      <c r="P532" s="194">
        <v>75000000</v>
      </c>
      <c r="Q532" s="194">
        <v>7500000</v>
      </c>
      <c r="R532" s="194">
        <v>82500000</v>
      </c>
      <c r="S532" s="192"/>
      <c r="T532" s="192" t="s">
        <v>310</v>
      </c>
      <c r="U532" s="190">
        <v>60589</v>
      </c>
      <c r="V532" s="190"/>
      <c r="W532" s="195" t="s">
        <v>356</v>
      </c>
      <c r="X532" s="196" t="str">
        <f>+IFERROR(VLOOKUP($F532,'[2]Chuyển đổi mã'!$A$1:$C$91,3,0),$F532)&amp;AC532</f>
        <v>SG Coop320445</v>
      </c>
      <c r="Y532" s="196" t="str">
        <f>IFERROR(VLOOKUP($F532,'[2]Chuyển đổi mã'!$A$1:$C$184,3,0),F532)</f>
        <v>SG Coop</v>
      </c>
      <c r="Z532" s="196" t="str">
        <f>VLOOKUP($G532,'[2]Thông tin NPP'!$B:$D,3,0)</f>
        <v>SÀI GÒN CO.OP</v>
      </c>
      <c r="AA532" s="196" t="str">
        <f t="shared" si="120"/>
        <v>Na 58g</v>
      </c>
      <c r="AB532" s="196" t="str">
        <f>IFERROR(VLOOKUP(DAY(B532),'[2]Chuyển đổi mã'!$F$1:$G$32,2,0),0)</f>
        <v>W3</v>
      </c>
      <c r="AC532" s="196" t="str">
        <f t="shared" si="121"/>
        <v>320445</v>
      </c>
      <c r="AD532" s="196" t="str">
        <f t="shared" si="122"/>
        <v>NPP</v>
      </c>
      <c r="AE532" s="196" t="str">
        <f t="shared" si="123"/>
        <v>NPP320445</v>
      </c>
      <c r="AF532" s="196">
        <f t="shared" si="124"/>
        <v>0</v>
      </c>
    </row>
    <row r="533" spans="1:32" ht="12.95" customHeight="1">
      <c r="A533" s="190">
        <v>62762</v>
      </c>
      <c r="B533" s="191">
        <v>43572</v>
      </c>
      <c r="C533" s="190" t="s">
        <v>457</v>
      </c>
      <c r="D533" s="190" t="s">
        <v>623</v>
      </c>
      <c r="E533" s="190" t="s">
        <v>346</v>
      </c>
      <c r="F533" s="190" t="s">
        <v>487</v>
      </c>
      <c r="G533" s="192" t="s">
        <v>488</v>
      </c>
      <c r="H533" s="192" t="s">
        <v>296</v>
      </c>
      <c r="I533" s="192" t="s">
        <v>349</v>
      </c>
      <c r="J533" s="192" t="s">
        <v>350</v>
      </c>
      <c r="K533" s="190" t="s">
        <v>351</v>
      </c>
      <c r="L533" s="190" t="s">
        <v>361</v>
      </c>
      <c r="M533" s="192" t="s">
        <v>362</v>
      </c>
      <c r="N533" s="193">
        <v>120</v>
      </c>
      <c r="O533" s="193">
        <v>300000</v>
      </c>
      <c r="P533" s="194">
        <v>36000000</v>
      </c>
      <c r="Q533" s="194">
        <v>3600000</v>
      </c>
      <c r="R533" s="194">
        <v>39600000</v>
      </c>
      <c r="S533" s="192"/>
      <c r="T533" s="192" t="s">
        <v>310</v>
      </c>
      <c r="U533" s="190">
        <v>60589</v>
      </c>
      <c r="V533" s="190"/>
      <c r="W533" s="195" t="s">
        <v>356</v>
      </c>
      <c r="X533" s="196" t="str">
        <f>+IFERROR(VLOOKUP($F533,'[2]Chuyển đổi mã'!$A$1:$C$91,3,0),$F533)&amp;AC533</f>
        <v>SG Coop331017</v>
      </c>
      <c r="Y533" s="196" t="str">
        <f>IFERROR(VLOOKUP($F533,'[2]Chuyển đổi mã'!$A$1:$C$184,3,0),F533)</f>
        <v>SG Coop</v>
      </c>
      <c r="Z533" s="196" t="str">
        <f>VLOOKUP($G533,'[2]Thông tin NPP'!$B:$D,3,0)</f>
        <v>SÀI GÒN CO.OP</v>
      </c>
      <c r="AA533" s="196" t="str">
        <f t="shared" si="120"/>
        <v>Richoco Wf</v>
      </c>
      <c r="AB533" s="196" t="str">
        <f>IFERROR(VLOOKUP(DAY(B533),'[2]Chuyển đổi mã'!$F$1:$G$32,2,0),0)</f>
        <v>W3</v>
      </c>
      <c r="AC533" s="196" t="str">
        <f t="shared" si="121"/>
        <v>331017</v>
      </c>
      <c r="AD533" s="196" t="str">
        <f t="shared" si="122"/>
        <v>NPP</v>
      </c>
      <c r="AE533" s="196" t="str">
        <f t="shared" si="123"/>
        <v>NPP331017</v>
      </c>
      <c r="AF533" s="196">
        <f t="shared" si="124"/>
        <v>0</v>
      </c>
    </row>
    <row r="534" spans="1:32" ht="12.95" customHeight="1">
      <c r="A534" s="190">
        <v>62763</v>
      </c>
      <c r="B534" s="191">
        <v>43572</v>
      </c>
      <c r="C534" s="190" t="s">
        <v>457</v>
      </c>
      <c r="D534" s="190" t="s">
        <v>624</v>
      </c>
      <c r="E534" s="190" t="s">
        <v>346</v>
      </c>
      <c r="F534" s="190" t="s">
        <v>487</v>
      </c>
      <c r="G534" s="192" t="s">
        <v>488</v>
      </c>
      <c r="H534" s="192" t="s">
        <v>296</v>
      </c>
      <c r="I534" s="192" t="s">
        <v>349</v>
      </c>
      <c r="J534" s="192" t="s">
        <v>350</v>
      </c>
      <c r="K534" s="190" t="s">
        <v>351</v>
      </c>
      <c r="L534" s="190" t="s">
        <v>357</v>
      </c>
      <c r="M534" s="192" t="s">
        <v>358</v>
      </c>
      <c r="N534" s="193">
        <v>700</v>
      </c>
      <c r="O534" s="193">
        <v>173400</v>
      </c>
      <c r="P534" s="194">
        <v>121380000</v>
      </c>
      <c r="Q534" s="194">
        <v>12138000</v>
      </c>
      <c r="R534" s="194">
        <v>133518000</v>
      </c>
      <c r="S534" s="192" t="s">
        <v>490</v>
      </c>
      <c r="T534" s="192" t="s">
        <v>491</v>
      </c>
      <c r="U534" s="190">
        <v>60592</v>
      </c>
      <c r="V534" s="190"/>
      <c r="W534" s="195" t="s">
        <v>356</v>
      </c>
      <c r="X534" s="196" t="str">
        <f>+IFERROR(VLOOKUP($F534,'[2]Chuyển đổi mã'!$A$1:$C$91,3,0),$F534)&amp;AC534</f>
        <v>SG Coop323555</v>
      </c>
      <c r="Y534" s="196" t="str">
        <f>IFERROR(VLOOKUP($F534,'[2]Chuyển đổi mã'!$A$1:$C$184,3,0),F534)</f>
        <v>SG Coop</v>
      </c>
      <c r="Z534" s="196" t="str">
        <f>VLOOKUP($G534,'[2]Thông tin NPP'!$B:$D,3,0)</f>
        <v>SÀI GÒN CO.OP</v>
      </c>
      <c r="AA534" s="196" t="str">
        <f t="shared" si="120"/>
        <v>Na 17g - M</v>
      </c>
      <c r="AB534" s="196" t="str">
        <f>IFERROR(VLOOKUP(DAY(B534),'[2]Chuyển đổi mã'!$F$1:$G$32,2,0),0)</f>
        <v>W3</v>
      </c>
      <c r="AC534" s="196" t="str">
        <f t="shared" si="121"/>
        <v>323555</v>
      </c>
      <c r="AD534" s="196" t="str">
        <f t="shared" si="122"/>
        <v>NPP</v>
      </c>
      <c r="AE534" s="196" t="str">
        <f t="shared" si="123"/>
        <v>NPP323555</v>
      </c>
      <c r="AF534" s="196">
        <f t="shared" si="124"/>
        <v>0</v>
      </c>
    </row>
    <row r="535" spans="1:32" ht="12.95" customHeight="1">
      <c r="A535" s="190">
        <v>62764</v>
      </c>
      <c r="B535" s="191">
        <v>43572</v>
      </c>
      <c r="C535" s="190" t="s">
        <v>457</v>
      </c>
      <c r="D535" s="190" t="s">
        <v>625</v>
      </c>
      <c r="E535" s="190" t="s">
        <v>346</v>
      </c>
      <c r="F535" s="190" t="s">
        <v>493</v>
      </c>
      <c r="G535" s="192" t="s">
        <v>494</v>
      </c>
      <c r="H535" s="192" t="s">
        <v>296</v>
      </c>
      <c r="I535" s="192" t="s">
        <v>349</v>
      </c>
      <c r="J535" s="192" t="s">
        <v>350</v>
      </c>
      <c r="K535" s="190" t="s">
        <v>351</v>
      </c>
      <c r="L535" s="190" t="s">
        <v>387</v>
      </c>
      <c r="M535" s="192" t="s">
        <v>388</v>
      </c>
      <c r="N535" s="193">
        <v>20</v>
      </c>
      <c r="O535" s="193">
        <v>340000</v>
      </c>
      <c r="P535" s="194">
        <v>6800000</v>
      </c>
      <c r="Q535" s="194">
        <v>680000</v>
      </c>
      <c r="R535" s="194">
        <v>7480000</v>
      </c>
      <c r="S535" s="192"/>
      <c r="T535" s="192" t="s">
        <v>310</v>
      </c>
      <c r="U535" s="190">
        <v>60590</v>
      </c>
      <c r="V535" s="190"/>
      <c r="W535" s="195" t="s">
        <v>356</v>
      </c>
      <c r="X535" s="196" t="str">
        <f>+IFERROR(VLOOKUP($F535,'[2]Chuyển đổi mã'!$A$1:$C$91,3,0),$F535)&amp;AC535</f>
        <v>SG Coop Miền Tây323620</v>
      </c>
      <c r="Y535" s="196" t="str">
        <f>IFERROR(VLOOKUP($F535,'[2]Chuyển đổi mã'!$A$1:$C$184,3,0),F535)</f>
        <v>SG Coop Miền Tây</v>
      </c>
      <c r="Z535" s="196" t="str">
        <f>VLOOKUP($G535,'[2]Thông tin NPP'!$B:$D,3,0)</f>
        <v>SÀI GÒN CO.OP</v>
      </c>
      <c r="AA535" s="196" t="str">
        <f t="shared" ref="AA535:AA547" si="125">LEFT($M535,10)</f>
        <v>Ahh 16g</v>
      </c>
      <c r="AB535" s="196" t="str">
        <f>IFERROR(VLOOKUP(DAY(B535),'[2]Chuyển đổi mã'!$F$1:$G$32,2,0),0)</f>
        <v>W3</v>
      </c>
      <c r="AC535" s="196" t="str">
        <f t="shared" ref="AC535:AC547" si="126">LEFT(L535,6)</f>
        <v>323620</v>
      </c>
      <c r="AD535" s="196" t="str">
        <f t="shared" ref="AD535:AD547" si="127">LEFT(F535,3)</f>
        <v>NPP</v>
      </c>
      <c r="AE535" s="196" t="str">
        <f t="shared" ref="AE535:AE547" si="128">AD535&amp;AC535</f>
        <v>NPP323620</v>
      </c>
      <c r="AF535" s="196">
        <f t="shared" ref="AF535:AF547" si="129">IF(RIGHT(L535,1)="P","P",0)</f>
        <v>0</v>
      </c>
    </row>
    <row r="536" spans="1:32" ht="12.95" customHeight="1">
      <c r="A536" s="190">
        <v>62764</v>
      </c>
      <c r="B536" s="191">
        <v>43572</v>
      </c>
      <c r="C536" s="190" t="s">
        <v>457</v>
      </c>
      <c r="D536" s="190" t="s">
        <v>625</v>
      </c>
      <c r="E536" s="190" t="s">
        <v>346</v>
      </c>
      <c r="F536" s="190" t="s">
        <v>493</v>
      </c>
      <c r="G536" s="192" t="s">
        <v>494</v>
      </c>
      <c r="H536" s="192" t="s">
        <v>296</v>
      </c>
      <c r="I536" s="192" t="s">
        <v>349</v>
      </c>
      <c r="J536" s="192" t="s">
        <v>350</v>
      </c>
      <c r="K536" s="190" t="s">
        <v>351</v>
      </c>
      <c r="L536" s="190" t="s">
        <v>378</v>
      </c>
      <c r="M536" s="192" t="s">
        <v>379</v>
      </c>
      <c r="N536" s="193">
        <v>10</v>
      </c>
      <c r="O536" s="193">
        <v>204000</v>
      </c>
      <c r="P536" s="194">
        <v>2040000</v>
      </c>
      <c r="Q536" s="194">
        <v>204000</v>
      </c>
      <c r="R536" s="194">
        <v>2244000</v>
      </c>
      <c r="S536" s="192"/>
      <c r="T536" s="192" t="s">
        <v>310</v>
      </c>
      <c r="U536" s="190">
        <v>60590</v>
      </c>
      <c r="V536" s="190"/>
      <c r="W536" s="195" t="s">
        <v>356</v>
      </c>
      <c r="X536" s="196" t="str">
        <f>+IFERROR(VLOOKUP($F536,'[2]Chuyển đổi mã'!$A$1:$C$91,3,0),$F536)&amp;AC536</f>
        <v>SG Coop Miền Tây321238</v>
      </c>
      <c r="Y536" s="196" t="str">
        <f>IFERROR(VLOOKUP($F536,'[2]Chuyển đổi mã'!$A$1:$C$184,3,0),F536)</f>
        <v>SG Coop Miền Tây</v>
      </c>
      <c r="Z536" s="196" t="str">
        <f>VLOOKUP($G536,'[2]Thông tin NPP'!$B:$D,3,0)</f>
        <v>SÀI GÒN CO.OP</v>
      </c>
      <c r="AA536" s="196" t="str">
        <f t="shared" si="125"/>
        <v>Richoco Wf</v>
      </c>
      <c r="AB536" s="196" t="str">
        <f>IFERROR(VLOOKUP(DAY(B536),'[2]Chuyển đổi mã'!$F$1:$G$32,2,0),0)</f>
        <v>W3</v>
      </c>
      <c r="AC536" s="196" t="str">
        <f t="shared" si="126"/>
        <v>321238</v>
      </c>
      <c r="AD536" s="196" t="str">
        <f t="shared" si="127"/>
        <v>NPP</v>
      </c>
      <c r="AE536" s="196" t="str">
        <f t="shared" si="128"/>
        <v>NPP321238</v>
      </c>
      <c r="AF536" s="196">
        <f t="shared" si="129"/>
        <v>0</v>
      </c>
    </row>
    <row r="537" spans="1:32" ht="12.95" customHeight="1">
      <c r="A537" s="190">
        <v>62764</v>
      </c>
      <c r="B537" s="191">
        <v>43572</v>
      </c>
      <c r="C537" s="190" t="s">
        <v>457</v>
      </c>
      <c r="D537" s="190" t="s">
        <v>625</v>
      </c>
      <c r="E537" s="190" t="s">
        <v>346</v>
      </c>
      <c r="F537" s="190" t="s">
        <v>493</v>
      </c>
      <c r="G537" s="192" t="s">
        <v>494</v>
      </c>
      <c r="H537" s="192" t="s">
        <v>296</v>
      </c>
      <c r="I537" s="192" t="s">
        <v>349</v>
      </c>
      <c r="J537" s="192" t="s">
        <v>350</v>
      </c>
      <c r="K537" s="190" t="s">
        <v>351</v>
      </c>
      <c r="L537" s="190" t="s">
        <v>357</v>
      </c>
      <c r="M537" s="192" t="s">
        <v>358</v>
      </c>
      <c r="N537" s="193">
        <v>200</v>
      </c>
      <c r="O537" s="193">
        <v>173400</v>
      </c>
      <c r="P537" s="194">
        <v>34680000</v>
      </c>
      <c r="Q537" s="194">
        <v>3468000</v>
      </c>
      <c r="R537" s="194">
        <v>38148000</v>
      </c>
      <c r="S537" s="192" t="s">
        <v>490</v>
      </c>
      <c r="T537" s="192" t="s">
        <v>491</v>
      </c>
      <c r="U537" s="190">
        <v>60590</v>
      </c>
      <c r="V537" s="190"/>
      <c r="W537" s="195" t="s">
        <v>356</v>
      </c>
      <c r="X537" s="196" t="str">
        <f>+IFERROR(VLOOKUP($F537,'[2]Chuyển đổi mã'!$A$1:$C$91,3,0),$F537)&amp;AC537</f>
        <v>SG Coop Miền Tây323555</v>
      </c>
      <c r="Y537" s="196" t="str">
        <f>IFERROR(VLOOKUP($F537,'[2]Chuyển đổi mã'!$A$1:$C$184,3,0),F537)</f>
        <v>SG Coop Miền Tây</v>
      </c>
      <c r="Z537" s="196" t="str">
        <f>VLOOKUP($G537,'[2]Thông tin NPP'!$B:$D,3,0)</f>
        <v>SÀI GÒN CO.OP</v>
      </c>
      <c r="AA537" s="196" t="str">
        <f t="shared" si="125"/>
        <v>Na 17g - M</v>
      </c>
      <c r="AB537" s="196" t="str">
        <f>IFERROR(VLOOKUP(DAY(B537),'[2]Chuyển đổi mã'!$F$1:$G$32,2,0),0)</f>
        <v>W3</v>
      </c>
      <c r="AC537" s="196" t="str">
        <f t="shared" si="126"/>
        <v>323555</v>
      </c>
      <c r="AD537" s="196" t="str">
        <f t="shared" si="127"/>
        <v>NPP</v>
      </c>
      <c r="AE537" s="196" t="str">
        <f t="shared" si="128"/>
        <v>NPP323555</v>
      </c>
      <c r="AF537" s="196">
        <f t="shared" si="129"/>
        <v>0</v>
      </c>
    </row>
    <row r="538" spans="1:32" ht="12.95" customHeight="1">
      <c r="A538" s="190">
        <v>62764</v>
      </c>
      <c r="B538" s="191">
        <v>43572</v>
      </c>
      <c r="C538" s="190" t="s">
        <v>457</v>
      </c>
      <c r="D538" s="190" t="s">
        <v>625</v>
      </c>
      <c r="E538" s="190" t="s">
        <v>346</v>
      </c>
      <c r="F538" s="190" t="s">
        <v>493</v>
      </c>
      <c r="G538" s="192" t="s">
        <v>494</v>
      </c>
      <c r="H538" s="192" t="s">
        <v>296</v>
      </c>
      <c r="I538" s="192" t="s">
        <v>349</v>
      </c>
      <c r="J538" s="192" t="s">
        <v>350</v>
      </c>
      <c r="K538" s="190" t="s">
        <v>351</v>
      </c>
      <c r="L538" s="190" t="s">
        <v>359</v>
      </c>
      <c r="M538" s="192" t="s">
        <v>360</v>
      </c>
      <c r="N538" s="193">
        <v>30</v>
      </c>
      <c r="O538" s="193">
        <v>300000</v>
      </c>
      <c r="P538" s="194">
        <v>9000000</v>
      </c>
      <c r="Q538" s="194">
        <v>900000</v>
      </c>
      <c r="R538" s="194">
        <v>9900000</v>
      </c>
      <c r="S538" s="192"/>
      <c r="T538" s="192" t="s">
        <v>310</v>
      </c>
      <c r="U538" s="190">
        <v>60590</v>
      </c>
      <c r="V538" s="190"/>
      <c r="W538" s="195" t="s">
        <v>356</v>
      </c>
      <c r="X538" s="196" t="str">
        <f>+IFERROR(VLOOKUP($F538,'[2]Chuyển đổi mã'!$A$1:$C$91,3,0),$F538)&amp;AC538</f>
        <v>SG Coop Miền Tây320445</v>
      </c>
      <c r="Y538" s="196" t="str">
        <f>IFERROR(VLOOKUP($F538,'[2]Chuyển đổi mã'!$A$1:$C$184,3,0),F538)</f>
        <v>SG Coop Miền Tây</v>
      </c>
      <c r="Z538" s="196" t="str">
        <f>VLOOKUP($G538,'[2]Thông tin NPP'!$B:$D,3,0)</f>
        <v>SÀI GÒN CO.OP</v>
      </c>
      <c r="AA538" s="196" t="str">
        <f t="shared" si="125"/>
        <v>Na 58g</v>
      </c>
      <c r="AB538" s="196" t="str">
        <f>IFERROR(VLOOKUP(DAY(B538),'[2]Chuyển đổi mã'!$F$1:$G$32,2,0),0)</f>
        <v>W3</v>
      </c>
      <c r="AC538" s="196" t="str">
        <f t="shared" si="126"/>
        <v>320445</v>
      </c>
      <c r="AD538" s="196" t="str">
        <f t="shared" si="127"/>
        <v>NPP</v>
      </c>
      <c r="AE538" s="196" t="str">
        <f t="shared" si="128"/>
        <v>NPP320445</v>
      </c>
      <c r="AF538" s="196">
        <f t="shared" si="129"/>
        <v>0</v>
      </c>
    </row>
    <row r="539" spans="1:32" ht="12.95" customHeight="1">
      <c r="A539" s="190">
        <v>62764</v>
      </c>
      <c r="B539" s="191">
        <v>43572</v>
      </c>
      <c r="C539" s="190" t="s">
        <v>457</v>
      </c>
      <c r="D539" s="190" t="s">
        <v>625</v>
      </c>
      <c r="E539" s="190" t="s">
        <v>346</v>
      </c>
      <c r="F539" s="190" t="s">
        <v>493</v>
      </c>
      <c r="G539" s="192" t="s">
        <v>494</v>
      </c>
      <c r="H539" s="192" t="s">
        <v>296</v>
      </c>
      <c r="I539" s="192" t="s">
        <v>349</v>
      </c>
      <c r="J539" s="192" t="s">
        <v>350</v>
      </c>
      <c r="K539" s="190" t="s">
        <v>351</v>
      </c>
      <c r="L539" s="190" t="s">
        <v>361</v>
      </c>
      <c r="M539" s="192" t="s">
        <v>362</v>
      </c>
      <c r="N539" s="193">
        <v>20</v>
      </c>
      <c r="O539" s="193">
        <v>300000</v>
      </c>
      <c r="P539" s="194">
        <v>6000000</v>
      </c>
      <c r="Q539" s="194">
        <v>600000</v>
      </c>
      <c r="R539" s="194">
        <v>6600000</v>
      </c>
      <c r="S539" s="192"/>
      <c r="T539" s="192" t="s">
        <v>310</v>
      </c>
      <c r="U539" s="190">
        <v>60590</v>
      </c>
      <c r="V539" s="190"/>
      <c r="W539" s="195" t="s">
        <v>356</v>
      </c>
      <c r="X539" s="196" t="str">
        <f>+IFERROR(VLOOKUP($F539,'[2]Chuyển đổi mã'!$A$1:$C$91,3,0),$F539)&amp;AC539</f>
        <v>SG Coop Miền Tây331017</v>
      </c>
      <c r="Y539" s="196" t="str">
        <f>IFERROR(VLOOKUP($F539,'[2]Chuyển đổi mã'!$A$1:$C$184,3,0),F539)</f>
        <v>SG Coop Miền Tây</v>
      </c>
      <c r="Z539" s="196" t="str">
        <f>VLOOKUP($G539,'[2]Thông tin NPP'!$B:$D,3,0)</f>
        <v>SÀI GÒN CO.OP</v>
      </c>
      <c r="AA539" s="196" t="str">
        <f t="shared" si="125"/>
        <v>Richoco Wf</v>
      </c>
      <c r="AB539" s="196" t="str">
        <f>IFERROR(VLOOKUP(DAY(B539),'[2]Chuyển đổi mã'!$F$1:$G$32,2,0),0)</f>
        <v>W3</v>
      </c>
      <c r="AC539" s="196" t="str">
        <f t="shared" si="126"/>
        <v>331017</v>
      </c>
      <c r="AD539" s="196" t="str">
        <f t="shared" si="127"/>
        <v>NPP</v>
      </c>
      <c r="AE539" s="196" t="str">
        <f t="shared" si="128"/>
        <v>NPP331017</v>
      </c>
      <c r="AF539" s="196">
        <f t="shared" si="129"/>
        <v>0</v>
      </c>
    </row>
    <row r="540" spans="1:32" ht="12.95" hidden="1" customHeight="1">
      <c r="A540" s="190">
        <v>62777</v>
      </c>
      <c r="B540" s="191">
        <v>43573</v>
      </c>
      <c r="C540" s="190" t="s">
        <v>457</v>
      </c>
      <c r="D540" s="190" t="s">
        <v>626</v>
      </c>
      <c r="E540" s="190" t="s">
        <v>346</v>
      </c>
      <c r="F540" s="190" t="s">
        <v>503</v>
      </c>
      <c r="G540" s="192" t="s">
        <v>504</v>
      </c>
      <c r="H540" s="192" t="s">
        <v>296</v>
      </c>
      <c r="I540" s="192" t="s">
        <v>395</v>
      </c>
      <c r="J540" s="192" t="s">
        <v>350</v>
      </c>
      <c r="K540" s="190" t="s">
        <v>351</v>
      </c>
      <c r="L540" s="190" t="s">
        <v>352</v>
      </c>
      <c r="M540" s="192" t="s">
        <v>353</v>
      </c>
      <c r="N540" s="193">
        <v>2</v>
      </c>
      <c r="O540" s="193">
        <v>155455</v>
      </c>
      <c r="P540" s="194">
        <v>310910</v>
      </c>
      <c r="Q540" s="194">
        <v>31091</v>
      </c>
      <c r="R540" s="194">
        <v>342001</v>
      </c>
      <c r="S540" s="192"/>
      <c r="T540" s="192" t="s">
        <v>310</v>
      </c>
      <c r="U540" s="190">
        <v>60631</v>
      </c>
      <c r="V540" s="190"/>
      <c r="W540" s="195" t="s">
        <v>356</v>
      </c>
      <c r="X540" s="196" t="str">
        <f>+IFERROR(VLOOKUP($F540,'[2]Chuyển đổi mã'!$A$1:$C$91,3,0),$F540)&amp;AC540</f>
        <v>Big C North320463</v>
      </c>
      <c r="Y540" s="196" t="str">
        <f>IFERROR(VLOOKUP($F540,'[2]Chuyển đổi mã'!$A$1:$C$184,3,0),F540)</f>
        <v>Big C North</v>
      </c>
      <c r="Z540" s="196" t="str">
        <f>VLOOKUP($G540,'[2]Thông tin NPP'!$B:$D,3,0)</f>
        <v>BIG C North</v>
      </c>
      <c r="AA540" s="196" t="str">
        <f t="shared" si="125"/>
        <v>Na 8,5g</v>
      </c>
      <c r="AB540" s="196" t="str">
        <f>IFERROR(VLOOKUP(DAY(B540),'[2]Chuyển đổi mã'!$F$1:$G$32,2,0),0)</f>
        <v>W3</v>
      </c>
      <c r="AC540" s="196" t="str">
        <f t="shared" si="126"/>
        <v>320463</v>
      </c>
      <c r="AD540" s="196" t="str">
        <f t="shared" si="127"/>
        <v>NPP</v>
      </c>
      <c r="AE540" s="196" t="str">
        <f t="shared" si="128"/>
        <v>NPP320463</v>
      </c>
      <c r="AF540" s="196">
        <f t="shared" si="129"/>
        <v>0</v>
      </c>
    </row>
    <row r="541" spans="1:32" ht="12.95" hidden="1" customHeight="1">
      <c r="A541" s="190">
        <v>62777</v>
      </c>
      <c r="B541" s="191">
        <v>43573</v>
      </c>
      <c r="C541" s="190" t="s">
        <v>457</v>
      </c>
      <c r="D541" s="190" t="s">
        <v>626</v>
      </c>
      <c r="E541" s="190" t="s">
        <v>346</v>
      </c>
      <c r="F541" s="190" t="s">
        <v>503</v>
      </c>
      <c r="G541" s="192" t="s">
        <v>504</v>
      </c>
      <c r="H541" s="192" t="s">
        <v>296</v>
      </c>
      <c r="I541" s="192" t="s">
        <v>395</v>
      </c>
      <c r="J541" s="192" t="s">
        <v>350</v>
      </c>
      <c r="K541" s="190" t="s">
        <v>351</v>
      </c>
      <c r="L541" s="190" t="s">
        <v>387</v>
      </c>
      <c r="M541" s="192" t="s">
        <v>388</v>
      </c>
      <c r="N541" s="193">
        <v>3</v>
      </c>
      <c r="O541" s="193">
        <v>355455</v>
      </c>
      <c r="P541" s="194">
        <v>1066365</v>
      </c>
      <c r="Q541" s="194">
        <v>106636.5</v>
      </c>
      <c r="R541" s="194">
        <v>1173001.5</v>
      </c>
      <c r="S541" s="192"/>
      <c r="T541" s="192" t="s">
        <v>310</v>
      </c>
      <c r="U541" s="190">
        <v>60631</v>
      </c>
      <c r="V541" s="190"/>
      <c r="W541" s="195" t="s">
        <v>356</v>
      </c>
      <c r="X541" s="196" t="str">
        <f>+IFERROR(VLOOKUP($F541,'[2]Chuyển đổi mã'!$A$1:$C$91,3,0),$F541)&amp;AC541</f>
        <v>Big C North323620</v>
      </c>
      <c r="Y541" s="196" t="str">
        <f>IFERROR(VLOOKUP($F541,'[2]Chuyển đổi mã'!$A$1:$C$184,3,0),F541)</f>
        <v>Big C North</v>
      </c>
      <c r="Z541" s="196" t="str">
        <f>VLOOKUP($G541,'[2]Thông tin NPP'!$B:$D,3,0)</f>
        <v>BIG C North</v>
      </c>
      <c r="AA541" s="196" t="str">
        <f t="shared" si="125"/>
        <v>Ahh 16g</v>
      </c>
      <c r="AB541" s="196" t="str">
        <f>IFERROR(VLOOKUP(DAY(B541),'[2]Chuyển đổi mã'!$F$1:$G$32,2,0),0)</f>
        <v>W3</v>
      </c>
      <c r="AC541" s="196" t="str">
        <f t="shared" si="126"/>
        <v>323620</v>
      </c>
      <c r="AD541" s="196" t="str">
        <f t="shared" si="127"/>
        <v>NPP</v>
      </c>
      <c r="AE541" s="196" t="str">
        <f t="shared" si="128"/>
        <v>NPP323620</v>
      </c>
      <c r="AF541" s="196">
        <f t="shared" si="129"/>
        <v>0</v>
      </c>
    </row>
    <row r="542" spans="1:32" ht="12.95" hidden="1" customHeight="1">
      <c r="A542" s="190">
        <v>62777</v>
      </c>
      <c r="B542" s="191">
        <v>43573</v>
      </c>
      <c r="C542" s="190" t="s">
        <v>457</v>
      </c>
      <c r="D542" s="190" t="s">
        <v>626</v>
      </c>
      <c r="E542" s="190" t="s">
        <v>346</v>
      </c>
      <c r="F542" s="190" t="s">
        <v>503</v>
      </c>
      <c r="G542" s="192" t="s">
        <v>504</v>
      </c>
      <c r="H542" s="192" t="s">
        <v>296</v>
      </c>
      <c r="I542" s="192" t="s">
        <v>395</v>
      </c>
      <c r="J542" s="192" t="s">
        <v>350</v>
      </c>
      <c r="K542" s="190" t="s">
        <v>351</v>
      </c>
      <c r="L542" s="190" t="s">
        <v>357</v>
      </c>
      <c r="M542" s="192" t="s">
        <v>358</v>
      </c>
      <c r="N542" s="193">
        <v>10</v>
      </c>
      <c r="O542" s="193">
        <v>213273</v>
      </c>
      <c r="P542" s="194">
        <v>2132730</v>
      </c>
      <c r="Q542" s="194">
        <v>213273</v>
      </c>
      <c r="R542" s="194">
        <v>2346003</v>
      </c>
      <c r="S542" s="192"/>
      <c r="T542" s="192" t="s">
        <v>310</v>
      </c>
      <c r="U542" s="190">
        <v>60631</v>
      </c>
      <c r="V542" s="190"/>
      <c r="W542" s="195" t="s">
        <v>356</v>
      </c>
      <c r="X542" s="196" t="str">
        <f>+IFERROR(VLOOKUP($F542,'[2]Chuyển đổi mã'!$A$1:$C$91,3,0),$F542)&amp;AC542</f>
        <v>Big C North323555</v>
      </c>
      <c r="Y542" s="196" t="str">
        <f>IFERROR(VLOOKUP($F542,'[2]Chuyển đổi mã'!$A$1:$C$184,3,0),F542)</f>
        <v>Big C North</v>
      </c>
      <c r="Z542" s="196" t="str">
        <f>VLOOKUP($G542,'[2]Thông tin NPP'!$B:$D,3,0)</f>
        <v>BIG C North</v>
      </c>
      <c r="AA542" s="196" t="str">
        <f t="shared" si="125"/>
        <v>Na 17g - M</v>
      </c>
      <c r="AB542" s="196" t="str">
        <f>IFERROR(VLOOKUP(DAY(B542),'[2]Chuyển đổi mã'!$F$1:$G$32,2,0),0)</f>
        <v>W3</v>
      </c>
      <c r="AC542" s="196" t="str">
        <f t="shared" si="126"/>
        <v>323555</v>
      </c>
      <c r="AD542" s="196" t="str">
        <f t="shared" si="127"/>
        <v>NPP</v>
      </c>
      <c r="AE542" s="196" t="str">
        <f t="shared" si="128"/>
        <v>NPP323555</v>
      </c>
      <c r="AF542" s="196">
        <f t="shared" si="129"/>
        <v>0</v>
      </c>
    </row>
    <row r="543" spans="1:32" ht="12.95" hidden="1" customHeight="1">
      <c r="A543" s="190">
        <v>62777</v>
      </c>
      <c r="B543" s="191">
        <v>43573</v>
      </c>
      <c r="C543" s="190" t="s">
        <v>457</v>
      </c>
      <c r="D543" s="190" t="s">
        <v>626</v>
      </c>
      <c r="E543" s="190" t="s">
        <v>346</v>
      </c>
      <c r="F543" s="190" t="s">
        <v>503</v>
      </c>
      <c r="G543" s="192" t="s">
        <v>504</v>
      </c>
      <c r="H543" s="192" t="s">
        <v>296</v>
      </c>
      <c r="I543" s="192" t="s">
        <v>395</v>
      </c>
      <c r="J543" s="192" t="s">
        <v>350</v>
      </c>
      <c r="K543" s="190" t="s">
        <v>351</v>
      </c>
      <c r="L543" s="190" t="s">
        <v>359</v>
      </c>
      <c r="M543" s="192" t="s">
        <v>360</v>
      </c>
      <c r="N543" s="193">
        <v>8</v>
      </c>
      <c r="O543" s="193">
        <v>313636</v>
      </c>
      <c r="P543" s="194">
        <v>2509088</v>
      </c>
      <c r="Q543" s="194">
        <v>250908.79999999999</v>
      </c>
      <c r="R543" s="194">
        <v>2759996.8</v>
      </c>
      <c r="S543" s="192"/>
      <c r="T543" s="192" t="s">
        <v>310</v>
      </c>
      <c r="U543" s="190">
        <v>60631</v>
      </c>
      <c r="V543" s="190"/>
      <c r="W543" s="195" t="s">
        <v>356</v>
      </c>
      <c r="X543" s="196" t="str">
        <f>+IFERROR(VLOOKUP($F543,'[2]Chuyển đổi mã'!$A$1:$C$91,3,0),$F543)&amp;AC543</f>
        <v>Big C North320445</v>
      </c>
      <c r="Y543" s="196" t="str">
        <f>IFERROR(VLOOKUP($F543,'[2]Chuyển đổi mã'!$A$1:$C$184,3,0),F543)</f>
        <v>Big C North</v>
      </c>
      <c r="Z543" s="196" t="str">
        <f>VLOOKUP($G543,'[2]Thông tin NPP'!$B:$D,3,0)</f>
        <v>BIG C North</v>
      </c>
      <c r="AA543" s="196" t="str">
        <f t="shared" si="125"/>
        <v>Na 58g</v>
      </c>
      <c r="AB543" s="196" t="str">
        <f>IFERROR(VLOOKUP(DAY(B543),'[2]Chuyển đổi mã'!$F$1:$G$32,2,0),0)</f>
        <v>W3</v>
      </c>
      <c r="AC543" s="196" t="str">
        <f t="shared" si="126"/>
        <v>320445</v>
      </c>
      <c r="AD543" s="196" t="str">
        <f t="shared" si="127"/>
        <v>NPP</v>
      </c>
      <c r="AE543" s="196" t="str">
        <f t="shared" si="128"/>
        <v>NPP320445</v>
      </c>
      <c r="AF543" s="196">
        <f t="shared" si="129"/>
        <v>0</v>
      </c>
    </row>
    <row r="544" spans="1:32" ht="12.95" hidden="1" customHeight="1">
      <c r="A544" s="190">
        <v>62777</v>
      </c>
      <c r="B544" s="191">
        <v>43573</v>
      </c>
      <c r="C544" s="190" t="s">
        <v>457</v>
      </c>
      <c r="D544" s="190" t="s">
        <v>626</v>
      </c>
      <c r="E544" s="190" t="s">
        <v>346</v>
      </c>
      <c r="F544" s="190" t="s">
        <v>503</v>
      </c>
      <c r="G544" s="192" t="s">
        <v>504</v>
      </c>
      <c r="H544" s="192" t="s">
        <v>296</v>
      </c>
      <c r="I544" s="192" t="s">
        <v>395</v>
      </c>
      <c r="J544" s="192" t="s">
        <v>350</v>
      </c>
      <c r="K544" s="190" t="s">
        <v>351</v>
      </c>
      <c r="L544" s="190" t="s">
        <v>361</v>
      </c>
      <c r="M544" s="192" t="s">
        <v>362</v>
      </c>
      <c r="N544" s="193">
        <v>5</v>
      </c>
      <c r="O544" s="193">
        <v>313636</v>
      </c>
      <c r="P544" s="194">
        <v>1568180</v>
      </c>
      <c r="Q544" s="194">
        <v>156818</v>
      </c>
      <c r="R544" s="194">
        <v>1724998</v>
      </c>
      <c r="S544" s="192"/>
      <c r="T544" s="192" t="s">
        <v>310</v>
      </c>
      <c r="U544" s="190">
        <v>60631</v>
      </c>
      <c r="V544" s="190"/>
      <c r="W544" s="195" t="s">
        <v>356</v>
      </c>
      <c r="X544" s="196" t="str">
        <f>+IFERROR(VLOOKUP($F544,'[2]Chuyển đổi mã'!$A$1:$C$91,3,0),$F544)&amp;AC544</f>
        <v>Big C North331017</v>
      </c>
      <c r="Y544" s="196" t="str">
        <f>IFERROR(VLOOKUP($F544,'[2]Chuyển đổi mã'!$A$1:$C$184,3,0),F544)</f>
        <v>Big C North</v>
      </c>
      <c r="Z544" s="196" t="str">
        <f>VLOOKUP($G544,'[2]Thông tin NPP'!$B:$D,3,0)</f>
        <v>BIG C North</v>
      </c>
      <c r="AA544" s="196" t="str">
        <f t="shared" si="125"/>
        <v>Richoco Wf</v>
      </c>
      <c r="AB544" s="196" t="str">
        <f>IFERROR(VLOOKUP(DAY(B544),'[2]Chuyển đổi mã'!$F$1:$G$32,2,0),0)</f>
        <v>W3</v>
      </c>
      <c r="AC544" s="196" t="str">
        <f t="shared" si="126"/>
        <v>331017</v>
      </c>
      <c r="AD544" s="196" t="str">
        <f t="shared" si="127"/>
        <v>NPP</v>
      </c>
      <c r="AE544" s="196" t="str">
        <f t="shared" si="128"/>
        <v>NPP331017</v>
      </c>
      <c r="AF544" s="196">
        <f t="shared" si="129"/>
        <v>0</v>
      </c>
    </row>
    <row r="545" spans="1:32" ht="12.95" hidden="1" customHeight="1">
      <c r="A545" s="190">
        <v>62777</v>
      </c>
      <c r="B545" s="191">
        <v>43573</v>
      </c>
      <c r="C545" s="190" t="s">
        <v>457</v>
      </c>
      <c r="D545" s="190" t="s">
        <v>626</v>
      </c>
      <c r="E545" s="190" t="s">
        <v>346</v>
      </c>
      <c r="F545" s="190" t="s">
        <v>503</v>
      </c>
      <c r="G545" s="192" t="s">
        <v>504</v>
      </c>
      <c r="H545" s="192" t="s">
        <v>296</v>
      </c>
      <c r="I545" s="192" t="s">
        <v>395</v>
      </c>
      <c r="J545" s="192" t="s">
        <v>350</v>
      </c>
      <c r="K545" s="190" t="s">
        <v>351</v>
      </c>
      <c r="L545" s="190" t="s">
        <v>363</v>
      </c>
      <c r="M545" s="192" t="s">
        <v>364</v>
      </c>
      <c r="N545" s="193">
        <v>2</v>
      </c>
      <c r="O545" s="193">
        <v>334545</v>
      </c>
      <c r="P545" s="194">
        <v>669090</v>
      </c>
      <c r="Q545" s="194">
        <v>66909</v>
      </c>
      <c r="R545" s="194">
        <v>735999</v>
      </c>
      <c r="S545" s="192"/>
      <c r="T545" s="192" t="s">
        <v>310</v>
      </c>
      <c r="U545" s="190">
        <v>60631</v>
      </c>
      <c r="V545" s="190"/>
      <c r="W545" s="195" t="s">
        <v>356</v>
      </c>
      <c r="X545" s="196" t="str">
        <f>+IFERROR(VLOOKUP($F545,'[2]Chuyển đổi mã'!$A$1:$C$91,3,0),$F545)&amp;AC545</f>
        <v>Big C North323708</v>
      </c>
      <c r="Y545" s="196" t="str">
        <f>IFERROR(VLOOKUP($F545,'[2]Chuyển đổi mã'!$A$1:$C$184,3,0),F545)</f>
        <v>Big C North</v>
      </c>
      <c r="Z545" s="196" t="str">
        <f>VLOOKUP($G545,'[2]Thông tin NPP'!$B:$D,3,0)</f>
        <v>BIG C North</v>
      </c>
      <c r="AA545" s="196" t="str">
        <f t="shared" si="125"/>
        <v>Nextar Bro</v>
      </c>
      <c r="AB545" s="196" t="str">
        <f>IFERROR(VLOOKUP(DAY(B545),'[2]Chuyển đổi mã'!$F$1:$G$32,2,0),0)</f>
        <v>W3</v>
      </c>
      <c r="AC545" s="196" t="str">
        <f t="shared" si="126"/>
        <v>323708</v>
      </c>
      <c r="AD545" s="196" t="str">
        <f t="shared" si="127"/>
        <v>NPP</v>
      </c>
      <c r="AE545" s="196" t="str">
        <f t="shared" si="128"/>
        <v>NPP323708</v>
      </c>
      <c r="AF545" s="196">
        <f t="shared" si="129"/>
        <v>0</v>
      </c>
    </row>
    <row r="546" spans="1:32" ht="12.95" hidden="1" customHeight="1">
      <c r="A546" s="190">
        <v>62779</v>
      </c>
      <c r="B546" s="191">
        <v>43573</v>
      </c>
      <c r="C546" s="190" t="s">
        <v>457</v>
      </c>
      <c r="D546" s="190" t="s">
        <v>627</v>
      </c>
      <c r="E546" s="190" t="s">
        <v>346</v>
      </c>
      <c r="F546" s="190" t="s">
        <v>506</v>
      </c>
      <c r="G546" s="192" t="s">
        <v>507</v>
      </c>
      <c r="H546" s="192" t="s">
        <v>296</v>
      </c>
      <c r="I546" s="192" t="s">
        <v>395</v>
      </c>
      <c r="J546" s="192" t="s">
        <v>350</v>
      </c>
      <c r="K546" s="190" t="s">
        <v>351</v>
      </c>
      <c r="L546" s="190" t="s">
        <v>352</v>
      </c>
      <c r="M546" s="192" t="s">
        <v>353</v>
      </c>
      <c r="N546" s="193">
        <v>7</v>
      </c>
      <c r="O546" s="193">
        <v>155455</v>
      </c>
      <c r="P546" s="194">
        <v>1088185</v>
      </c>
      <c r="Q546" s="194">
        <v>108818.5</v>
      </c>
      <c r="R546" s="194">
        <v>1197003.5</v>
      </c>
      <c r="S546" s="192"/>
      <c r="T546" s="192" t="s">
        <v>310</v>
      </c>
      <c r="U546" s="190">
        <v>60626</v>
      </c>
      <c r="V546" s="190"/>
      <c r="W546" s="195" t="s">
        <v>356</v>
      </c>
      <c r="X546" s="196" t="str">
        <f>+IFERROR(VLOOKUP($F546,'[2]Chuyển đổi mã'!$A$1:$C$91,3,0),$F546)&amp;AC546</f>
        <v>Big C North320463</v>
      </c>
      <c r="Y546" s="196" t="str">
        <f>IFERROR(VLOOKUP($F546,'[2]Chuyển đổi mã'!$A$1:$C$184,3,0),F546)</f>
        <v>Big C North</v>
      </c>
      <c r="Z546" s="196" t="str">
        <f>VLOOKUP($G546,'[2]Thông tin NPP'!$B:$D,3,0)</f>
        <v>BIG C North</v>
      </c>
      <c r="AA546" s="196" t="str">
        <f t="shared" si="125"/>
        <v>Na 8,5g</v>
      </c>
      <c r="AB546" s="196" t="str">
        <f>IFERROR(VLOOKUP(DAY(B546),'[2]Chuyển đổi mã'!$F$1:$G$32,2,0),0)</f>
        <v>W3</v>
      </c>
      <c r="AC546" s="196" t="str">
        <f t="shared" si="126"/>
        <v>320463</v>
      </c>
      <c r="AD546" s="196" t="str">
        <f t="shared" si="127"/>
        <v>NPP</v>
      </c>
      <c r="AE546" s="196" t="str">
        <f t="shared" si="128"/>
        <v>NPP320463</v>
      </c>
      <c r="AF546" s="196">
        <f t="shared" si="129"/>
        <v>0</v>
      </c>
    </row>
    <row r="547" spans="1:32" ht="12.95" hidden="1" customHeight="1">
      <c r="A547" s="190">
        <v>62779</v>
      </c>
      <c r="B547" s="191">
        <v>43573</v>
      </c>
      <c r="C547" s="190" t="s">
        <v>457</v>
      </c>
      <c r="D547" s="190" t="s">
        <v>627</v>
      </c>
      <c r="E547" s="190" t="s">
        <v>346</v>
      </c>
      <c r="F547" s="190" t="s">
        <v>506</v>
      </c>
      <c r="G547" s="192" t="s">
        <v>507</v>
      </c>
      <c r="H547" s="192" t="s">
        <v>296</v>
      </c>
      <c r="I547" s="192" t="s">
        <v>395</v>
      </c>
      <c r="J547" s="192" t="s">
        <v>350</v>
      </c>
      <c r="K547" s="190" t="s">
        <v>351</v>
      </c>
      <c r="L547" s="190" t="s">
        <v>387</v>
      </c>
      <c r="M547" s="192" t="s">
        <v>388</v>
      </c>
      <c r="N547" s="193">
        <v>3</v>
      </c>
      <c r="O547" s="193">
        <v>355455</v>
      </c>
      <c r="P547" s="194">
        <v>1066365</v>
      </c>
      <c r="Q547" s="194">
        <v>106636.5</v>
      </c>
      <c r="R547" s="194">
        <v>1173001.5</v>
      </c>
      <c r="S547" s="192"/>
      <c r="T547" s="192" t="s">
        <v>310</v>
      </c>
      <c r="U547" s="190">
        <v>60626</v>
      </c>
      <c r="V547" s="190"/>
      <c r="W547" s="195" t="s">
        <v>356</v>
      </c>
      <c r="X547" s="196" t="str">
        <f>+IFERROR(VLOOKUP($F547,'[2]Chuyển đổi mã'!$A$1:$C$91,3,0),$F547)&amp;AC547</f>
        <v>Big C North323620</v>
      </c>
      <c r="Y547" s="196" t="str">
        <f>IFERROR(VLOOKUP($F547,'[2]Chuyển đổi mã'!$A$1:$C$184,3,0),F547)</f>
        <v>Big C North</v>
      </c>
      <c r="Z547" s="196" t="str">
        <f>VLOOKUP($G547,'[2]Thông tin NPP'!$B:$D,3,0)</f>
        <v>BIG C North</v>
      </c>
      <c r="AA547" s="196" t="str">
        <f t="shared" si="125"/>
        <v>Ahh 16g</v>
      </c>
      <c r="AB547" s="196" t="str">
        <f>IFERROR(VLOOKUP(DAY(B547),'[2]Chuyển đổi mã'!$F$1:$G$32,2,0),0)</f>
        <v>W3</v>
      </c>
      <c r="AC547" s="196" t="str">
        <f t="shared" si="126"/>
        <v>323620</v>
      </c>
      <c r="AD547" s="196" t="str">
        <f t="shared" si="127"/>
        <v>NPP</v>
      </c>
      <c r="AE547" s="196" t="str">
        <f t="shared" si="128"/>
        <v>NPP323620</v>
      </c>
      <c r="AF547" s="196">
        <f t="shared" si="129"/>
        <v>0</v>
      </c>
    </row>
    <row r="548" spans="1:32" ht="12.95" hidden="1" customHeight="1">
      <c r="A548" s="190">
        <v>62779</v>
      </c>
      <c r="B548" s="191">
        <v>43573</v>
      </c>
      <c r="C548" s="190" t="s">
        <v>457</v>
      </c>
      <c r="D548" s="190" t="s">
        <v>627</v>
      </c>
      <c r="E548" s="190" t="s">
        <v>346</v>
      </c>
      <c r="F548" s="190" t="s">
        <v>506</v>
      </c>
      <c r="G548" s="192" t="s">
        <v>507</v>
      </c>
      <c r="H548" s="192" t="s">
        <v>296</v>
      </c>
      <c r="I548" s="192" t="s">
        <v>395</v>
      </c>
      <c r="J548" s="192" t="s">
        <v>350</v>
      </c>
      <c r="K548" s="190" t="s">
        <v>351</v>
      </c>
      <c r="L548" s="190" t="s">
        <v>357</v>
      </c>
      <c r="M548" s="192" t="s">
        <v>358</v>
      </c>
      <c r="N548" s="193">
        <v>2</v>
      </c>
      <c r="O548" s="193">
        <v>213273</v>
      </c>
      <c r="P548" s="194">
        <v>426546</v>
      </c>
      <c r="Q548" s="194">
        <v>42654.6</v>
      </c>
      <c r="R548" s="194">
        <v>469200.6</v>
      </c>
      <c r="S548" s="192"/>
      <c r="T548" s="192" t="s">
        <v>310</v>
      </c>
      <c r="U548" s="190">
        <v>60626</v>
      </c>
      <c r="V548" s="190"/>
      <c r="W548" s="195" t="s">
        <v>356</v>
      </c>
      <c r="X548" s="196" t="str">
        <f>+IFERROR(VLOOKUP($F548,'[2]Chuyển đổi mã'!$A$1:$C$91,3,0),$F548)&amp;AC548</f>
        <v>Big C North323555</v>
      </c>
      <c r="Y548" s="196" t="str">
        <f>IFERROR(VLOOKUP($F548,'[2]Chuyển đổi mã'!$A$1:$C$184,3,0),F548)</f>
        <v>Big C North</v>
      </c>
      <c r="Z548" s="196" t="str">
        <f>VLOOKUP($G548,'[2]Thông tin NPP'!$B:$D,3,0)</f>
        <v>BIG C North</v>
      </c>
      <c r="AA548" s="196" t="str">
        <f t="shared" ref="AA548:AA591" si="130">LEFT($M548,10)</f>
        <v>Na 17g - M</v>
      </c>
      <c r="AB548" s="196" t="str">
        <f>IFERROR(VLOOKUP(DAY(B548),'[2]Chuyển đổi mã'!$F$1:$G$32,2,0),0)</f>
        <v>W3</v>
      </c>
      <c r="AC548" s="196" t="str">
        <f t="shared" ref="AC548:AC591" si="131">LEFT(L548,6)</f>
        <v>323555</v>
      </c>
      <c r="AD548" s="196" t="str">
        <f t="shared" ref="AD548:AD591" si="132">LEFT(F548,3)</f>
        <v>NPP</v>
      </c>
      <c r="AE548" s="196" t="str">
        <f t="shared" ref="AE548:AE591" si="133">AD548&amp;AC548</f>
        <v>NPP323555</v>
      </c>
      <c r="AF548" s="196">
        <f t="shared" ref="AF548:AF591" si="134">IF(RIGHT(L548,1)="P","P",0)</f>
        <v>0</v>
      </c>
    </row>
    <row r="549" spans="1:32" ht="12.95" hidden="1" customHeight="1">
      <c r="A549" s="190">
        <v>62779</v>
      </c>
      <c r="B549" s="191">
        <v>43573</v>
      </c>
      <c r="C549" s="190" t="s">
        <v>457</v>
      </c>
      <c r="D549" s="190" t="s">
        <v>627</v>
      </c>
      <c r="E549" s="190" t="s">
        <v>346</v>
      </c>
      <c r="F549" s="190" t="s">
        <v>506</v>
      </c>
      <c r="G549" s="192" t="s">
        <v>507</v>
      </c>
      <c r="H549" s="192" t="s">
        <v>296</v>
      </c>
      <c r="I549" s="192" t="s">
        <v>395</v>
      </c>
      <c r="J549" s="192" t="s">
        <v>350</v>
      </c>
      <c r="K549" s="190" t="s">
        <v>351</v>
      </c>
      <c r="L549" s="190" t="s">
        <v>359</v>
      </c>
      <c r="M549" s="192" t="s">
        <v>360</v>
      </c>
      <c r="N549" s="193">
        <v>3</v>
      </c>
      <c r="O549" s="193">
        <v>313636</v>
      </c>
      <c r="P549" s="194">
        <v>940908</v>
      </c>
      <c r="Q549" s="194">
        <v>94090.8</v>
      </c>
      <c r="R549" s="194">
        <v>1034998.8</v>
      </c>
      <c r="S549" s="192"/>
      <c r="T549" s="192" t="s">
        <v>310</v>
      </c>
      <c r="U549" s="190">
        <v>60626</v>
      </c>
      <c r="V549" s="190"/>
      <c r="W549" s="195" t="s">
        <v>356</v>
      </c>
      <c r="X549" s="196" t="str">
        <f>+IFERROR(VLOOKUP($F549,'[2]Chuyển đổi mã'!$A$1:$C$91,3,0),$F549)&amp;AC549</f>
        <v>Big C North320445</v>
      </c>
      <c r="Y549" s="196" t="str">
        <f>IFERROR(VLOOKUP($F549,'[2]Chuyển đổi mã'!$A$1:$C$184,3,0),F549)</f>
        <v>Big C North</v>
      </c>
      <c r="Z549" s="196" t="str">
        <f>VLOOKUP($G549,'[2]Thông tin NPP'!$B:$D,3,0)</f>
        <v>BIG C North</v>
      </c>
      <c r="AA549" s="196" t="str">
        <f t="shared" si="130"/>
        <v>Na 58g</v>
      </c>
      <c r="AB549" s="196" t="str">
        <f>IFERROR(VLOOKUP(DAY(B549),'[2]Chuyển đổi mã'!$F$1:$G$32,2,0),0)</f>
        <v>W3</v>
      </c>
      <c r="AC549" s="196" t="str">
        <f t="shared" si="131"/>
        <v>320445</v>
      </c>
      <c r="AD549" s="196" t="str">
        <f t="shared" si="132"/>
        <v>NPP</v>
      </c>
      <c r="AE549" s="196" t="str">
        <f t="shared" si="133"/>
        <v>NPP320445</v>
      </c>
      <c r="AF549" s="196">
        <f t="shared" si="134"/>
        <v>0</v>
      </c>
    </row>
    <row r="550" spans="1:32" ht="12.95" hidden="1" customHeight="1">
      <c r="A550" s="190">
        <v>62779</v>
      </c>
      <c r="B550" s="191">
        <v>43573</v>
      </c>
      <c r="C550" s="190" t="s">
        <v>457</v>
      </c>
      <c r="D550" s="190" t="s">
        <v>627</v>
      </c>
      <c r="E550" s="190" t="s">
        <v>346</v>
      </c>
      <c r="F550" s="190" t="s">
        <v>506</v>
      </c>
      <c r="G550" s="192" t="s">
        <v>507</v>
      </c>
      <c r="H550" s="192" t="s">
        <v>296</v>
      </c>
      <c r="I550" s="192" t="s">
        <v>395</v>
      </c>
      <c r="J550" s="192" t="s">
        <v>350</v>
      </c>
      <c r="K550" s="190" t="s">
        <v>351</v>
      </c>
      <c r="L550" s="190" t="s">
        <v>361</v>
      </c>
      <c r="M550" s="192" t="s">
        <v>362</v>
      </c>
      <c r="N550" s="193">
        <v>3</v>
      </c>
      <c r="O550" s="193">
        <v>313636</v>
      </c>
      <c r="P550" s="194">
        <v>940908</v>
      </c>
      <c r="Q550" s="194">
        <v>94090.8</v>
      </c>
      <c r="R550" s="194">
        <v>1034998.8</v>
      </c>
      <c r="S550" s="192"/>
      <c r="T550" s="192" t="s">
        <v>310</v>
      </c>
      <c r="U550" s="190">
        <v>60626</v>
      </c>
      <c r="V550" s="190"/>
      <c r="W550" s="195" t="s">
        <v>356</v>
      </c>
      <c r="X550" s="196" t="str">
        <f>+IFERROR(VLOOKUP($F550,'[2]Chuyển đổi mã'!$A$1:$C$91,3,0),$F550)&amp;AC550</f>
        <v>Big C North331017</v>
      </c>
      <c r="Y550" s="196" t="str">
        <f>IFERROR(VLOOKUP($F550,'[2]Chuyển đổi mã'!$A$1:$C$184,3,0),F550)</f>
        <v>Big C North</v>
      </c>
      <c r="Z550" s="196" t="str">
        <f>VLOOKUP($G550,'[2]Thông tin NPP'!$B:$D,3,0)</f>
        <v>BIG C North</v>
      </c>
      <c r="AA550" s="196" t="str">
        <f t="shared" si="130"/>
        <v>Richoco Wf</v>
      </c>
      <c r="AB550" s="196" t="str">
        <f>IFERROR(VLOOKUP(DAY(B550),'[2]Chuyển đổi mã'!$F$1:$G$32,2,0),0)</f>
        <v>W3</v>
      </c>
      <c r="AC550" s="196" t="str">
        <f t="shared" si="131"/>
        <v>331017</v>
      </c>
      <c r="AD550" s="196" t="str">
        <f t="shared" si="132"/>
        <v>NPP</v>
      </c>
      <c r="AE550" s="196" t="str">
        <f t="shared" si="133"/>
        <v>NPP331017</v>
      </c>
      <c r="AF550" s="196">
        <f t="shared" si="134"/>
        <v>0</v>
      </c>
    </row>
    <row r="551" spans="1:32" ht="12.95" hidden="1" customHeight="1">
      <c r="A551" s="190">
        <v>62780</v>
      </c>
      <c r="B551" s="191">
        <v>43573</v>
      </c>
      <c r="C551" s="190" t="s">
        <v>457</v>
      </c>
      <c r="D551" s="190" t="s">
        <v>628</v>
      </c>
      <c r="E551" s="190" t="s">
        <v>346</v>
      </c>
      <c r="F551" s="190" t="s">
        <v>509</v>
      </c>
      <c r="G551" s="192" t="s">
        <v>510</v>
      </c>
      <c r="H551" s="192" t="s">
        <v>296</v>
      </c>
      <c r="I551" s="192" t="s">
        <v>443</v>
      </c>
      <c r="J551" s="192" t="s">
        <v>350</v>
      </c>
      <c r="K551" s="190" t="s">
        <v>351</v>
      </c>
      <c r="L551" s="190" t="s">
        <v>352</v>
      </c>
      <c r="M551" s="192" t="s">
        <v>353</v>
      </c>
      <c r="N551" s="193">
        <v>2</v>
      </c>
      <c r="O551" s="193">
        <v>155455</v>
      </c>
      <c r="P551" s="194">
        <v>310910</v>
      </c>
      <c r="Q551" s="194">
        <v>31091</v>
      </c>
      <c r="R551" s="194">
        <v>342001</v>
      </c>
      <c r="S551" s="192"/>
      <c r="T551" s="192" t="s">
        <v>310</v>
      </c>
      <c r="U551" s="190">
        <v>60629</v>
      </c>
      <c r="V551" s="190"/>
      <c r="W551" s="195" t="s">
        <v>356</v>
      </c>
      <c r="X551" s="196" t="str">
        <f>+IFERROR(VLOOKUP($F551,'[2]Chuyển đổi mã'!$A$1:$C$91,3,0),$F551)&amp;AC551</f>
        <v>Big C Central320463</v>
      </c>
      <c r="Y551" s="196" t="str">
        <f>IFERROR(VLOOKUP($F551,'[2]Chuyển đổi mã'!$A$1:$C$184,3,0),F551)</f>
        <v>Big C Central</v>
      </c>
      <c r="Z551" s="196" t="str">
        <f>VLOOKUP($G551,'[2]Thông tin NPP'!$B:$D,3,0)</f>
        <v>BIG C Central</v>
      </c>
      <c r="AA551" s="196" t="str">
        <f t="shared" si="130"/>
        <v>Na 8,5g</v>
      </c>
      <c r="AB551" s="196" t="str">
        <f>IFERROR(VLOOKUP(DAY(B551),'[2]Chuyển đổi mã'!$F$1:$G$32,2,0),0)</f>
        <v>W3</v>
      </c>
      <c r="AC551" s="196" t="str">
        <f t="shared" si="131"/>
        <v>320463</v>
      </c>
      <c r="AD551" s="196" t="str">
        <f t="shared" si="132"/>
        <v>NPP</v>
      </c>
      <c r="AE551" s="196" t="str">
        <f t="shared" si="133"/>
        <v>NPP320463</v>
      </c>
      <c r="AF551" s="196">
        <f t="shared" si="134"/>
        <v>0</v>
      </c>
    </row>
    <row r="552" spans="1:32" ht="12.95" hidden="1" customHeight="1">
      <c r="A552" s="190">
        <v>62780</v>
      </c>
      <c r="B552" s="191">
        <v>43573</v>
      </c>
      <c r="C552" s="190" t="s">
        <v>457</v>
      </c>
      <c r="D552" s="190" t="s">
        <v>628</v>
      </c>
      <c r="E552" s="190" t="s">
        <v>346</v>
      </c>
      <c r="F552" s="190" t="s">
        <v>509</v>
      </c>
      <c r="G552" s="192" t="s">
        <v>510</v>
      </c>
      <c r="H552" s="192" t="s">
        <v>296</v>
      </c>
      <c r="I552" s="192" t="s">
        <v>443</v>
      </c>
      <c r="J552" s="192" t="s">
        <v>350</v>
      </c>
      <c r="K552" s="190" t="s">
        <v>351</v>
      </c>
      <c r="L552" s="190" t="s">
        <v>387</v>
      </c>
      <c r="M552" s="192" t="s">
        <v>388</v>
      </c>
      <c r="N552" s="193">
        <v>6</v>
      </c>
      <c r="O552" s="193">
        <v>355455</v>
      </c>
      <c r="P552" s="194">
        <v>2132730</v>
      </c>
      <c r="Q552" s="194">
        <v>213273</v>
      </c>
      <c r="R552" s="194">
        <v>2346003</v>
      </c>
      <c r="S552" s="192"/>
      <c r="T552" s="192" t="s">
        <v>310</v>
      </c>
      <c r="U552" s="190">
        <v>60629</v>
      </c>
      <c r="V552" s="190"/>
      <c r="W552" s="195" t="s">
        <v>356</v>
      </c>
      <c r="X552" s="196" t="str">
        <f>+IFERROR(VLOOKUP($F552,'[2]Chuyển đổi mã'!$A$1:$C$91,3,0),$F552)&amp;AC552</f>
        <v>Big C Central323620</v>
      </c>
      <c r="Y552" s="196" t="str">
        <f>IFERROR(VLOOKUP($F552,'[2]Chuyển đổi mã'!$A$1:$C$184,3,0),F552)</f>
        <v>Big C Central</v>
      </c>
      <c r="Z552" s="196" t="str">
        <f>VLOOKUP($G552,'[2]Thông tin NPP'!$B:$D,3,0)</f>
        <v>BIG C Central</v>
      </c>
      <c r="AA552" s="196" t="str">
        <f t="shared" si="130"/>
        <v>Ahh 16g</v>
      </c>
      <c r="AB552" s="196" t="str">
        <f>IFERROR(VLOOKUP(DAY(B552),'[2]Chuyển đổi mã'!$F$1:$G$32,2,0),0)</f>
        <v>W3</v>
      </c>
      <c r="AC552" s="196" t="str">
        <f t="shared" si="131"/>
        <v>323620</v>
      </c>
      <c r="AD552" s="196" t="str">
        <f t="shared" si="132"/>
        <v>NPP</v>
      </c>
      <c r="AE552" s="196" t="str">
        <f t="shared" si="133"/>
        <v>NPP323620</v>
      </c>
      <c r="AF552" s="196">
        <f t="shared" si="134"/>
        <v>0</v>
      </c>
    </row>
    <row r="553" spans="1:32" ht="12.95" hidden="1" customHeight="1">
      <c r="A553" s="190">
        <v>62780</v>
      </c>
      <c r="B553" s="191">
        <v>43573</v>
      </c>
      <c r="C553" s="190" t="s">
        <v>457</v>
      </c>
      <c r="D553" s="190" t="s">
        <v>628</v>
      </c>
      <c r="E553" s="190" t="s">
        <v>346</v>
      </c>
      <c r="F553" s="190" t="s">
        <v>509</v>
      </c>
      <c r="G553" s="192" t="s">
        <v>510</v>
      </c>
      <c r="H553" s="192" t="s">
        <v>296</v>
      </c>
      <c r="I553" s="192" t="s">
        <v>443</v>
      </c>
      <c r="J553" s="192" t="s">
        <v>350</v>
      </c>
      <c r="K553" s="190" t="s">
        <v>351</v>
      </c>
      <c r="L553" s="190" t="s">
        <v>357</v>
      </c>
      <c r="M553" s="192" t="s">
        <v>358</v>
      </c>
      <c r="N553" s="193">
        <v>3</v>
      </c>
      <c r="O553" s="193">
        <v>213273</v>
      </c>
      <c r="P553" s="194">
        <v>639819</v>
      </c>
      <c r="Q553" s="194">
        <v>63981.9</v>
      </c>
      <c r="R553" s="194">
        <v>703800.9</v>
      </c>
      <c r="S553" s="192"/>
      <c r="T553" s="192" t="s">
        <v>310</v>
      </c>
      <c r="U553" s="190">
        <v>60629</v>
      </c>
      <c r="V553" s="190"/>
      <c r="W553" s="195" t="s">
        <v>356</v>
      </c>
      <c r="X553" s="196" t="str">
        <f>+IFERROR(VLOOKUP($F553,'[2]Chuyển đổi mã'!$A$1:$C$91,3,0),$F553)&amp;AC553</f>
        <v>Big C Central323555</v>
      </c>
      <c r="Y553" s="196" t="str">
        <f>IFERROR(VLOOKUP($F553,'[2]Chuyển đổi mã'!$A$1:$C$184,3,0),F553)</f>
        <v>Big C Central</v>
      </c>
      <c r="Z553" s="196" t="str">
        <f>VLOOKUP($G553,'[2]Thông tin NPP'!$B:$D,3,0)</f>
        <v>BIG C Central</v>
      </c>
      <c r="AA553" s="196" t="str">
        <f t="shared" si="130"/>
        <v>Na 17g - M</v>
      </c>
      <c r="AB553" s="196" t="str">
        <f>IFERROR(VLOOKUP(DAY(B553),'[2]Chuyển đổi mã'!$F$1:$G$32,2,0),0)</f>
        <v>W3</v>
      </c>
      <c r="AC553" s="196" t="str">
        <f t="shared" si="131"/>
        <v>323555</v>
      </c>
      <c r="AD553" s="196" t="str">
        <f t="shared" si="132"/>
        <v>NPP</v>
      </c>
      <c r="AE553" s="196" t="str">
        <f t="shared" si="133"/>
        <v>NPP323555</v>
      </c>
      <c r="AF553" s="196">
        <f t="shared" si="134"/>
        <v>0</v>
      </c>
    </row>
    <row r="554" spans="1:32" ht="12.95" hidden="1" customHeight="1">
      <c r="A554" s="190">
        <v>62780</v>
      </c>
      <c r="B554" s="191">
        <v>43573</v>
      </c>
      <c r="C554" s="190" t="s">
        <v>457</v>
      </c>
      <c r="D554" s="190" t="s">
        <v>628</v>
      </c>
      <c r="E554" s="190" t="s">
        <v>346</v>
      </c>
      <c r="F554" s="190" t="s">
        <v>509</v>
      </c>
      <c r="G554" s="192" t="s">
        <v>510</v>
      </c>
      <c r="H554" s="192" t="s">
        <v>296</v>
      </c>
      <c r="I554" s="192" t="s">
        <v>443</v>
      </c>
      <c r="J554" s="192" t="s">
        <v>350</v>
      </c>
      <c r="K554" s="190" t="s">
        <v>351</v>
      </c>
      <c r="L554" s="190" t="s">
        <v>359</v>
      </c>
      <c r="M554" s="192" t="s">
        <v>360</v>
      </c>
      <c r="N554" s="193">
        <v>3</v>
      </c>
      <c r="O554" s="193">
        <v>313636</v>
      </c>
      <c r="P554" s="194">
        <v>940908</v>
      </c>
      <c r="Q554" s="194">
        <v>94090.8</v>
      </c>
      <c r="R554" s="194">
        <v>1034998.8</v>
      </c>
      <c r="S554" s="192"/>
      <c r="T554" s="192" t="s">
        <v>310</v>
      </c>
      <c r="U554" s="190">
        <v>60629</v>
      </c>
      <c r="V554" s="190"/>
      <c r="W554" s="195" t="s">
        <v>356</v>
      </c>
      <c r="X554" s="196" t="str">
        <f>+IFERROR(VLOOKUP($F554,'[2]Chuyển đổi mã'!$A$1:$C$91,3,0),$F554)&amp;AC554</f>
        <v>Big C Central320445</v>
      </c>
      <c r="Y554" s="196" t="str">
        <f>IFERROR(VLOOKUP($F554,'[2]Chuyển đổi mã'!$A$1:$C$184,3,0),F554)</f>
        <v>Big C Central</v>
      </c>
      <c r="Z554" s="196" t="str">
        <f>VLOOKUP($G554,'[2]Thông tin NPP'!$B:$D,3,0)</f>
        <v>BIG C Central</v>
      </c>
      <c r="AA554" s="196" t="str">
        <f t="shared" si="130"/>
        <v>Na 58g</v>
      </c>
      <c r="AB554" s="196" t="str">
        <f>IFERROR(VLOOKUP(DAY(B554),'[2]Chuyển đổi mã'!$F$1:$G$32,2,0),0)</f>
        <v>W3</v>
      </c>
      <c r="AC554" s="196" t="str">
        <f t="shared" si="131"/>
        <v>320445</v>
      </c>
      <c r="AD554" s="196" t="str">
        <f t="shared" si="132"/>
        <v>NPP</v>
      </c>
      <c r="AE554" s="196" t="str">
        <f t="shared" si="133"/>
        <v>NPP320445</v>
      </c>
      <c r="AF554" s="196">
        <f t="shared" si="134"/>
        <v>0</v>
      </c>
    </row>
    <row r="555" spans="1:32" ht="12.95" hidden="1" customHeight="1">
      <c r="A555" s="190">
        <v>62780</v>
      </c>
      <c r="B555" s="191">
        <v>43573</v>
      </c>
      <c r="C555" s="190" t="s">
        <v>457</v>
      </c>
      <c r="D555" s="190" t="s">
        <v>628</v>
      </c>
      <c r="E555" s="190" t="s">
        <v>346</v>
      </c>
      <c r="F555" s="190" t="s">
        <v>509</v>
      </c>
      <c r="G555" s="192" t="s">
        <v>510</v>
      </c>
      <c r="H555" s="192" t="s">
        <v>296</v>
      </c>
      <c r="I555" s="192" t="s">
        <v>443</v>
      </c>
      <c r="J555" s="192" t="s">
        <v>350</v>
      </c>
      <c r="K555" s="190" t="s">
        <v>351</v>
      </c>
      <c r="L555" s="190" t="s">
        <v>361</v>
      </c>
      <c r="M555" s="192" t="s">
        <v>362</v>
      </c>
      <c r="N555" s="193">
        <v>1</v>
      </c>
      <c r="O555" s="193">
        <v>313636</v>
      </c>
      <c r="P555" s="194">
        <v>313636</v>
      </c>
      <c r="Q555" s="194">
        <v>31363.599999999999</v>
      </c>
      <c r="R555" s="194">
        <v>344999.6</v>
      </c>
      <c r="S555" s="192"/>
      <c r="T555" s="192" t="s">
        <v>310</v>
      </c>
      <c r="U555" s="190">
        <v>60629</v>
      </c>
      <c r="V555" s="190"/>
      <c r="W555" s="195" t="s">
        <v>356</v>
      </c>
      <c r="X555" s="196" t="str">
        <f>+IFERROR(VLOOKUP($F555,'[2]Chuyển đổi mã'!$A$1:$C$91,3,0),$F555)&amp;AC555</f>
        <v>Big C Central331017</v>
      </c>
      <c r="Y555" s="196" t="str">
        <f>IFERROR(VLOOKUP($F555,'[2]Chuyển đổi mã'!$A$1:$C$184,3,0),F555)</f>
        <v>Big C Central</v>
      </c>
      <c r="Z555" s="196" t="str">
        <f>VLOOKUP($G555,'[2]Thông tin NPP'!$B:$D,3,0)</f>
        <v>BIG C Central</v>
      </c>
      <c r="AA555" s="196" t="str">
        <f t="shared" si="130"/>
        <v>Richoco Wf</v>
      </c>
      <c r="AB555" s="196" t="str">
        <f>IFERROR(VLOOKUP(DAY(B555),'[2]Chuyển đổi mã'!$F$1:$G$32,2,0),0)</f>
        <v>W3</v>
      </c>
      <c r="AC555" s="196" t="str">
        <f t="shared" si="131"/>
        <v>331017</v>
      </c>
      <c r="AD555" s="196" t="str">
        <f t="shared" si="132"/>
        <v>NPP</v>
      </c>
      <c r="AE555" s="196" t="str">
        <f t="shared" si="133"/>
        <v>NPP331017</v>
      </c>
      <c r="AF555" s="196">
        <f t="shared" si="134"/>
        <v>0</v>
      </c>
    </row>
    <row r="556" spans="1:32" ht="12.95" hidden="1" customHeight="1">
      <c r="A556" s="190">
        <v>62781</v>
      </c>
      <c r="B556" s="191">
        <v>43573</v>
      </c>
      <c r="C556" s="190" t="s">
        <v>457</v>
      </c>
      <c r="D556" s="190" t="s">
        <v>629</v>
      </c>
      <c r="E556" s="190" t="s">
        <v>346</v>
      </c>
      <c r="F556" s="190" t="s">
        <v>513</v>
      </c>
      <c r="G556" s="192" t="s">
        <v>514</v>
      </c>
      <c r="H556" s="192" t="s">
        <v>296</v>
      </c>
      <c r="I556" s="192" t="s">
        <v>395</v>
      </c>
      <c r="J556" s="192" t="s">
        <v>350</v>
      </c>
      <c r="K556" s="190" t="s">
        <v>351</v>
      </c>
      <c r="L556" s="190" t="s">
        <v>352</v>
      </c>
      <c r="M556" s="192" t="s">
        <v>353</v>
      </c>
      <c r="N556" s="193">
        <v>5</v>
      </c>
      <c r="O556" s="193">
        <v>155455</v>
      </c>
      <c r="P556" s="194">
        <v>777275</v>
      </c>
      <c r="Q556" s="194">
        <v>77727.5</v>
      </c>
      <c r="R556" s="194">
        <v>855002.5</v>
      </c>
      <c r="S556" s="192"/>
      <c r="T556" s="192" t="s">
        <v>310</v>
      </c>
      <c r="U556" s="190">
        <v>60625</v>
      </c>
      <c r="V556" s="190"/>
      <c r="W556" s="195" t="s">
        <v>356</v>
      </c>
      <c r="X556" s="196" t="str">
        <f>+IFERROR(VLOOKUP($F556,'[2]Chuyển đổi mã'!$A$1:$C$91,3,0),$F556)&amp;AC556</f>
        <v>Big C North320463</v>
      </c>
      <c r="Y556" s="196" t="str">
        <f>IFERROR(VLOOKUP($F556,'[2]Chuyển đổi mã'!$A$1:$C$184,3,0),F556)</f>
        <v>Big C North</v>
      </c>
      <c r="Z556" s="196" t="str">
        <f>VLOOKUP($G556,'[2]Thông tin NPP'!$B:$D,3,0)</f>
        <v>BIG C North</v>
      </c>
      <c r="AA556" s="196" t="str">
        <f t="shared" si="130"/>
        <v>Na 8,5g</v>
      </c>
      <c r="AB556" s="196" t="str">
        <f>IFERROR(VLOOKUP(DAY(B556),'[2]Chuyển đổi mã'!$F$1:$G$32,2,0),0)</f>
        <v>W3</v>
      </c>
      <c r="AC556" s="196" t="str">
        <f t="shared" si="131"/>
        <v>320463</v>
      </c>
      <c r="AD556" s="196" t="str">
        <f t="shared" si="132"/>
        <v>NPP</v>
      </c>
      <c r="AE556" s="196" t="str">
        <f t="shared" si="133"/>
        <v>NPP320463</v>
      </c>
      <c r="AF556" s="196">
        <f t="shared" si="134"/>
        <v>0</v>
      </c>
    </row>
    <row r="557" spans="1:32" ht="12.95" hidden="1" customHeight="1">
      <c r="A557" s="190">
        <v>62781</v>
      </c>
      <c r="B557" s="191">
        <v>43573</v>
      </c>
      <c r="C557" s="190" t="s">
        <v>457</v>
      </c>
      <c r="D557" s="190" t="s">
        <v>629</v>
      </c>
      <c r="E557" s="190" t="s">
        <v>346</v>
      </c>
      <c r="F557" s="190" t="s">
        <v>513</v>
      </c>
      <c r="G557" s="192" t="s">
        <v>514</v>
      </c>
      <c r="H557" s="192" t="s">
        <v>296</v>
      </c>
      <c r="I557" s="192" t="s">
        <v>395</v>
      </c>
      <c r="J557" s="192" t="s">
        <v>350</v>
      </c>
      <c r="K557" s="190" t="s">
        <v>351</v>
      </c>
      <c r="L557" s="190" t="s">
        <v>387</v>
      </c>
      <c r="M557" s="192" t="s">
        <v>388</v>
      </c>
      <c r="N557" s="193">
        <v>5</v>
      </c>
      <c r="O557" s="193">
        <v>355455</v>
      </c>
      <c r="P557" s="194">
        <v>1777275</v>
      </c>
      <c r="Q557" s="194">
        <v>177727.5</v>
      </c>
      <c r="R557" s="194">
        <v>1955002.5</v>
      </c>
      <c r="S557" s="192"/>
      <c r="T557" s="192" t="s">
        <v>310</v>
      </c>
      <c r="U557" s="190">
        <v>60625</v>
      </c>
      <c r="V557" s="190"/>
      <c r="W557" s="195" t="s">
        <v>356</v>
      </c>
      <c r="X557" s="196" t="str">
        <f>+IFERROR(VLOOKUP($F557,'[2]Chuyển đổi mã'!$A$1:$C$91,3,0),$F557)&amp;AC557</f>
        <v>Big C North323620</v>
      </c>
      <c r="Y557" s="196" t="str">
        <f>IFERROR(VLOOKUP($F557,'[2]Chuyển đổi mã'!$A$1:$C$184,3,0),F557)</f>
        <v>Big C North</v>
      </c>
      <c r="Z557" s="196" t="str">
        <f>VLOOKUP($G557,'[2]Thông tin NPP'!$B:$D,3,0)</f>
        <v>BIG C North</v>
      </c>
      <c r="AA557" s="196" t="str">
        <f t="shared" si="130"/>
        <v>Ahh 16g</v>
      </c>
      <c r="AB557" s="196" t="str">
        <f>IFERROR(VLOOKUP(DAY(B557),'[2]Chuyển đổi mã'!$F$1:$G$32,2,0),0)</f>
        <v>W3</v>
      </c>
      <c r="AC557" s="196" t="str">
        <f t="shared" si="131"/>
        <v>323620</v>
      </c>
      <c r="AD557" s="196" t="str">
        <f t="shared" si="132"/>
        <v>NPP</v>
      </c>
      <c r="AE557" s="196" t="str">
        <f t="shared" si="133"/>
        <v>NPP323620</v>
      </c>
      <c r="AF557" s="196">
        <f t="shared" si="134"/>
        <v>0</v>
      </c>
    </row>
    <row r="558" spans="1:32" ht="12.95" hidden="1" customHeight="1">
      <c r="A558" s="190">
        <v>62781</v>
      </c>
      <c r="B558" s="191">
        <v>43573</v>
      </c>
      <c r="C558" s="190" t="s">
        <v>457</v>
      </c>
      <c r="D558" s="190" t="s">
        <v>629</v>
      </c>
      <c r="E558" s="190" t="s">
        <v>346</v>
      </c>
      <c r="F558" s="190" t="s">
        <v>513</v>
      </c>
      <c r="G558" s="192" t="s">
        <v>514</v>
      </c>
      <c r="H558" s="192" t="s">
        <v>296</v>
      </c>
      <c r="I558" s="192" t="s">
        <v>395</v>
      </c>
      <c r="J558" s="192" t="s">
        <v>350</v>
      </c>
      <c r="K558" s="190" t="s">
        <v>351</v>
      </c>
      <c r="L558" s="190" t="s">
        <v>359</v>
      </c>
      <c r="M558" s="192" t="s">
        <v>360</v>
      </c>
      <c r="N558" s="193">
        <v>5</v>
      </c>
      <c r="O558" s="193">
        <v>313636</v>
      </c>
      <c r="P558" s="194">
        <v>1568180</v>
      </c>
      <c r="Q558" s="194">
        <v>156818</v>
      </c>
      <c r="R558" s="194">
        <v>1724998</v>
      </c>
      <c r="S558" s="192"/>
      <c r="T558" s="192" t="s">
        <v>310</v>
      </c>
      <c r="U558" s="190">
        <v>60625</v>
      </c>
      <c r="V558" s="190"/>
      <c r="W558" s="195" t="s">
        <v>356</v>
      </c>
      <c r="X558" s="196" t="str">
        <f>+IFERROR(VLOOKUP($F558,'[2]Chuyển đổi mã'!$A$1:$C$91,3,0),$F558)&amp;AC558</f>
        <v>Big C North320445</v>
      </c>
      <c r="Y558" s="196" t="str">
        <f>IFERROR(VLOOKUP($F558,'[2]Chuyển đổi mã'!$A$1:$C$184,3,0),F558)</f>
        <v>Big C North</v>
      </c>
      <c r="Z558" s="196" t="str">
        <f>VLOOKUP($G558,'[2]Thông tin NPP'!$B:$D,3,0)</f>
        <v>BIG C North</v>
      </c>
      <c r="AA558" s="196" t="str">
        <f t="shared" si="130"/>
        <v>Na 58g</v>
      </c>
      <c r="AB558" s="196" t="str">
        <f>IFERROR(VLOOKUP(DAY(B558),'[2]Chuyển đổi mã'!$F$1:$G$32,2,0),0)</f>
        <v>W3</v>
      </c>
      <c r="AC558" s="196" t="str">
        <f t="shared" si="131"/>
        <v>320445</v>
      </c>
      <c r="AD558" s="196" t="str">
        <f t="shared" si="132"/>
        <v>NPP</v>
      </c>
      <c r="AE558" s="196" t="str">
        <f t="shared" si="133"/>
        <v>NPP320445</v>
      </c>
      <c r="AF558" s="196">
        <f t="shared" si="134"/>
        <v>0</v>
      </c>
    </row>
    <row r="559" spans="1:32" ht="12.95" hidden="1" customHeight="1">
      <c r="A559" s="190">
        <v>62781</v>
      </c>
      <c r="B559" s="191">
        <v>43573</v>
      </c>
      <c r="C559" s="190" t="s">
        <v>457</v>
      </c>
      <c r="D559" s="190" t="s">
        <v>629</v>
      </c>
      <c r="E559" s="190" t="s">
        <v>346</v>
      </c>
      <c r="F559" s="190" t="s">
        <v>513</v>
      </c>
      <c r="G559" s="192" t="s">
        <v>514</v>
      </c>
      <c r="H559" s="192" t="s">
        <v>296</v>
      </c>
      <c r="I559" s="192" t="s">
        <v>395</v>
      </c>
      <c r="J559" s="192" t="s">
        <v>350</v>
      </c>
      <c r="K559" s="190" t="s">
        <v>351</v>
      </c>
      <c r="L559" s="190" t="s">
        <v>361</v>
      </c>
      <c r="M559" s="192" t="s">
        <v>362</v>
      </c>
      <c r="N559" s="193">
        <v>5</v>
      </c>
      <c r="O559" s="193">
        <v>313636</v>
      </c>
      <c r="P559" s="194">
        <v>1568180</v>
      </c>
      <c r="Q559" s="194">
        <v>156818</v>
      </c>
      <c r="R559" s="194">
        <v>1724998</v>
      </c>
      <c r="S559" s="192"/>
      <c r="T559" s="192" t="s">
        <v>310</v>
      </c>
      <c r="U559" s="190">
        <v>60625</v>
      </c>
      <c r="V559" s="190"/>
      <c r="W559" s="195" t="s">
        <v>356</v>
      </c>
      <c r="X559" s="196" t="str">
        <f>+IFERROR(VLOOKUP($F559,'[2]Chuyển đổi mã'!$A$1:$C$91,3,0),$F559)&amp;AC559</f>
        <v>Big C North331017</v>
      </c>
      <c r="Y559" s="196" t="str">
        <f>IFERROR(VLOOKUP($F559,'[2]Chuyển đổi mã'!$A$1:$C$184,3,0),F559)</f>
        <v>Big C North</v>
      </c>
      <c r="Z559" s="196" t="str">
        <f>VLOOKUP($G559,'[2]Thông tin NPP'!$B:$D,3,0)</f>
        <v>BIG C North</v>
      </c>
      <c r="AA559" s="196" t="str">
        <f t="shared" si="130"/>
        <v>Richoco Wf</v>
      </c>
      <c r="AB559" s="196" t="str">
        <f>IFERROR(VLOOKUP(DAY(B559),'[2]Chuyển đổi mã'!$F$1:$G$32,2,0),0)</f>
        <v>W3</v>
      </c>
      <c r="AC559" s="196" t="str">
        <f t="shared" si="131"/>
        <v>331017</v>
      </c>
      <c r="AD559" s="196" t="str">
        <f t="shared" si="132"/>
        <v>NPP</v>
      </c>
      <c r="AE559" s="196" t="str">
        <f t="shared" si="133"/>
        <v>NPP331017</v>
      </c>
      <c r="AF559" s="196">
        <f t="shared" si="134"/>
        <v>0</v>
      </c>
    </row>
    <row r="560" spans="1:32" ht="12.95" hidden="1" customHeight="1">
      <c r="A560" s="190">
        <v>62781</v>
      </c>
      <c r="B560" s="191">
        <v>43573</v>
      </c>
      <c r="C560" s="190" t="s">
        <v>457</v>
      </c>
      <c r="D560" s="190" t="s">
        <v>629</v>
      </c>
      <c r="E560" s="190" t="s">
        <v>346</v>
      </c>
      <c r="F560" s="190" t="s">
        <v>513</v>
      </c>
      <c r="G560" s="192" t="s">
        <v>514</v>
      </c>
      <c r="H560" s="192" t="s">
        <v>296</v>
      </c>
      <c r="I560" s="192" t="s">
        <v>395</v>
      </c>
      <c r="J560" s="192" t="s">
        <v>350</v>
      </c>
      <c r="K560" s="190" t="s">
        <v>351</v>
      </c>
      <c r="L560" s="190" t="s">
        <v>363</v>
      </c>
      <c r="M560" s="192" t="s">
        <v>364</v>
      </c>
      <c r="N560" s="193">
        <v>1</v>
      </c>
      <c r="O560" s="193">
        <v>334545</v>
      </c>
      <c r="P560" s="194">
        <v>334545</v>
      </c>
      <c r="Q560" s="194">
        <v>33454.5</v>
      </c>
      <c r="R560" s="194">
        <v>367999.5</v>
      </c>
      <c r="S560" s="192"/>
      <c r="T560" s="192" t="s">
        <v>310</v>
      </c>
      <c r="U560" s="190">
        <v>60625</v>
      </c>
      <c r="V560" s="190"/>
      <c r="W560" s="195" t="s">
        <v>356</v>
      </c>
      <c r="X560" s="196" t="str">
        <f>+IFERROR(VLOOKUP($F560,'[2]Chuyển đổi mã'!$A$1:$C$91,3,0),$F560)&amp;AC560</f>
        <v>Big C North323708</v>
      </c>
      <c r="Y560" s="196" t="str">
        <f>IFERROR(VLOOKUP($F560,'[2]Chuyển đổi mã'!$A$1:$C$184,3,0),F560)</f>
        <v>Big C North</v>
      </c>
      <c r="Z560" s="196" t="str">
        <f>VLOOKUP($G560,'[2]Thông tin NPP'!$B:$D,3,0)</f>
        <v>BIG C North</v>
      </c>
      <c r="AA560" s="196" t="str">
        <f t="shared" si="130"/>
        <v>Nextar Bro</v>
      </c>
      <c r="AB560" s="196" t="str">
        <f>IFERROR(VLOOKUP(DAY(B560),'[2]Chuyển đổi mã'!$F$1:$G$32,2,0),0)</f>
        <v>W3</v>
      </c>
      <c r="AC560" s="196" t="str">
        <f t="shared" si="131"/>
        <v>323708</v>
      </c>
      <c r="AD560" s="196" t="str">
        <f t="shared" si="132"/>
        <v>NPP</v>
      </c>
      <c r="AE560" s="196" t="str">
        <f t="shared" si="133"/>
        <v>NPP323708</v>
      </c>
      <c r="AF560" s="196">
        <f t="shared" si="134"/>
        <v>0</v>
      </c>
    </row>
    <row r="561" spans="1:32" ht="12.95" hidden="1" customHeight="1">
      <c r="A561" s="190">
        <v>62782</v>
      </c>
      <c r="B561" s="191">
        <v>43573</v>
      </c>
      <c r="C561" s="190" t="s">
        <v>457</v>
      </c>
      <c r="D561" s="190" t="s">
        <v>630</v>
      </c>
      <c r="E561" s="190" t="s">
        <v>346</v>
      </c>
      <c r="F561" s="190" t="s">
        <v>631</v>
      </c>
      <c r="G561" s="192" t="s">
        <v>632</v>
      </c>
      <c r="H561" s="192" t="s">
        <v>296</v>
      </c>
      <c r="I561" s="192" t="s">
        <v>395</v>
      </c>
      <c r="J561" s="192" t="s">
        <v>350</v>
      </c>
      <c r="K561" s="190" t="s">
        <v>351</v>
      </c>
      <c r="L561" s="190" t="s">
        <v>357</v>
      </c>
      <c r="M561" s="192" t="s">
        <v>358</v>
      </c>
      <c r="N561" s="193">
        <v>3</v>
      </c>
      <c r="O561" s="193">
        <v>213273</v>
      </c>
      <c r="P561" s="194">
        <v>639819</v>
      </c>
      <c r="Q561" s="194">
        <v>63981.9</v>
      </c>
      <c r="R561" s="194">
        <v>703800.9</v>
      </c>
      <c r="S561" s="192"/>
      <c r="T561" s="192" t="s">
        <v>310</v>
      </c>
      <c r="U561" s="190">
        <v>60630</v>
      </c>
      <c r="V561" s="190"/>
      <c r="W561" s="195" t="s">
        <v>356</v>
      </c>
      <c r="X561" s="196" t="str">
        <f>+IFERROR(VLOOKUP($F561,'[2]Chuyển đổi mã'!$A$1:$C$91,3,0),$F561)&amp;AC561</f>
        <v>Big C North323555</v>
      </c>
      <c r="Y561" s="196" t="str">
        <f>IFERROR(VLOOKUP($F561,'[2]Chuyển đổi mã'!$A$1:$C$184,3,0),F561)</f>
        <v>Big C North</v>
      </c>
      <c r="Z561" s="196" t="str">
        <f>VLOOKUP($G561,'[2]Thông tin NPP'!$B:$D,3,0)</f>
        <v>BIG C North</v>
      </c>
      <c r="AA561" s="196" t="str">
        <f t="shared" si="130"/>
        <v>Na 17g - M</v>
      </c>
      <c r="AB561" s="196" t="str">
        <f>IFERROR(VLOOKUP(DAY(B561),'[2]Chuyển đổi mã'!$F$1:$G$32,2,0),0)</f>
        <v>W3</v>
      </c>
      <c r="AC561" s="196" t="str">
        <f t="shared" si="131"/>
        <v>323555</v>
      </c>
      <c r="AD561" s="196" t="str">
        <f t="shared" si="132"/>
        <v>NPP</v>
      </c>
      <c r="AE561" s="196" t="str">
        <f t="shared" si="133"/>
        <v>NPP323555</v>
      </c>
      <c r="AF561" s="196">
        <f t="shared" si="134"/>
        <v>0</v>
      </c>
    </row>
    <row r="562" spans="1:32" ht="12.95" hidden="1" customHeight="1">
      <c r="A562" s="190">
        <v>62782</v>
      </c>
      <c r="B562" s="191">
        <v>43573</v>
      </c>
      <c r="C562" s="190" t="s">
        <v>457</v>
      </c>
      <c r="D562" s="190" t="s">
        <v>630</v>
      </c>
      <c r="E562" s="190" t="s">
        <v>346</v>
      </c>
      <c r="F562" s="190" t="s">
        <v>631</v>
      </c>
      <c r="G562" s="192" t="s">
        <v>632</v>
      </c>
      <c r="H562" s="192" t="s">
        <v>296</v>
      </c>
      <c r="I562" s="192" t="s">
        <v>395</v>
      </c>
      <c r="J562" s="192" t="s">
        <v>350</v>
      </c>
      <c r="K562" s="190" t="s">
        <v>351</v>
      </c>
      <c r="L562" s="190" t="s">
        <v>359</v>
      </c>
      <c r="M562" s="192" t="s">
        <v>360</v>
      </c>
      <c r="N562" s="193">
        <v>4</v>
      </c>
      <c r="O562" s="193">
        <v>313636</v>
      </c>
      <c r="P562" s="194">
        <v>1254544</v>
      </c>
      <c r="Q562" s="194">
        <v>125454.39999999999</v>
      </c>
      <c r="R562" s="194">
        <v>1379998.4</v>
      </c>
      <c r="S562" s="192"/>
      <c r="T562" s="192" t="s">
        <v>310</v>
      </c>
      <c r="U562" s="190">
        <v>60630</v>
      </c>
      <c r="V562" s="190"/>
      <c r="W562" s="195" t="s">
        <v>356</v>
      </c>
      <c r="X562" s="196" t="str">
        <f>+IFERROR(VLOOKUP($F562,'[2]Chuyển đổi mã'!$A$1:$C$91,3,0),$F562)&amp;AC562</f>
        <v>Big C North320445</v>
      </c>
      <c r="Y562" s="196" t="str">
        <f>IFERROR(VLOOKUP($F562,'[2]Chuyển đổi mã'!$A$1:$C$184,3,0),F562)</f>
        <v>Big C North</v>
      </c>
      <c r="Z562" s="196" t="str">
        <f>VLOOKUP($G562,'[2]Thông tin NPP'!$B:$D,3,0)</f>
        <v>BIG C North</v>
      </c>
      <c r="AA562" s="196" t="str">
        <f t="shared" si="130"/>
        <v>Na 58g</v>
      </c>
      <c r="AB562" s="196" t="str">
        <f>IFERROR(VLOOKUP(DAY(B562),'[2]Chuyển đổi mã'!$F$1:$G$32,2,0),0)</f>
        <v>W3</v>
      </c>
      <c r="AC562" s="196" t="str">
        <f t="shared" si="131"/>
        <v>320445</v>
      </c>
      <c r="AD562" s="196" t="str">
        <f t="shared" si="132"/>
        <v>NPP</v>
      </c>
      <c r="AE562" s="196" t="str">
        <f t="shared" si="133"/>
        <v>NPP320445</v>
      </c>
      <c r="AF562" s="196">
        <f t="shared" si="134"/>
        <v>0</v>
      </c>
    </row>
    <row r="563" spans="1:32" ht="12.95" hidden="1" customHeight="1">
      <c r="A563" s="190">
        <v>62782</v>
      </c>
      <c r="B563" s="191">
        <v>43573</v>
      </c>
      <c r="C563" s="190" t="s">
        <v>457</v>
      </c>
      <c r="D563" s="190" t="s">
        <v>630</v>
      </c>
      <c r="E563" s="190" t="s">
        <v>346</v>
      </c>
      <c r="F563" s="190" t="s">
        <v>631</v>
      </c>
      <c r="G563" s="192" t="s">
        <v>632</v>
      </c>
      <c r="H563" s="192" t="s">
        <v>296</v>
      </c>
      <c r="I563" s="192" t="s">
        <v>395</v>
      </c>
      <c r="J563" s="192" t="s">
        <v>350</v>
      </c>
      <c r="K563" s="190" t="s">
        <v>351</v>
      </c>
      <c r="L563" s="190" t="s">
        <v>361</v>
      </c>
      <c r="M563" s="192" t="s">
        <v>362</v>
      </c>
      <c r="N563" s="193">
        <v>5</v>
      </c>
      <c r="O563" s="193">
        <v>313636</v>
      </c>
      <c r="P563" s="194">
        <v>1568180</v>
      </c>
      <c r="Q563" s="194">
        <v>156818</v>
      </c>
      <c r="R563" s="194">
        <v>1724998</v>
      </c>
      <c r="S563" s="192"/>
      <c r="T563" s="192" t="s">
        <v>310</v>
      </c>
      <c r="U563" s="190">
        <v>60630</v>
      </c>
      <c r="V563" s="190"/>
      <c r="W563" s="195" t="s">
        <v>356</v>
      </c>
      <c r="X563" s="196" t="str">
        <f>+IFERROR(VLOOKUP($F563,'[2]Chuyển đổi mã'!$A$1:$C$91,3,0),$F563)&amp;AC563</f>
        <v>Big C North331017</v>
      </c>
      <c r="Y563" s="196" t="str">
        <f>IFERROR(VLOOKUP($F563,'[2]Chuyển đổi mã'!$A$1:$C$184,3,0),F563)</f>
        <v>Big C North</v>
      </c>
      <c r="Z563" s="196" t="str">
        <f>VLOOKUP($G563,'[2]Thông tin NPP'!$B:$D,3,0)</f>
        <v>BIG C North</v>
      </c>
      <c r="AA563" s="196" t="str">
        <f t="shared" si="130"/>
        <v>Richoco Wf</v>
      </c>
      <c r="AB563" s="196" t="str">
        <f>IFERROR(VLOOKUP(DAY(B563),'[2]Chuyển đổi mã'!$F$1:$G$32,2,0),0)</f>
        <v>W3</v>
      </c>
      <c r="AC563" s="196" t="str">
        <f t="shared" si="131"/>
        <v>331017</v>
      </c>
      <c r="AD563" s="196" t="str">
        <f t="shared" si="132"/>
        <v>NPP</v>
      </c>
      <c r="AE563" s="196" t="str">
        <f t="shared" si="133"/>
        <v>NPP331017</v>
      </c>
      <c r="AF563" s="196">
        <f t="shared" si="134"/>
        <v>0</v>
      </c>
    </row>
    <row r="564" spans="1:32" ht="12.95" hidden="1" customHeight="1">
      <c r="A564" s="190">
        <v>62782</v>
      </c>
      <c r="B564" s="191">
        <v>43573</v>
      </c>
      <c r="C564" s="190" t="s">
        <v>457</v>
      </c>
      <c r="D564" s="190" t="s">
        <v>630</v>
      </c>
      <c r="E564" s="190" t="s">
        <v>346</v>
      </c>
      <c r="F564" s="190" t="s">
        <v>631</v>
      </c>
      <c r="G564" s="192" t="s">
        <v>632</v>
      </c>
      <c r="H564" s="192" t="s">
        <v>296</v>
      </c>
      <c r="I564" s="192" t="s">
        <v>395</v>
      </c>
      <c r="J564" s="192" t="s">
        <v>350</v>
      </c>
      <c r="K564" s="190" t="s">
        <v>351</v>
      </c>
      <c r="L564" s="190" t="s">
        <v>363</v>
      </c>
      <c r="M564" s="192" t="s">
        <v>364</v>
      </c>
      <c r="N564" s="193">
        <v>4</v>
      </c>
      <c r="O564" s="193">
        <v>334545</v>
      </c>
      <c r="P564" s="194">
        <v>1338180</v>
      </c>
      <c r="Q564" s="194">
        <v>133818</v>
      </c>
      <c r="R564" s="194">
        <v>1471998</v>
      </c>
      <c r="S564" s="192"/>
      <c r="T564" s="192" t="s">
        <v>310</v>
      </c>
      <c r="U564" s="190">
        <v>60630</v>
      </c>
      <c r="V564" s="190"/>
      <c r="W564" s="195" t="s">
        <v>356</v>
      </c>
      <c r="X564" s="196" t="str">
        <f>+IFERROR(VLOOKUP($F564,'[2]Chuyển đổi mã'!$A$1:$C$91,3,0),$F564)&amp;AC564</f>
        <v>Big C North323708</v>
      </c>
      <c r="Y564" s="196" t="str">
        <f>IFERROR(VLOOKUP($F564,'[2]Chuyển đổi mã'!$A$1:$C$184,3,0),F564)</f>
        <v>Big C North</v>
      </c>
      <c r="Z564" s="196" t="str">
        <f>VLOOKUP($G564,'[2]Thông tin NPP'!$B:$D,3,0)</f>
        <v>BIG C North</v>
      </c>
      <c r="AA564" s="196" t="str">
        <f t="shared" si="130"/>
        <v>Nextar Bro</v>
      </c>
      <c r="AB564" s="196" t="str">
        <f>IFERROR(VLOOKUP(DAY(B564),'[2]Chuyển đổi mã'!$F$1:$G$32,2,0),0)</f>
        <v>W3</v>
      </c>
      <c r="AC564" s="196" t="str">
        <f t="shared" si="131"/>
        <v>323708</v>
      </c>
      <c r="AD564" s="196" t="str">
        <f t="shared" si="132"/>
        <v>NPP</v>
      </c>
      <c r="AE564" s="196" t="str">
        <f t="shared" si="133"/>
        <v>NPP323708</v>
      </c>
      <c r="AF564" s="196">
        <f t="shared" si="134"/>
        <v>0</v>
      </c>
    </row>
    <row r="565" spans="1:32" ht="12.95" hidden="1" customHeight="1">
      <c r="A565" s="190">
        <v>62783</v>
      </c>
      <c r="B565" s="191">
        <v>43573</v>
      </c>
      <c r="C565" s="190" t="s">
        <v>457</v>
      </c>
      <c r="D565" s="190" t="s">
        <v>633</v>
      </c>
      <c r="E565" s="190" t="s">
        <v>346</v>
      </c>
      <c r="F565" s="190" t="s">
        <v>634</v>
      </c>
      <c r="G565" s="192" t="s">
        <v>635</v>
      </c>
      <c r="H565" s="192" t="s">
        <v>296</v>
      </c>
      <c r="I565" s="192" t="s">
        <v>395</v>
      </c>
      <c r="J565" s="192" t="s">
        <v>350</v>
      </c>
      <c r="K565" s="190" t="s">
        <v>351</v>
      </c>
      <c r="L565" s="190" t="s">
        <v>359</v>
      </c>
      <c r="M565" s="192" t="s">
        <v>360</v>
      </c>
      <c r="N565" s="193">
        <v>6</v>
      </c>
      <c r="O565" s="193">
        <v>313636</v>
      </c>
      <c r="P565" s="194">
        <v>1881816</v>
      </c>
      <c r="Q565" s="194">
        <v>188181.6</v>
      </c>
      <c r="R565" s="194">
        <v>2069997.6</v>
      </c>
      <c r="S565" s="192"/>
      <c r="T565" s="192" t="s">
        <v>310</v>
      </c>
      <c r="U565" s="190">
        <v>60624</v>
      </c>
      <c r="V565" s="190"/>
      <c r="W565" s="195" t="s">
        <v>356</v>
      </c>
      <c r="X565" s="196" t="str">
        <f>+IFERROR(VLOOKUP($F565,'[2]Chuyển đổi mã'!$A$1:$C$91,3,0),$F565)&amp;AC565</f>
        <v>Big C North320445</v>
      </c>
      <c r="Y565" s="196" t="str">
        <f>IFERROR(VLOOKUP($F565,'[2]Chuyển đổi mã'!$A$1:$C$184,3,0),F565)</f>
        <v>Big C North</v>
      </c>
      <c r="Z565" s="196" t="str">
        <f>VLOOKUP($G565,'[2]Thông tin NPP'!$B:$D,3,0)</f>
        <v>BIG C North</v>
      </c>
      <c r="AA565" s="196" t="str">
        <f t="shared" si="130"/>
        <v>Na 58g</v>
      </c>
      <c r="AB565" s="196" t="str">
        <f>IFERROR(VLOOKUP(DAY(B565),'[2]Chuyển đổi mã'!$F$1:$G$32,2,0),0)</f>
        <v>W3</v>
      </c>
      <c r="AC565" s="196" t="str">
        <f t="shared" si="131"/>
        <v>320445</v>
      </c>
      <c r="AD565" s="196" t="str">
        <f t="shared" si="132"/>
        <v>NPP</v>
      </c>
      <c r="AE565" s="196" t="str">
        <f t="shared" si="133"/>
        <v>NPP320445</v>
      </c>
      <c r="AF565" s="196">
        <f t="shared" si="134"/>
        <v>0</v>
      </c>
    </row>
    <row r="566" spans="1:32" ht="12.95" hidden="1" customHeight="1">
      <c r="A566" s="190">
        <v>62783</v>
      </c>
      <c r="B566" s="191">
        <v>43573</v>
      </c>
      <c r="C566" s="190" t="s">
        <v>457</v>
      </c>
      <c r="D566" s="190" t="s">
        <v>633</v>
      </c>
      <c r="E566" s="190" t="s">
        <v>346</v>
      </c>
      <c r="F566" s="190" t="s">
        <v>634</v>
      </c>
      <c r="G566" s="192" t="s">
        <v>635</v>
      </c>
      <c r="H566" s="192" t="s">
        <v>296</v>
      </c>
      <c r="I566" s="192" t="s">
        <v>395</v>
      </c>
      <c r="J566" s="192" t="s">
        <v>350</v>
      </c>
      <c r="K566" s="190" t="s">
        <v>351</v>
      </c>
      <c r="L566" s="190" t="s">
        <v>361</v>
      </c>
      <c r="M566" s="192" t="s">
        <v>362</v>
      </c>
      <c r="N566" s="193">
        <v>4</v>
      </c>
      <c r="O566" s="193">
        <v>313636</v>
      </c>
      <c r="P566" s="194">
        <v>1254544</v>
      </c>
      <c r="Q566" s="194">
        <v>125454.39999999999</v>
      </c>
      <c r="R566" s="194">
        <v>1379998.4</v>
      </c>
      <c r="S566" s="192"/>
      <c r="T566" s="192" t="s">
        <v>310</v>
      </c>
      <c r="U566" s="190">
        <v>60624</v>
      </c>
      <c r="V566" s="190"/>
      <c r="W566" s="195" t="s">
        <v>356</v>
      </c>
      <c r="X566" s="196" t="str">
        <f>+IFERROR(VLOOKUP($F566,'[2]Chuyển đổi mã'!$A$1:$C$91,3,0),$F566)&amp;AC566</f>
        <v>Big C North331017</v>
      </c>
      <c r="Y566" s="196" t="str">
        <f>IFERROR(VLOOKUP($F566,'[2]Chuyển đổi mã'!$A$1:$C$184,3,0),F566)</f>
        <v>Big C North</v>
      </c>
      <c r="Z566" s="196" t="str">
        <f>VLOOKUP($G566,'[2]Thông tin NPP'!$B:$D,3,0)</f>
        <v>BIG C North</v>
      </c>
      <c r="AA566" s="196" t="str">
        <f t="shared" si="130"/>
        <v>Richoco Wf</v>
      </c>
      <c r="AB566" s="196" t="str">
        <f>IFERROR(VLOOKUP(DAY(B566),'[2]Chuyển đổi mã'!$F$1:$G$32,2,0),0)</f>
        <v>W3</v>
      </c>
      <c r="AC566" s="196" t="str">
        <f t="shared" si="131"/>
        <v>331017</v>
      </c>
      <c r="AD566" s="196" t="str">
        <f t="shared" si="132"/>
        <v>NPP</v>
      </c>
      <c r="AE566" s="196" t="str">
        <f t="shared" si="133"/>
        <v>NPP331017</v>
      </c>
      <c r="AF566" s="196">
        <f t="shared" si="134"/>
        <v>0</v>
      </c>
    </row>
    <row r="567" spans="1:32" ht="12.95" hidden="1" customHeight="1">
      <c r="A567" s="190">
        <v>62783</v>
      </c>
      <c r="B567" s="191">
        <v>43573</v>
      </c>
      <c r="C567" s="190" t="s">
        <v>457</v>
      </c>
      <c r="D567" s="190" t="s">
        <v>633</v>
      </c>
      <c r="E567" s="190" t="s">
        <v>346</v>
      </c>
      <c r="F567" s="190" t="s">
        <v>634</v>
      </c>
      <c r="G567" s="192" t="s">
        <v>635</v>
      </c>
      <c r="H567" s="192" t="s">
        <v>296</v>
      </c>
      <c r="I567" s="192" t="s">
        <v>395</v>
      </c>
      <c r="J567" s="192" t="s">
        <v>350</v>
      </c>
      <c r="K567" s="190" t="s">
        <v>351</v>
      </c>
      <c r="L567" s="190" t="s">
        <v>363</v>
      </c>
      <c r="M567" s="192" t="s">
        <v>364</v>
      </c>
      <c r="N567" s="193">
        <v>3</v>
      </c>
      <c r="O567" s="193">
        <v>334545</v>
      </c>
      <c r="P567" s="194">
        <v>1003635</v>
      </c>
      <c r="Q567" s="194">
        <v>100363.5</v>
      </c>
      <c r="R567" s="194">
        <v>1103998.5</v>
      </c>
      <c r="S567" s="192"/>
      <c r="T567" s="192" t="s">
        <v>310</v>
      </c>
      <c r="U567" s="190">
        <v>60624</v>
      </c>
      <c r="V567" s="190"/>
      <c r="W567" s="195" t="s">
        <v>356</v>
      </c>
      <c r="X567" s="196" t="str">
        <f>+IFERROR(VLOOKUP($F567,'[2]Chuyển đổi mã'!$A$1:$C$91,3,0),$F567)&amp;AC567</f>
        <v>Big C North323708</v>
      </c>
      <c r="Y567" s="196" t="str">
        <f>IFERROR(VLOOKUP($F567,'[2]Chuyển đổi mã'!$A$1:$C$184,3,0),F567)</f>
        <v>Big C North</v>
      </c>
      <c r="Z567" s="196" t="str">
        <f>VLOOKUP($G567,'[2]Thông tin NPP'!$B:$D,3,0)</f>
        <v>BIG C North</v>
      </c>
      <c r="AA567" s="196" t="str">
        <f t="shared" si="130"/>
        <v>Nextar Bro</v>
      </c>
      <c r="AB567" s="196" t="str">
        <f>IFERROR(VLOOKUP(DAY(B567),'[2]Chuyển đổi mã'!$F$1:$G$32,2,0),0)</f>
        <v>W3</v>
      </c>
      <c r="AC567" s="196" t="str">
        <f t="shared" si="131"/>
        <v>323708</v>
      </c>
      <c r="AD567" s="196" t="str">
        <f t="shared" si="132"/>
        <v>NPP</v>
      </c>
      <c r="AE567" s="196" t="str">
        <f t="shared" si="133"/>
        <v>NPP323708</v>
      </c>
      <c r="AF567" s="196">
        <f t="shared" si="134"/>
        <v>0</v>
      </c>
    </row>
    <row r="568" spans="1:32" ht="12.95" hidden="1" customHeight="1">
      <c r="A568" s="190">
        <v>62784</v>
      </c>
      <c r="B568" s="191">
        <v>43573</v>
      </c>
      <c r="C568" s="190" t="s">
        <v>457</v>
      </c>
      <c r="D568" s="190" t="s">
        <v>636</v>
      </c>
      <c r="E568" s="190" t="s">
        <v>346</v>
      </c>
      <c r="F568" s="190" t="s">
        <v>516</v>
      </c>
      <c r="G568" s="192" t="s">
        <v>517</v>
      </c>
      <c r="H568" s="192" t="s">
        <v>296</v>
      </c>
      <c r="I568" s="192" t="s">
        <v>395</v>
      </c>
      <c r="J568" s="192" t="s">
        <v>350</v>
      </c>
      <c r="K568" s="190" t="s">
        <v>351</v>
      </c>
      <c r="L568" s="190" t="s">
        <v>352</v>
      </c>
      <c r="M568" s="192" t="s">
        <v>353</v>
      </c>
      <c r="N568" s="193">
        <v>5</v>
      </c>
      <c r="O568" s="193">
        <v>155455</v>
      </c>
      <c r="P568" s="194">
        <v>777275</v>
      </c>
      <c r="Q568" s="194">
        <v>77727.5</v>
      </c>
      <c r="R568" s="194">
        <v>855002.5</v>
      </c>
      <c r="S568" s="192"/>
      <c r="T568" s="192" t="s">
        <v>310</v>
      </c>
      <c r="U568" s="190">
        <v>60623</v>
      </c>
      <c r="V568" s="190"/>
      <c r="W568" s="195" t="s">
        <v>356</v>
      </c>
      <c r="X568" s="196" t="str">
        <f>+IFERROR(VLOOKUP($F568,'[2]Chuyển đổi mã'!$A$1:$C$91,3,0),$F568)&amp;AC568</f>
        <v>Big C North320463</v>
      </c>
      <c r="Y568" s="196" t="str">
        <f>IFERROR(VLOOKUP($F568,'[2]Chuyển đổi mã'!$A$1:$C$184,3,0),F568)</f>
        <v>Big C North</v>
      </c>
      <c r="Z568" s="196" t="str">
        <f>VLOOKUP($G568,'[2]Thông tin NPP'!$B:$D,3,0)</f>
        <v>BIG C North</v>
      </c>
      <c r="AA568" s="196" t="str">
        <f t="shared" si="130"/>
        <v>Na 8,5g</v>
      </c>
      <c r="AB568" s="196" t="str">
        <f>IFERROR(VLOOKUP(DAY(B568),'[2]Chuyển đổi mã'!$F$1:$G$32,2,0),0)</f>
        <v>W3</v>
      </c>
      <c r="AC568" s="196" t="str">
        <f t="shared" si="131"/>
        <v>320463</v>
      </c>
      <c r="AD568" s="196" t="str">
        <f t="shared" si="132"/>
        <v>NPP</v>
      </c>
      <c r="AE568" s="196" t="str">
        <f t="shared" si="133"/>
        <v>NPP320463</v>
      </c>
      <c r="AF568" s="196">
        <f t="shared" si="134"/>
        <v>0</v>
      </c>
    </row>
    <row r="569" spans="1:32" ht="12.95" hidden="1" customHeight="1">
      <c r="A569" s="190">
        <v>62784</v>
      </c>
      <c r="B569" s="191">
        <v>43573</v>
      </c>
      <c r="C569" s="190" t="s">
        <v>457</v>
      </c>
      <c r="D569" s="190" t="s">
        <v>636</v>
      </c>
      <c r="E569" s="190" t="s">
        <v>346</v>
      </c>
      <c r="F569" s="190" t="s">
        <v>516</v>
      </c>
      <c r="G569" s="192" t="s">
        <v>517</v>
      </c>
      <c r="H569" s="192" t="s">
        <v>296</v>
      </c>
      <c r="I569" s="192" t="s">
        <v>395</v>
      </c>
      <c r="J569" s="192" t="s">
        <v>350</v>
      </c>
      <c r="K569" s="190" t="s">
        <v>351</v>
      </c>
      <c r="L569" s="190" t="s">
        <v>387</v>
      </c>
      <c r="M569" s="192" t="s">
        <v>388</v>
      </c>
      <c r="N569" s="193">
        <v>3</v>
      </c>
      <c r="O569" s="193">
        <v>355455</v>
      </c>
      <c r="P569" s="194">
        <v>1066365</v>
      </c>
      <c r="Q569" s="194">
        <v>106636.5</v>
      </c>
      <c r="R569" s="194">
        <v>1173001.5</v>
      </c>
      <c r="S569" s="192"/>
      <c r="T569" s="192" t="s">
        <v>310</v>
      </c>
      <c r="U569" s="190">
        <v>60623</v>
      </c>
      <c r="V569" s="190"/>
      <c r="W569" s="195" t="s">
        <v>356</v>
      </c>
      <c r="X569" s="196" t="str">
        <f>+IFERROR(VLOOKUP($F569,'[2]Chuyển đổi mã'!$A$1:$C$91,3,0),$F569)&amp;AC569</f>
        <v>Big C North323620</v>
      </c>
      <c r="Y569" s="196" t="str">
        <f>IFERROR(VLOOKUP($F569,'[2]Chuyển đổi mã'!$A$1:$C$184,3,0),F569)</f>
        <v>Big C North</v>
      </c>
      <c r="Z569" s="196" t="str">
        <f>VLOOKUP($G569,'[2]Thông tin NPP'!$B:$D,3,0)</f>
        <v>BIG C North</v>
      </c>
      <c r="AA569" s="196" t="str">
        <f t="shared" si="130"/>
        <v>Ahh 16g</v>
      </c>
      <c r="AB569" s="196" t="str">
        <f>IFERROR(VLOOKUP(DAY(B569),'[2]Chuyển đổi mã'!$F$1:$G$32,2,0),0)</f>
        <v>W3</v>
      </c>
      <c r="AC569" s="196" t="str">
        <f t="shared" si="131"/>
        <v>323620</v>
      </c>
      <c r="AD569" s="196" t="str">
        <f t="shared" si="132"/>
        <v>NPP</v>
      </c>
      <c r="AE569" s="196" t="str">
        <f t="shared" si="133"/>
        <v>NPP323620</v>
      </c>
      <c r="AF569" s="196">
        <f t="shared" si="134"/>
        <v>0</v>
      </c>
    </row>
    <row r="570" spans="1:32" ht="12.95" hidden="1" customHeight="1">
      <c r="A570" s="190">
        <v>62784</v>
      </c>
      <c r="B570" s="191">
        <v>43573</v>
      </c>
      <c r="C570" s="190" t="s">
        <v>457</v>
      </c>
      <c r="D570" s="190" t="s">
        <v>636</v>
      </c>
      <c r="E570" s="190" t="s">
        <v>346</v>
      </c>
      <c r="F570" s="190" t="s">
        <v>516</v>
      </c>
      <c r="G570" s="192" t="s">
        <v>517</v>
      </c>
      <c r="H570" s="192" t="s">
        <v>296</v>
      </c>
      <c r="I570" s="192" t="s">
        <v>395</v>
      </c>
      <c r="J570" s="192" t="s">
        <v>350</v>
      </c>
      <c r="K570" s="190" t="s">
        <v>351</v>
      </c>
      <c r="L570" s="190" t="s">
        <v>357</v>
      </c>
      <c r="M570" s="192" t="s">
        <v>358</v>
      </c>
      <c r="N570" s="193">
        <v>6</v>
      </c>
      <c r="O570" s="193">
        <v>213273</v>
      </c>
      <c r="P570" s="194">
        <v>1279638</v>
      </c>
      <c r="Q570" s="194">
        <v>127963.8</v>
      </c>
      <c r="R570" s="194">
        <v>1407601.8</v>
      </c>
      <c r="S570" s="192"/>
      <c r="T570" s="192" t="s">
        <v>310</v>
      </c>
      <c r="U570" s="190">
        <v>60623</v>
      </c>
      <c r="V570" s="190"/>
      <c r="W570" s="195" t="s">
        <v>356</v>
      </c>
      <c r="X570" s="196" t="str">
        <f>+IFERROR(VLOOKUP($F570,'[2]Chuyển đổi mã'!$A$1:$C$91,3,0),$F570)&amp;AC570</f>
        <v>Big C North323555</v>
      </c>
      <c r="Y570" s="196" t="str">
        <f>IFERROR(VLOOKUP($F570,'[2]Chuyển đổi mã'!$A$1:$C$184,3,0),F570)</f>
        <v>Big C North</v>
      </c>
      <c r="Z570" s="196" t="str">
        <f>VLOOKUP($G570,'[2]Thông tin NPP'!$B:$D,3,0)</f>
        <v>BIG C North</v>
      </c>
      <c r="AA570" s="196" t="str">
        <f t="shared" si="130"/>
        <v>Na 17g - M</v>
      </c>
      <c r="AB570" s="196" t="str">
        <f>IFERROR(VLOOKUP(DAY(B570),'[2]Chuyển đổi mã'!$F$1:$G$32,2,0),0)</f>
        <v>W3</v>
      </c>
      <c r="AC570" s="196" t="str">
        <f t="shared" si="131"/>
        <v>323555</v>
      </c>
      <c r="AD570" s="196" t="str">
        <f t="shared" si="132"/>
        <v>NPP</v>
      </c>
      <c r="AE570" s="196" t="str">
        <f t="shared" si="133"/>
        <v>NPP323555</v>
      </c>
      <c r="AF570" s="196">
        <f t="shared" si="134"/>
        <v>0</v>
      </c>
    </row>
    <row r="571" spans="1:32" ht="12.95" hidden="1" customHeight="1">
      <c r="A571" s="190">
        <v>62784</v>
      </c>
      <c r="B571" s="191">
        <v>43573</v>
      </c>
      <c r="C571" s="190" t="s">
        <v>457</v>
      </c>
      <c r="D571" s="190" t="s">
        <v>636</v>
      </c>
      <c r="E571" s="190" t="s">
        <v>346</v>
      </c>
      <c r="F571" s="190" t="s">
        <v>516</v>
      </c>
      <c r="G571" s="192" t="s">
        <v>517</v>
      </c>
      <c r="H571" s="192" t="s">
        <v>296</v>
      </c>
      <c r="I571" s="192" t="s">
        <v>395</v>
      </c>
      <c r="J571" s="192" t="s">
        <v>350</v>
      </c>
      <c r="K571" s="190" t="s">
        <v>351</v>
      </c>
      <c r="L571" s="190" t="s">
        <v>359</v>
      </c>
      <c r="M571" s="192" t="s">
        <v>360</v>
      </c>
      <c r="N571" s="193">
        <v>2</v>
      </c>
      <c r="O571" s="193">
        <v>313636</v>
      </c>
      <c r="P571" s="194">
        <v>627272</v>
      </c>
      <c r="Q571" s="194">
        <v>62727.199999999997</v>
      </c>
      <c r="R571" s="194">
        <v>689999.2</v>
      </c>
      <c r="S571" s="192"/>
      <c r="T571" s="192" t="s">
        <v>310</v>
      </c>
      <c r="U571" s="190">
        <v>60623</v>
      </c>
      <c r="V571" s="190"/>
      <c r="W571" s="195" t="s">
        <v>356</v>
      </c>
      <c r="X571" s="196" t="str">
        <f>+IFERROR(VLOOKUP($F571,'[2]Chuyển đổi mã'!$A$1:$C$91,3,0),$F571)&amp;AC571</f>
        <v>Big C North320445</v>
      </c>
      <c r="Y571" s="196" t="str">
        <f>IFERROR(VLOOKUP($F571,'[2]Chuyển đổi mã'!$A$1:$C$184,3,0),F571)</f>
        <v>Big C North</v>
      </c>
      <c r="Z571" s="196" t="str">
        <f>VLOOKUP($G571,'[2]Thông tin NPP'!$B:$D,3,0)</f>
        <v>BIG C North</v>
      </c>
      <c r="AA571" s="196" t="str">
        <f t="shared" si="130"/>
        <v>Na 58g</v>
      </c>
      <c r="AB571" s="196" t="str">
        <f>IFERROR(VLOOKUP(DAY(B571),'[2]Chuyển đổi mã'!$F$1:$G$32,2,0),0)</f>
        <v>W3</v>
      </c>
      <c r="AC571" s="196" t="str">
        <f t="shared" si="131"/>
        <v>320445</v>
      </c>
      <c r="AD571" s="196" t="str">
        <f t="shared" si="132"/>
        <v>NPP</v>
      </c>
      <c r="AE571" s="196" t="str">
        <f t="shared" si="133"/>
        <v>NPP320445</v>
      </c>
      <c r="AF571" s="196">
        <f t="shared" si="134"/>
        <v>0</v>
      </c>
    </row>
    <row r="572" spans="1:32" ht="12.95" hidden="1" customHeight="1">
      <c r="A572" s="190">
        <v>62784</v>
      </c>
      <c r="B572" s="191">
        <v>43573</v>
      </c>
      <c r="C572" s="190" t="s">
        <v>457</v>
      </c>
      <c r="D572" s="190" t="s">
        <v>636</v>
      </c>
      <c r="E572" s="190" t="s">
        <v>346</v>
      </c>
      <c r="F572" s="190" t="s">
        <v>516</v>
      </c>
      <c r="G572" s="192" t="s">
        <v>517</v>
      </c>
      <c r="H572" s="192" t="s">
        <v>296</v>
      </c>
      <c r="I572" s="192" t="s">
        <v>395</v>
      </c>
      <c r="J572" s="192" t="s">
        <v>350</v>
      </c>
      <c r="K572" s="190" t="s">
        <v>351</v>
      </c>
      <c r="L572" s="190" t="s">
        <v>361</v>
      </c>
      <c r="M572" s="192" t="s">
        <v>362</v>
      </c>
      <c r="N572" s="193">
        <v>2</v>
      </c>
      <c r="O572" s="193">
        <v>313636</v>
      </c>
      <c r="P572" s="194">
        <v>627272</v>
      </c>
      <c r="Q572" s="194">
        <v>62727.199999999997</v>
      </c>
      <c r="R572" s="194">
        <v>689999.2</v>
      </c>
      <c r="S572" s="192"/>
      <c r="T572" s="192" t="s">
        <v>310</v>
      </c>
      <c r="U572" s="190">
        <v>60623</v>
      </c>
      <c r="V572" s="190"/>
      <c r="W572" s="195" t="s">
        <v>356</v>
      </c>
      <c r="X572" s="196" t="str">
        <f>+IFERROR(VLOOKUP($F572,'[2]Chuyển đổi mã'!$A$1:$C$91,3,0),$F572)&amp;AC572</f>
        <v>Big C North331017</v>
      </c>
      <c r="Y572" s="196" t="str">
        <f>IFERROR(VLOOKUP($F572,'[2]Chuyển đổi mã'!$A$1:$C$184,3,0),F572)</f>
        <v>Big C North</v>
      </c>
      <c r="Z572" s="196" t="str">
        <f>VLOOKUP($G572,'[2]Thông tin NPP'!$B:$D,3,0)</f>
        <v>BIG C North</v>
      </c>
      <c r="AA572" s="196" t="str">
        <f t="shared" si="130"/>
        <v>Richoco Wf</v>
      </c>
      <c r="AB572" s="196" t="str">
        <f>IFERROR(VLOOKUP(DAY(B572),'[2]Chuyển đổi mã'!$F$1:$G$32,2,0),0)</f>
        <v>W3</v>
      </c>
      <c r="AC572" s="196" t="str">
        <f t="shared" si="131"/>
        <v>331017</v>
      </c>
      <c r="AD572" s="196" t="str">
        <f t="shared" si="132"/>
        <v>NPP</v>
      </c>
      <c r="AE572" s="196" t="str">
        <f t="shared" si="133"/>
        <v>NPP331017</v>
      </c>
      <c r="AF572" s="196">
        <f t="shared" si="134"/>
        <v>0</v>
      </c>
    </row>
    <row r="573" spans="1:32" ht="12.95" hidden="1" customHeight="1">
      <c r="A573" s="190">
        <v>62784</v>
      </c>
      <c r="B573" s="191">
        <v>43573</v>
      </c>
      <c r="C573" s="190" t="s">
        <v>457</v>
      </c>
      <c r="D573" s="190" t="s">
        <v>636</v>
      </c>
      <c r="E573" s="190" t="s">
        <v>346</v>
      </c>
      <c r="F573" s="190" t="s">
        <v>516</v>
      </c>
      <c r="G573" s="192" t="s">
        <v>517</v>
      </c>
      <c r="H573" s="192" t="s">
        <v>296</v>
      </c>
      <c r="I573" s="192" t="s">
        <v>395</v>
      </c>
      <c r="J573" s="192" t="s">
        <v>350</v>
      </c>
      <c r="K573" s="190" t="s">
        <v>351</v>
      </c>
      <c r="L573" s="190" t="s">
        <v>363</v>
      </c>
      <c r="M573" s="192" t="s">
        <v>364</v>
      </c>
      <c r="N573" s="193">
        <v>2</v>
      </c>
      <c r="O573" s="193">
        <v>334545</v>
      </c>
      <c r="P573" s="194">
        <v>669090</v>
      </c>
      <c r="Q573" s="194">
        <v>66909</v>
      </c>
      <c r="R573" s="194">
        <v>735999</v>
      </c>
      <c r="S573" s="192"/>
      <c r="T573" s="192" t="s">
        <v>310</v>
      </c>
      <c r="U573" s="190">
        <v>60623</v>
      </c>
      <c r="V573" s="190"/>
      <c r="W573" s="195" t="s">
        <v>356</v>
      </c>
      <c r="X573" s="196" t="str">
        <f>+IFERROR(VLOOKUP($F573,'[2]Chuyển đổi mã'!$A$1:$C$91,3,0),$F573)&amp;AC573</f>
        <v>Big C North323708</v>
      </c>
      <c r="Y573" s="196" t="str">
        <f>IFERROR(VLOOKUP($F573,'[2]Chuyển đổi mã'!$A$1:$C$184,3,0),F573)</f>
        <v>Big C North</v>
      </c>
      <c r="Z573" s="196" t="str">
        <f>VLOOKUP($G573,'[2]Thông tin NPP'!$B:$D,3,0)</f>
        <v>BIG C North</v>
      </c>
      <c r="AA573" s="196" t="str">
        <f t="shared" si="130"/>
        <v>Nextar Bro</v>
      </c>
      <c r="AB573" s="196" t="str">
        <f>IFERROR(VLOOKUP(DAY(B573),'[2]Chuyển đổi mã'!$F$1:$G$32,2,0),0)</f>
        <v>W3</v>
      </c>
      <c r="AC573" s="196" t="str">
        <f t="shared" si="131"/>
        <v>323708</v>
      </c>
      <c r="AD573" s="196" t="str">
        <f t="shared" si="132"/>
        <v>NPP</v>
      </c>
      <c r="AE573" s="196" t="str">
        <f t="shared" si="133"/>
        <v>NPP323708</v>
      </c>
      <c r="AF573" s="196">
        <f t="shared" si="134"/>
        <v>0</v>
      </c>
    </row>
    <row r="574" spans="1:32" ht="12.95" hidden="1" customHeight="1">
      <c r="A574" s="190">
        <v>62785</v>
      </c>
      <c r="B574" s="191">
        <v>43573</v>
      </c>
      <c r="C574" s="190" t="s">
        <v>457</v>
      </c>
      <c r="D574" s="190" t="s">
        <v>637</v>
      </c>
      <c r="E574" s="190" t="s">
        <v>346</v>
      </c>
      <c r="F574" s="190" t="s">
        <v>393</v>
      </c>
      <c r="G574" s="192" t="s">
        <v>394</v>
      </c>
      <c r="H574" s="192" t="s">
        <v>296</v>
      </c>
      <c r="I574" s="192" t="s">
        <v>395</v>
      </c>
      <c r="J574" s="192" t="s">
        <v>350</v>
      </c>
      <c r="K574" s="190" t="s">
        <v>351</v>
      </c>
      <c r="L574" s="190" t="s">
        <v>352</v>
      </c>
      <c r="M574" s="192" t="s">
        <v>353</v>
      </c>
      <c r="N574" s="193">
        <v>2</v>
      </c>
      <c r="O574" s="193">
        <v>155455</v>
      </c>
      <c r="P574" s="194">
        <v>310910</v>
      </c>
      <c r="Q574" s="194">
        <v>31091</v>
      </c>
      <c r="R574" s="194">
        <v>342001</v>
      </c>
      <c r="S574" s="192"/>
      <c r="T574" s="192" t="s">
        <v>310</v>
      </c>
      <c r="U574" s="190">
        <v>60622</v>
      </c>
      <c r="V574" s="190"/>
      <c r="W574" s="195" t="s">
        <v>356</v>
      </c>
      <c r="X574" s="196" t="str">
        <f>+IFERROR(VLOOKUP($F574,'[2]Chuyển đổi mã'!$A$1:$C$91,3,0),$F574)&amp;AC574</f>
        <v>Big C North320463</v>
      </c>
      <c r="Y574" s="196" t="str">
        <f>IFERROR(VLOOKUP($F574,'[2]Chuyển đổi mã'!$A$1:$C$184,3,0),F574)</f>
        <v>Big C North</v>
      </c>
      <c r="Z574" s="196" t="str">
        <f>VLOOKUP($G574,'[2]Thông tin NPP'!$B:$D,3,0)</f>
        <v>BIG C North</v>
      </c>
      <c r="AA574" s="196" t="str">
        <f t="shared" si="130"/>
        <v>Na 8,5g</v>
      </c>
      <c r="AB574" s="196" t="str">
        <f>IFERROR(VLOOKUP(DAY(B574),'[2]Chuyển đổi mã'!$F$1:$G$32,2,0),0)</f>
        <v>W3</v>
      </c>
      <c r="AC574" s="196" t="str">
        <f t="shared" si="131"/>
        <v>320463</v>
      </c>
      <c r="AD574" s="196" t="str">
        <f t="shared" si="132"/>
        <v>NPP</v>
      </c>
      <c r="AE574" s="196" t="str">
        <f t="shared" si="133"/>
        <v>NPP320463</v>
      </c>
      <c r="AF574" s="196">
        <f t="shared" si="134"/>
        <v>0</v>
      </c>
    </row>
    <row r="575" spans="1:32" ht="12.95" hidden="1" customHeight="1">
      <c r="A575" s="190">
        <v>62785</v>
      </c>
      <c r="B575" s="191">
        <v>43573</v>
      </c>
      <c r="C575" s="190" t="s">
        <v>457</v>
      </c>
      <c r="D575" s="190" t="s">
        <v>637</v>
      </c>
      <c r="E575" s="190" t="s">
        <v>346</v>
      </c>
      <c r="F575" s="190" t="s">
        <v>393</v>
      </c>
      <c r="G575" s="192" t="s">
        <v>394</v>
      </c>
      <c r="H575" s="192" t="s">
        <v>296</v>
      </c>
      <c r="I575" s="192" t="s">
        <v>395</v>
      </c>
      <c r="J575" s="192" t="s">
        <v>350</v>
      </c>
      <c r="K575" s="190" t="s">
        <v>351</v>
      </c>
      <c r="L575" s="190" t="s">
        <v>357</v>
      </c>
      <c r="M575" s="192" t="s">
        <v>358</v>
      </c>
      <c r="N575" s="193">
        <v>6</v>
      </c>
      <c r="O575" s="193">
        <v>213273</v>
      </c>
      <c r="P575" s="194">
        <v>1279638</v>
      </c>
      <c r="Q575" s="194">
        <v>127963.8</v>
      </c>
      <c r="R575" s="194">
        <v>1407601.8</v>
      </c>
      <c r="S575" s="192"/>
      <c r="T575" s="192" t="s">
        <v>310</v>
      </c>
      <c r="U575" s="190">
        <v>60622</v>
      </c>
      <c r="V575" s="190"/>
      <c r="W575" s="195" t="s">
        <v>356</v>
      </c>
      <c r="X575" s="196" t="str">
        <f>+IFERROR(VLOOKUP($F575,'[2]Chuyển đổi mã'!$A$1:$C$91,3,0),$F575)&amp;AC575</f>
        <v>Big C North323555</v>
      </c>
      <c r="Y575" s="196" t="str">
        <f>IFERROR(VLOOKUP($F575,'[2]Chuyển đổi mã'!$A$1:$C$184,3,0),F575)</f>
        <v>Big C North</v>
      </c>
      <c r="Z575" s="196" t="str">
        <f>VLOOKUP($G575,'[2]Thông tin NPP'!$B:$D,3,0)</f>
        <v>BIG C North</v>
      </c>
      <c r="AA575" s="196" t="str">
        <f t="shared" si="130"/>
        <v>Na 17g - M</v>
      </c>
      <c r="AB575" s="196" t="str">
        <f>IFERROR(VLOOKUP(DAY(B575),'[2]Chuyển đổi mã'!$F$1:$G$32,2,0),0)</f>
        <v>W3</v>
      </c>
      <c r="AC575" s="196" t="str">
        <f t="shared" si="131"/>
        <v>323555</v>
      </c>
      <c r="AD575" s="196" t="str">
        <f t="shared" si="132"/>
        <v>NPP</v>
      </c>
      <c r="AE575" s="196" t="str">
        <f t="shared" si="133"/>
        <v>NPP323555</v>
      </c>
      <c r="AF575" s="196">
        <f t="shared" si="134"/>
        <v>0</v>
      </c>
    </row>
    <row r="576" spans="1:32" ht="12.95" hidden="1" customHeight="1">
      <c r="A576" s="190">
        <v>62785</v>
      </c>
      <c r="B576" s="191">
        <v>43573</v>
      </c>
      <c r="C576" s="190" t="s">
        <v>457</v>
      </c>
      <c r="D576" s="190" t="s">
        <v>637</v>
      </c>
      <c r="E576" s="190" t="s">
        <v>346</v>
      </c>
      <c r="F576" s="190" t="s">
        <v>393</v>
      </c>
      <c r="G576" s="192" t="s">
        <v>394</v>
      </c>
      <c r="H576" s="192" t="s">
        <v>296</v>
      </c>
      <c r="I576" s="192" t="s">
        <v>395</v>
      </c>
      <c r="J576" s="192" t="s">
        <v>350</v>
      </c>
      <c r="K576" s="190" t="s">
        <v>351</v>
      </c>
      <c r="L576" s="190" t="s">
        <v>359</v>
      </c>
      <c r="M576" s="192" t="s">
        <v>360</v>
      </c>
      <c r="N576" s="193">
        <v>5</v>
      </c>
      <c r="O576" s="193">
        <v>313636</v>
      </c>
      <c r="P576" s="194">
        <v>1568180</v>
      </c>
      <c r="Q576" s="194">
        <v>156818</v>
      </c>
      <c r="R576" s="194">
        <v>1724998</v>
      </c>
      <c r="S576" s="192"/>
      <c r="T576" s="192" t="s">
        <v>310</v>
      </c>
      <c r="U576" s="190">
        <v>60622</v>
      </c>
      <c r="V576" s="190"/>
      <c r="W576" s="195" t="s">
        <v>356</v>
      </c>
      <c r="X576" s="196" t="str">
        <f>+IFERROR(VLOOKUP($F576,'[2]Chuyển đổi mã'!$A$1:$C$91,3,0),$F576)&amp;AC576</f>
        <v>Big C North320445</v>
      </c>
      <c r="Y576" s="196" t="str">
        <f>IFERROR(VLOOKUP($F576,'[2]Chuyển đổi mã'!$A$1:$C$184,3,0),F576)</f>
        <v>Big C North</v>
      </c>
      <c r="Z576" s="196" t="str">
        <f>VLOOKUP($G576,'[2]Thông tin NPP'!$B:$D,3,0)</f>
        <v>BIG C North</v>
      </c>
      <c r="AA576" s="196" t="str">
        <f t="shared" si="130"/>
        <v>Na 58g</v>
      </c>
      <c r="AB576" s="196" t="str">
        <f>IFERROR(VLOOKUP(DAY(B576),'[2]Chuyển đổi mã'!$F$1:$G$32,2,0),0)</f>
        <v>W3</v>
      </c>
      <c r="AC576" s="196" t="str">
        <f t="shared" si="131"/>
        <v>320445</v>
      </c>
      <c r="AD576" s="196" t="str">
        <f t="shared" si="132"/>
        <v>NPP</v>
      </c>
      <c r="AE576" s="196" t="str">
        <f t="shared" si="133"/>
        <v>NPP320445</v>
      </c>
      <c r="AF576" s="196">
        <f t="shared" si="134"/>
        <v>0</v>
      </c>
    </row>
    <row r="577" spans="1:32" ht="12.95" hidden="1" customHeight="1">
      <c r="A577" s="190">
        <v>62785</v>
      </c>
      <c r="B577" s="191">
        <v>43573</v>
      </c>
      <c r="C577" s="190" t="s">
        <v>457</v>
      </c>
      <c r="D577" s="190" t="s">
        <v>637</v>
      </c>
      <c r="E577" s="190" t="s">
        <v>346</v>
      </c>
      <c r="F577" s="190" t="s">
        <v>393</v>
      </c>
      <c r="G577" s="192" t="s">
        <v>394</v>
      </c>
      <c r="H577" s="192" t="s">
        <v>296</v>
      </c>
      <c r="I577" s="192" t="s">
        <v>395</v>
      </c>
      <c r="J577" s="192" t="s">
        <v>350</v>
      </c>
      <c r="K577" s="190" t="s">
        <v>351</v>
      </c>
      <c r="L577" s="190" t="s">
        <v>361</v>
      </c>
      <c r="M577" s="192" t="s">
        <v>362</v>
      </c>
      <c r="N577" s="193">
        <v>4</v>
      </c>
      <c r="O577" s="193">
        <v>313636</v>
      </c>
      <c r="P577" s="194">
        <v>1254544</v>
      </c>
      <c r="Q577" s="194">
        <v>125454.39999999999</v>
      </c>
      <c r="R577" s="194">
        <v>1379998.4</v>
      </c>
      <c r="S577" s="192"/>
      <c r="T577" s="192" t="s">
        <v>310</v>
      </c>
      <c r="U577" s="190">
        <v>60622</v>
      </c>
      <c r="V577" s="190"/>
      <c r="W577" s="195" t="s">
        <v>356</v>
      </c>
      <c r="X577" s="196" t="str">
        <f>+IFERROR(VLOOKUP($F577,'[2]Chuyển đổi mã'!$A$1:$C$91,3,0),$F577)&amp;AC577</f>
        <v>Big C North331017</v>
      </c>
      <c r="Y577" s="196" t="str">
        <f>IFERROR(VLOOKUP($F577,'[2]Chuyển đổi mã'!$A$1:$C$184,3,0),F577)</f>
        <v>Big C North</v>
      </c>
      <c r="Z577" s="196" t="str">
        <f>VLOOKUP($G577,'[2]Thông tin NPP'!$B:$D,3,0)</f>
        <v>BIG C North</v>
      </c>
      <c r="AA577" s="196" t="str">
        <f t="shared" si="130"/>
        <v>Richoco Wf</v>
      </c>
      <c r="AB577" s="196" t="str">
        <f>IFERROR(VLOOKUP(DAY(B577),'[2]Chuyển đổi mã'!$F$1:$G$32,2,0),0)</f>
        <v>W3</v>
      </c>
      <c r="AC577" s="196" t="str">
        <f t="shared" si="131"/>
        <v>331017</v>
      </c>
      <c r="AD577" s="196" t="str">
        <f t="shared" si="132"/>
        <v>NPP</v>
      </c>
      <c r="AE577" s="196" t="str">
        <f t="shared" si="133"/>
        <v>NPP331017</v>
      </c>
      <c r="AF577" s="196">
        <f t="shared" si="134"/>
        <v>0</v>
      </c>
    </row>
    <row r="578" spans="1:32" ht="12.95" hidden="1" customHeight="1">
      <c r="A578" s="190">
        <v>62786</v>
      </c>
      <c r="B578" s="191">
        <v>43573</v>
      </c>
      <c r="C578" s="190" t="s">
        <v>457</v>
      </c>
      <c r="D578" s="190" t="s">
        <v>638</v>
      </c>
      <c r="E578" s="190" t="s">
        <v>346</v>
      </c>
      <c r="F578" s="190" t="s">
        <v>537</v>
      </c>
      <c r="G578" s="192" t="s">
        <v>538</v>
      </c>
      <c r="H578" s="192" t="s">
        <v>296</v>
      </c>
      <c r="I578" s="192" t="s">
        <v>395</v>
      </c>
      <c r="J578" s="192" t="s">
        <v>350</v>
      </c>
      <c r="K578" s="190" t="s">
        <v>351</v>
      </c>
      <c r="L578" s="190" t="s">
        <v>352</v>
      </c>
      <c r="M578" s="192" t="s">
        <v>353</v>
      </c>
      <c r="N578" s="193">
        <v>3</v>
      </c>
      <c r="O578" s="193">
        <v>155455</v>
      </c>
      <c r="P578" s="194">
        <v>466365</v>
      </c>
      <c r="Q578" s="194">
        <v>46636.5</v>
      </c>
      <c r="R578" s="194">
        <v>513001.5</v>
      </c>
      <c r="S578" s="192"/>
      <c r="T578" s="192" t="s">
        <v>310</v>
      </c>
      <c r="U578" s="190">
        <v>60621</v>
      </c>
      <c r="V578" s="190"/>
      <c r="W578" s="195" t="s">
        <v>356</v>
      </c>
      <c r="X578" s="196" t="str">
        <f>+IFERROR(VLOOKUP($F578,'[2]Chuyển đổi mã'!$A$1:$C$91,3,0),$F578)&amp;AC578</f>
        <v>Big C North320463</v>
      </c>
      <c r="Y578" s="196" t="str">
        <f>IFERROR(VLOOKUP($F578,'[2]Chuyển đổi mã'!$A$1:$C$184,3,0),F578)</f>
        <v>Big C North</v>
      </c>
      <c r="Z578" s="196" t="str">
        <f>VLOOKUP($G578,'[2]Thông tin NPP'!$B:$D,3,0)</f>
        <v>BIG C North</v>
      </c>
      <c r="AA578" s="196" t="str">
        <f t="shared" si="130"/>
        <v>Na 8,5g</v>
      </c>
      <c r="AB578" s="196" t="str">
        <f>IFERROR(VLOOKUP(DAY(B578),'[2]Chuyển đổi mã'!$F$1:$G$32,2,0),0)</f>
        <v>W3</v>
      </c>
      <c r="AC578" s="196" t="str">
        <f t="shared" si="131"/>
        <v>320463</v>
      </c>
      <c r="AD578" s="196" t="str">
        <f t="shared" si="132"/>
        <v>NPP</v>
      </c>
      <c r="AE578" s="196" t="str">
        <f t="shared" si="133"/>
        <v>NPP320463</v>
      </c>
      <c r="AF578" s="196">
        <f t="shared" si="134"/>
        <v>0</v>
      </c>
    </row>
    <row r="579" spans="1:32" ht="12.95" hidden="1" customHeight="1">
      <c r="A579" s="190">
        <v>62786</v>
      </c>
      <c r="B579" s="191">
        <v>43573</v>
      </c>
      <c r="C579" s="190" t="s">
        <v>457</v>
      </c>
      <c r="D579" s="190" t="s">
        <v>638</v>
      </c>
      <c r="E579" s="190" t="s">
        <v>346</v>
      </c>
      <c r="F579" s="190" t="s">
        <v>537</v>
      </c>
      <c r="G579" s="192" t="s">
        <v>538</v>
      </c>
      <c r="H579" s="192" t="s">
        <v>296</v>
      </c>
      <c r="I579" s="192" t="s">
        <v>395</v>
      </c>
      <c r="J579" s="192" t="s">
        <v>350</v>
      </c>
      <c r="K579" s="190" t="s">
        <v>351</v>
      </c>
      <c r="L579" s="190" t="s">
        <v>387</v>
      </c>
      <c r="M579" s="192" t="s">
        <v>388</v>
      </c>
      <c r="N579" s="193">
        <v>4</v>
      </c>
      <c r="O579" s="193">
        <v>355455</v>
      </c>
      <c r="P579" s="194">
        <v>1421820</v>
      </c>
      <c r="Q579" s="194">
        <v>142182</v>
      </c>
      <c r="R579" s="194">
        <v>1564002</v>
      </c>
      <c r="S579" s="192"/>
      <c r="T579" s="192" t="s">
        <v>310</v>
      </c>
      <c r="U579" s="190">
        <v>60621</v>
      </c>
      <c r="V579" s="190"/>
      <c r="W579" s="195" t="s">
        <v>356</v>
      </c>
      <c r="X579" s="196" t="str">
        <f>+IFERROR(VLOOKUP($F579,'[2]Chuyển đổi mã'!$A$1:$C$91,3,0),$F579)&amp;AC579</f>
        <v>Big C North323620</v>
      </c>
      <c r="Y579" s="196" t="str">
        <f>IFERROR(VLOOKUP($F579,'[2]Chuyển đổi mã'!$A$1:$C$184,3,0),F579)</f>
        <v>Big C North</v>
      </c>
      <c r="Z579" s="196" t="str">
        <f>VLOOKUP($G579,'[2]Thông tin NPP'!$B:$D,3,0)</f>
        <v>BIG C North</v>
      </c>
      <c r="AA579" s="196" t="str">
        <f t="shared" si="130"/>
        <v>Ahh 16g</v>
      </c>
      <c r="AB579" s="196" t="str">
        <f>IFERROR(VLOOKUP(DAY(B579),'[2]Chuyển đổi mã'!$F$1:$G$32,2,0),0)</f>
        <v>W3</v>
      </c>
      <c r="AC579" s="196" t="str">
        <f t="shared" si="131"/>
        <v>323620</v>
      </c>
      <c r="AD579" s="196" t="str">
        <f t="shared" si="132"/>
        <v>NPP</v>
      </c>
      <c r="AE579" s="196" t="str">
        <f t="shared" si="133"/>
        <v>NPP323620</v>
      </c>
      <c r="AF579" s="196">
        <f t="shared" si="134"/>
        <v>0</v>
      </c>
    </row>
    <row r="580" spans="1:32" ht="12.95" hidden="1" customHeight="1">
      <c r="A580" s="190">
        <v>62786</v>
      </c>
      <c r="B580" s="191">
        <v>43573</v>
      </c>
      <c r="C580" s="190" t="s">
        <v>457</v>
      </c>
      <c r="D580" s="190" t="s">
        <v>638</v>
      </c>
      <c r="E580" s="190" t="s">
        <v>346</v>
      </c>
      <c r="F580" s="190" t="s">
        <v>537</v>
      </c>
      <c r="G580" s="192" t="s">
        <v>538</v>
      </c>
      <c r="H580" s="192" t="s">
        <v>296</v>
      </c>
      <c r="I580" s="192" t="s">
        <v>395</v>
      </c>
      <c r="J580" s="192" t="s">
        <v>350</v>
      </c>
      <c r="K580" s="190" t="s">
        <v>351</v>
      </c>
      <c r="L580" s="190" t="s">
        <v>357</v>
      </c>
      <c r="M580" s="192" t="s">
        <v>358</v>
      </c>
      <c r="N580" s="193">
        <v>3</v>
      </c>
      <c r="O580" s="193">
        <v>213273</v>
      </c>
      <c r="P580" s="194">
        <v>639819</v>
      </c>
      <c r="Q580" s="194">
        <v>63981.9</v>
      </c>
      <c r="R580" s="194">
        <v>703800.9</v>
      </c>
      <c r="S580" s="192"/>
      <c r="T580" s="192" t="s">
        <v>310</v>
      </c>
      <c r="U580" s="190">
        <v>60621</v>
      </c>
      <c r="V580" s="190"/>
      <c r="W580" s="195" t="s">
        <v>356</v>
      </c>
      <c r="X580" s="196" t="str">
        <f>+IFERROR(VLOOKUP($F580,'[2]Chuyển đổi mã'!$A$1:$C$91,3,0),$F580)&amp;AC580</f>
        <v>Big C North323555</v>
      </c>
      <c r="Y580" s="196" t="str">
        <f>IFERROR(VLOOKUP($F580,'[2]Chuyển đổi mã'!$A$1:$C$184,3,0),F580)</f>
        <v>Big C North</v>
      </c>
      <c r="Z580" s="196" t="str">
        <f>VLOOKUP($G580,'[2]Thông tin NPP'!$B:$D,3,0)</f>
        <v>BIG C North</v>
      </c>
      <c r="AA580" s="196" t="str">
        <f t="shared" si="130"/>
        <v>Na 17g - M</v>
      </c>
      <c r="AB580" s="196" t="str">
        <f>IFERROR(VLOOKUP(DAY(B580),'[2]Chuyển đổi mã'!$F$1:$G$32,2,0),0)</f>
        <v>W3</v>
      </c>
      <c r="AC580" s="196" t="str">
        <f t="shared" si="131"/>
        <v>323555</v>
      </c>
      <c r="AD580" s="196" t="str">
        <f t="shared" si="132"/>
        <v>NPP</v>
      </c>
      <c r="AE580" s="196" t="str">
        <f t="shared" si="133"/>
        <v>NPP323555</v>
      </c>
      <c r="AF580" s="196">
        <f t="shared" si="134"/>
        <v>0</v>
      </c>
    </row>
    <row r="581" spans="1:32" ht="12.95" hidden="1" customHeight="1">
      <c r="A581" s="190">
        <v>62786</v>
      </c>
      <c r="B581" s="191">
        <v>43573</v>
      </c>
      <c r="C581" s="190" t="s">
        <v>457</v>
      </c>
      <c r="D581" s="190" t="s">
        <v>638</v>
      </c>
      <c r="E581" s="190" t="s">
        <v>346</v>
      </c>
      <c r="F581" s="190" t="s">
        <v>537</v>
      </c>
      <c r="G581" s="192" t="s">
        <v>538</v>
      </c>
      <c r="H581" s="192" t="s">
        <v>296</v>
      </c>
      <c r="I581" s="192" t="s">
        <v>395</v>
      </c>
      <c r="J581" s="192" t="s">
        <v>350</v>
      </c>
      <c r="K581" s="190" t="s">
        <v>351</v>
      </c>
      <c r="L581" s="190" t="s">
        <v>359</v>
      </c>
      <c r="M581" s="192" t="s">
        <v>360</v>
      </c>
      <c r="N581" s="193">
        <v>5</v>
      </c>
      <c r="O581" s="193">
        <v>313636</v>
      </c>
      <c r="P581" s="194">
        <v>1568180</v>
      </c>
      <c r="Q581" s="194">
        <v>156818</v>
      </c>
      <c r="R581" s="194">
        <v>1724998</v>
      </c>
      <c r="S581" s="192"/>
      <c r="T581" s="192" t="s">
        <v>310</v>
      </c>
      <c r="U581" s="190">
        <v>60621</v>
      </c>
      <c r="V581" s="190"/>
      <c r="W581" s="195" t="s">
        <v>356</v>
      </c>
      <c r="X581" s="196" t="str">
        <f>+IFERROR(VLOOKUP($F581,'[2]Chuyển đổi mã'!$A$1:$C$91,3,0),$F581)&amp;AC581</f>
        <v>Big C North320445</v>
      </c>
      <c r="Y581" s="196" t="str">
        <f>IFERROR(VLOOKUP($F581,'[2]Chuyển đổi mã'!$A$1:$C$184,3,0),F581)</f>
        <v>Big C North</v>
      </c>
      <c r="Z581" s="196" t="str">
        <f>VLOOKUP($G581,'[2]Thông tin NPP'!$B:$D,3,0)</f>
        <v>BIG C North</v>
      </c>
      <c r="AA581" s="196" t="str">
        <f t="shared" si="130"/>
        <v>Na 58g</v>
      </c>
      <c r="AB581" s="196" t="str">
        <f>IFERROR(VLOOKUP(DAY(B581),'[2]Chuyển đổi mã'!$F$1:$G$32,2,0),0)</f>
        <v>W3</v>
      </c>
      <c r="AC581" s="196" t="str">
        <f t="shared" si="131"/>
        <v>320445</v>
      </c>
      <c r="AD581" s="196" t="str">
        <f t="shared" si="132"/>
        <v>NPP</v>
      </c>
      <c r="AE581" s="196" t="str">
        <f t="shared" si="133"/>
        <v>NPP320445</v>
      </c>
      <c r="AF581" s="196">
        <f t="shared" si="134"/>
        <v>0</v>
      </c>
    </row>
    <row r="582" spans="1:32" ht="12.95" hidden="1" customHeight="1">
      <c r="A582" s="190">
        <v>62786</v>
      </c>
      <c r="B582" s="191">
        <v>43573</v>
      </c>
      <c r="C582" s="190" t="s">
        <v>457</v>
      </c>
      <c r="D582" s="190" t="s">
        <v>638</v>
      </c>
      <c r="E582" s="190" t="s">
        <v>346</v>
      </c>
      <c r="F582" s="190" t="s">
        <v>537</v>
      </c>
      <c r="G582" s="192" t="s">
        <v>538</v>
      </c>
      <c r="H582" s="192" t="s">
        <v>296</v>
      </c>
      <c r="I582" s="192" t="s">
        <v>395</v>
      </c>
      <c r="J582" s="192" t="s">
        <v>350</v>
      </c>
      <c r="K582" s="190" t="s">
        <v>351</v>
      </c>
      <c r="L582" s="190" t="s">
        <v>361</v>
      </c>
      <c r="M582" s="192" t="s">
        <v>362</v>
      </c>
      <c r="N582" s="193">
        <v>3</v>
      </c>
      <c r="O582" s="193">
        <v>313636</v>
      </c>
      <c r="P582" s="194">
        <v>940908</v>
      </c>
      <c r="Q582" s="194">
        <v>94090.8</v>
      </c>
      <c r="R582" s="194">
        <v>1034998.8</v>
      </c>
      <c r="S582" s="192"/>
      <c r="T582" s="192" t="s">
        <v>310</v>
      </c>
      <c r="U582" s="190">
        <v>60621</v>
      </c>
      <c r="V582" s="190"/>
      <c r="W582" s="195" t="s">
        <v>356</v>
      </c>
      <c r="X582" s="196" t="str">
        <f>+IFERROR(VLOOKUP($F582,'[2]Chuyển đổi mã'!$A$1:$C$91,3,0),$F582)&amp;AC582</f>
        <v>Big C North331017</v>
      </c>
      <c r="Y582" s="196" t="str">
        <f>IFERROR(VLOOKUP($F582,'[2]Chuyển đổi mã'!$A$1:$C$184,3,0),F582)</f>
        <v>Big C North</v>
      </c>
      <c r="Z582" s="196" t="str">
        <f>VLOOKUP($G582,'[2]Thông tin NPP'!$B:$D,3,0)</f>
        <v>BIG C North</v>
      </c>
      <c r="AA582" s="196" t="str">
        <f t="shared" si="130"/>
        <v>Richoco Wf</v>
      </c>
      <c r="AB582" s="196" t="str">
        <f>IFERROR(VLOOKUP(DAY(B582),'[2]Chuyển đổi mã'!$F$1:$G$32,2,0),0)</f>
        <v>W3</v>
      </c>
      <c r="AC582" s="196" t="str">
        <f t="shared" si="131"/>
        <v>331017</v>
      </c>
      <c r="AD582" s="196" t="str">
        <f t="shared" si="132"/>
        <v>NPP</v>
      </c>
      <c r="AE582" s="196" t="str">
        <f t="shared" si="133"/>
        <v>NPP331017</v>
      </c>
      <c r="AF582" s="196">
        <f t="shared" si="134"/>
        <v>0</v>
      </c>
    </row>
    <row r="583" spans="1:32" ht="12.95" hidden="1" customHeight="1">
      <c r="A583" s="190">
        <v>62789</v>
      </c>
      <c r="B583" s="191">
        <v>43573</v>
      </c>
      <c r="C583" s="190" t="s">
        <v>457</v>
      </c>
      <c r="D583" s="190" t="s">
        <v>639</v>
      </c>
      <c r="E583" s="190" t="s">
        <v>346</v>
      </c>
      <c r="F583" s="190" t="s">
        <v>519</v>
      </c>
      <c r="G583" s="192" t="s">
        <v>520</v>
      </c>
      <c r="H583" s="192" t="s">
        <v>296</v>
      </c>
      <c r="I583" s="192" t="s">
        <v>395</v>
      </c>
      <c r="J583" s="192" t="s">
        <v>350</v>
      </c>
      <c r="K583" s="190" t="s">
        <v>351</v>
      </c>
      <c r="L583" s="190" t="s">
        <v>352</v>
      </c>
      <c r="M583" s="192" t="s">
        <v>353</v>
      </c>
      <c r="N583" s="193">
        <v>5</v>
      </c>
      <c r="O583" s="193">
        <v>115036.7</v>
      </c>
      <c r="P583" s="194">
        <v>575183.5</v>
      </c>
      <c r="Q583" s="194">
        <v>57518.35</v>
      </c>
      <c r="R583" s="194">
        <v>632701.85</v>
      </c>
      <c r="S583" s="192" t="s">
        <v>544</v>
      </c>
      <c r="T583" s="192" t="s">
        <v>545</v>
      </c>
      <c r="U583" s="190">
        <v>60620</v>
      </c>
      <c r="V583" s="190"/>
      <c r="W583" s="195" t="s">
        <v>356</v>
      </c>
      <c r="X583" s="196" t="str">
        <f>+IFERROR(VLOOKUP($F583,'[2]Chuyển đổi mã'!$A$1:$C$91,3,0),$F583)&amp;AC583</f>
        <v>Lotte North320463</v>
      </c>
      <c r="Y583" s="196" t="str">
        <f>IFERROR(VLOOKUP($F583,'[2]Chuyển đổi mã'!$A$1:$C$184,3,0),F583)</f>
        <v>Lotte North</v>
      </c>
      <c r="Z583" s="196" t="str">
        <f>VLOOKUP($G583,'[2]Thông tin NPP'!$B:$D,3,0)</f>
        <v>Lotte North</v>
      </c>
      <c r="AA583" s="196" t="str">
        <f t="shared" si="130"/>
        <v>Na 8,5g</v>
      </c>
      <c r="AB583" s="196" t="str">
        <f>IFERROR(VLOOKUP(DAY(B583),'[2]Chuyển đổi mã'!$F$1:$G$32,2,0),0)</f>
        <v>W3</v>
      </c>
      <c r="AC583" s="196" t="str">
        <f t="shared" si="131"/>
        <v>320463</v>
      </c>
      <c r="AD583" s="196" t="str">
        <f t="shared" si="132"/>
        <v>NPP</v>
      </c>
      <c r="AE583" s="196" t="str">
        <f t="shared" si="133"/>
        <v>NPP320463</v>
      </c>
      <c r="AF583" s="196">
        <f t="shared" si="134"/>
        <v>0</v>
      </c>
    </row>
    <row r="584" spans="1:32" ht="12.95" hidden="1" customHeight="1">
      <c r="A584" s="190">
        <v>62789</v>
      </c>
      <c r="B584" s="191">
        <v>43573</v>
      </c>
      <c r="C584" s="190" t="s">
        <v>457</v>
      </c>
      <c r="D584" s="190" t="s">
        <v>639</v>
      </c>
      <c r="E584" s="190" t="s">
        <v>346</v>
      </c>
      <c r="F584" s="190" t="s">
        <v>519</v>
      </c>
      <c r="G584" s="192" t="s">
        <v>520</v>
      </c>
      <c r="H584" s="192" t="s">
        <v>296</v>
      </c>
      <c r="I584" s="192" t="s">
        <v>395</v>
      </c>
      <c r="J584" s="192" t="s">
        <v>350</v>
      </c>
      <c r="K584" s="190" t="s">
        <v>351</v>
      </c>
      <c r="L584" s="190" t="s">
        <v>387</v>
      </c>
      <c r="M584" s="192" t="s">
        <v>388</v>
      </c>
      <c r="N584" s="193">
        <v>2</v>
      </c>
      <c r="O584" s="193">
        <v>340000</v>
      </c>
      <c r="P584" s="194">
        <v>680000</v>
      </c>
      <c r="Q584" s="194">
        <v>68000</v>
      </c>
      <c r="R584" s="194">
        <v>748000</v>
      </c>
      <c r="S584" s="192"/>
      <c r="T584" s="192" t="s">
        <v>310</v>
      </c>
      <c r="U584" s="190">
        <v>60620</v>
      </c>
      <c r="V584" s="190"/>
      <c r="W584" s="195" t="s">
        <v>356</v>
      </c>
      <c r="X584" s="196" t="str">
        <f>+IFERROR(VLOOKUP($F584,'[2]Chuyển đổi mã'!$A$1:$C$91,3,0),$F584)&amp;AC584</f>
        <v>Lotte North323620</v>
      </c>
      <c r="Y584" s="196" t="str">
        <f>IFERROR(VLOOKUP($F584,'[2]Chuyển đổi mã'!$A$1:$C$184,3,0),F584)</f>
        <v>Lotte North</v>
      </c>
      <c r="Z584" s="196" t="str">
        <f>VLOOKUP($G584,'[2]Thông tin NPP'!$B:$D,3,0)</f>
        <v>Lotte North</v>
      </c>
      <c r="AA584" s="196" t="str">
        <f t="shared" si="130"/>
        <v>Ahh 16g</v>
      </c>
      <c r="AB584" s="196" t="str">
        <f>IFERROR(VLOOKUP(DAY(B584),'[2]Chuyển đổi mã'!$F$1:$G$32,2,0),0)</f>
        <v>W3</v>
      </c>
      <c r="AC584" s="196" t="str">
        <f t="shared" si="131"/>
        <v>323620</v>
      </c>
      <c r="AD584" s="196" t="str">
        <f t="shared" si="132"/>
        <v>NPP</v>
      </c>
      <c r="AE584" s="196" t="str">
        <f t="shared" si="133"/>
        <v>NPP323620</v>
      </c>
      <c r="AF584" s="196">
        <f t="shared" si="134"/>
        <v>0</v>
      </c>
    </row>
    <row r="585" spans="1:32" ht="12.95" hidden="1" customHeight="1">
      <c r="A585" s="190">
        <v>62789</v>
      </c>
      <c r="B585" s="191">
        <v>43573</v>
      </c>
      <c r="C585" s="190" t="s">
        <v>457</v>
      </c>
      <c r="D585" s="190" t="s">
        <v>639</v>
      </c>
      <c r="E585" s="190" t="s">
        <v>346</v>
      </c>
      <c r="F585" s="190" t="s">
        <v>519</v>
      </c>
      <c r="G585" s="192" t="s">
        <v>520</v>
      </c>
      <c r="H585" s="192" t="s">
        <v>296</v>
      </c>
      <c r="I585" s="192" t="s">
        <v>395</v>
      </c>
      <c r="J585" s="192" t="s">
        <v>350</v>
      </c>
      <c r="K585" s="190" t="s">
        <v>351</v>
      </c>
      <c r="L585" s="190" t="s">
        <v>361</v>
      </c>
      <c r="M585" s="192" t="s">
        <v>362</v>
      </c>
      <c r="N585" s="193">
        <v>3</v>
      </c>
      <c r="O585" s="193">
        <v>300000</v>
      </c>
      <c r="P585" s="194">
        <v>900000</v>
      </c>
      <c r="Q585" s="194">
        <v>90000</v>
      </c>
      <c r="R585" s="194">
        <v>990000</v>
      </c>
      <c r="S585" s="192"/>
      <c r="T585" s="192" t="s">
        <v>310</v>
      </c>
      <c r="U585" s="190">
        <v>60620</v>
      </c>
      <c r="V585" s="190"/>
      <c r="W585" s="195" t="s">
        <v>356</v>
      </c>
      <c r="X585" s="196" t="str">
        <f>+IFERROR(VLOOKUP($F585,'[2]Chuyển đổi mã'!$A$1:$C$91,3,0),$F585)&amp;AC585</f>
        <v>Lotte North331017</v>
      </c>
      <c r="Y585" s="196" t="str">
        <f>IFERROR(VLOOKUP($F585,'[2]Chuyển đổi mã'!$A$1:$C$184,3,0),F585)</f>
        <v>Lotte North</v>
      </c>
      <c r="Z585" s="196" t="str">
        <f>VLOOKUP($G585,'[2]Thông tin NPP'!$B:$D,3,0)</f>
        <v>Lotte North</v>
      </c>
      <c r="AA585" s="196" t="str">
        <f t="shared" si="130"/>
        <v>Richoco Wf</v>
      </c>
      <c r="AB585" s="196" t="str">
        <f>IFERROR(VLOOKUP(DAY(B585),'[2]Chuyển đổi mã'!$F$1:$G$32,2,0),0)</f>
        <v>W3</v>
      </c>
      <c r="AC585" s="196" t="str">
        <f t="shared" si="131"/>
        <v>331017</v>
      </c>
      <c r="AD585" s="196" t="str">
        <f t="shared" si="132"/>
        <v>NPP</v>
      </c>
      <c r="AE585" s="196" t="str">
        <f t="shared" si="133"/>
        <v>NPP331017</v>
      </c>
      <c r="AF585" s="196">
        <f t="shared" si="134"/>
        <v>0</v>
      </c>
    </row>
    <row r="586" spans="1:32" ht="12.95" hidden="1" customHeight="1">
      <c r="A586" s="190">
        <v>62789</v>
      </c>
      <c r="B586" s="191">
        <v>43573</v>
      </c>
      <c r="C586" s="190" t="s">
        <v>457</v>
      </c>
      <c r="D586" s="190" t="s">
        <v>639</v>
      </c>
      <c r="E586" s="190" t="s">
        <v>346</v>
      </c>
      <c r="F586" s="190" t="s">
        <v>519</v>
      </c>
      <c r="G586" s="192" t="s">
        <v>520</v>
      </c>
      <c r="H586" s="192" t="s">
        <v>296</v>
      </c>
      <c r="I586" s="192" t="s">
        <v>395</v>
      </c>
      <c r="J586" s="192" t="s">
        <v>350</v>
      </c>
      <c r="K586" s="190" t="s">
        <v>351</v>
      </c>
      <c r="L586" s="190" t="s">
        <v>359</v>
      </c>
      <c r="M586" s="192" t="s">
        <v>360</v>
      </c>
      <c r="N586" s="193">
        <v>2</v>
      </c>
      <c r="O586" s="193">
        <v>300000</v>
      </c>
      <c r="P586" s="194">
        <v>600000</v>
      </c>
      <c r="Q586" s="194">
        <v>60000</v>
      </c>
      <c r="R586" s="194">
        <v>660000</v>
      </c>
      <c r="S586" s="192"/>
      <c r="T586" s="192" t="s">
        <v>310</v>
      </c>
      <c r="U586" s="190">
        <v>60620</v>
      </c>
      <c r="V586" s="190"/>
      <c r="W586" s="195" t="s">
        <v>356</v>
      </c>
      <c r="X586" s="196" t="str">
        <f>+IFERROR(VLOOKUP($F586,'[2]Chuyển đổi mã'!$A$1:$C$91,3,0),$F586)&amp;AC586</f>
        <v>Lotte North320445</v>
      </c>
      <c r="Y586" s="196" t="str">
        <f>IFERROR(VLOOKUP($F586,'[2]Chuyển đổi mã'!$A$1:$C$184,3,0),F586)</f>
        <v>Lotte North</v>
      </c>
      <c r="Z586" s="196" t="str">
        <f>VLOOKUP($G586,'[2]Thông tin NPP'!$B:$D,3,0)</f>
        <v>Lotte North</v>
      </c>
      <c r="AA586" s="196" t="str">
        <f t="shared" si="130"/>
        <v>Na 58g</v>
      </c>
      <c r="AB586" s="196" t="str">
        <f>IFERROR(VLOOKUP(DAY(B586),'[2]Chuyển đổi mã'!$F$1:$G$32,2,0),0)</f>
        <v>W3</v>
      </c>
      <c r="AC586" s="196" t="str">
        <f t="shared" si="131"/>
        <v>320445</v>
      </c>
      <c r="AD586" s="196" t="str">
        <f t="shared" si="132"/>
        <v>NPP</v>
      </c>
      <c r="AE586" s="196" t="str">
        <f t="shared" si="133"/>
        <v>NPP320445</v>
      </c>
      <c r="AF586" s="196">
        <f t="shared" si="134"/>
        <v>0</v>
      </c>
    </row>
    <row r="587" spans="1:32" ht="12.95" hidden="1" customHeight="1">
      <c r="A587" s="190">
        <v>62789</v>
      </c>
      <c r="B587" s="191">
        <v>43573</v>
      </c>
      <c r="C587" s="190" t="s">
        <v>457</v>
      </c>
      <c r="D587" s="190" t="s">
        <v>639</v>
      </c>
      <c r="E587" s="190" t="s">
        <v>346</v>
      </c>
      <c r="F587" s="190" t="s">
        <v>519</v>
      </c>
      <c r="G587" s="192" t="s">
        <v>520</v>
      </c>
      <c r="H587" s="192" t="s">
        <v>296</v>
      </c>
      <c r="I587" s="192" t="s">
        <v>395</v>
      </c>
      <c r="J587" s="192" t="s">
        <v>350</v>
      </c>
      <c r="K587" s="190" t="s">
        <v>351</v>
      </c>
      <c r="L587" s="190" t="s">
        <v>357</v>
      </c>
      <c r="M587" s="192" t="s">
        <v>358</v>
      </c>
      <c r="N587" s="193">
        <v>10</v>
      </c>
      <c r="O587" s="193">
        <v>213273</v>
      </c>
      <c r="P587" s="194">
        <v>2132730</v>
      </c>
      <c r="Q587" s="194">
        <v>213273</v>
      </c>
      <c r="R587" s="194">
        <v>2346003</v>
      </c>
      <c r="S587" s="192"/>
      <c r="T587" s="192" t="s">
        <v>310</v>
      </c>
      <c r="U587" s="190">
        <v>60620</v>
      </c>
      <c r="V587" s="190"/>
      <c r="W587" s="195" t="s">
        <v>356</v>
      </c>
      <c r="X587" s="196" t="str">
        <f>+IFERROR(VLOOKUP($F587,'[2]Chuyển đổi mã'!$A$1:$C$91,3,0),$F587)&amp;AC587</f>
        <v>Lotte North323555</v>
      </c>
      <c r="Y587" s="196" t="str">
        <f>IFERROR(VLOOKUP($F587,'[2]Chuyển đổi mã'!$A$1:$C$184,3,0),F587)</f>
        <v>Lotte North</v>
      </c>
      <c r="Z587" s="196" t="str">
        <f>VLOOKUP($G587,'[2]Thông tin NPP'!$B:$D,3,0)</f>
        <v>Lotte North</v>
      </c>
      <c r="AA587" s="196" t="str">
        <f t="shared" si="130"/>
        <v>Na 17g - M</v>
      </c>
      <c r="AB587" s="196" t="str">
        <f>IFERROR(VLOOKUP(DAY(B587),'[2]Chuyển đổi mã'!$F$1:$G$32,2,0),0)</f>
        <v>W3</v>
      </c>
      <c r="AC587" s="196" t="str">
        <f t="shared" si="131"/>
        <v>323555</v>
      </c>
      <c r="AD587" s="196" t="str">
        <f t="shared" si="132"/>
        <v>NPP</v>
      </c>
      <c r="AE587" s="196" t="str">
        <f t="shared" si="133"/>
        <v>NPP323555</v>
      </c>
      <c r="AF587" s="196">
        <f t="shared" si="134"/>
        <v>0</v>
      </c>
    </row>
    <row r="588" spans="1:32" ht="12.95" customHeight="1">
      <c r="A588" s="190">
        <v>62790</v>
      </c>
      <c r="B588" s="191">
        <v>43573</v>
      </c>
      <c r="C588" s="190" t="s">
        <v>457</v>
      </c>
      <c r="D588" s="190" t="s">
        <v>640</v>
      </c>
      <c r="E588" s="190" t="s">
        <v>346</v>
      </c>
      <c r="F588" s="190" t="s">
        <v>550</v>
      </c>
      <c r="G588" s="192" t="s">
        <v>551</v>
      </c>
      <c r="H588" s="192" t="s">
        <v>296</v>
      </c>
      <c r="I588" s="192" t="s">
        <v>349</v>
      </c>
      <c r="J588" s="192" t="s">
        <v>350</v>
      </c>
      <c r="K588" s="190" t="s">
        <v>351</v>
      </c>
      <c r="L588" s="190" t="s">
        <v>352</v>
      </c>
      <c r="M588" s="192" t="s">
        <v>353</v>
      </c>
      <c r="N588" s="193">
        <v>201</v>
      </c>
      <c r="O588" s="193">
        <v>115036.7</v>
      </c>
      <c r="P588" s="194">
        <v>23122376.699999999</v>
      </c>
      <c r="Q588" s="194">
        <v>2312237.67</v>
      </c>
      <c r="R588" s="194">
        <v>25434614.370000001</v>
      </c>
      <c r="S588" s="192" t="s">
        <v>544</v>
      </c>
      <c r="T588" s="192" t="s">
        <v>545</v>
      </c>
      <c r="U588" s="190">
        <v>60628</v>
      </c>
      <c r="V588" s="190"/>
      <c r="W588" s="195" t="s">
        <v>356</v>
      </c>
      <c r="X588" s="196" t="str">
        <f>+IFERROR(VLOOKUP($F588,'[2]Chuyển đổi mã'!$A$1:$C$91,3,0),$F588)&amp;AC588</f>
        <v>Lotte South320463</v>
      </c>
      <c r="Y588" s="196" t="str">
        <f>IFERROR(VLOOKUP($F588,'[2]Chuyển đổi mã'!$A$1:$C$184,3,0),F588)</f>
        <v>Lotte South</v>
      </c>
      <c r="Z588" s="196" t="str">
        <f>VLOOKUP($G588,'[2]Thông tin NPP'!$B:$D,3,0)</f>
        <v>Lotte South</v>
      </c>
      <c r="AA588" s="196" t="str">
        <f t="shared" si="130"/>
        <v>Na 8,5g</v>
      </c>
      <c r="AB588" s="196" t="str">
        <f>IFERROR(VLOOKUP(DAY(B588),'[2]Chuyển đổi mã'!$F$1:$G$32,2,0),0)</f>
        <v>W3</v>
      </c>
      <c r="AC588" s="196" t="str">
        <f t="shared" si="131"/>
        <v>320463</v>
      </c>
      <c r="AD588" s="196" t="str">
        <f t="shared" si="132"/>
        <v>NPP</v>
      </c>
      <c r="AE588" s="196" t="str">
        <f t="shared" si="133"/>
        <v>NPP320463</v>
      </c>
      <c r="AF588" s="196">
        <f t="shared" si="134"/>
        <v>0</v>
      </c>
    </row>
    <row r="589" spans="1:32" ht="12.95" hidden="1" customHeight="1">
      <c r="A589" s="190">
        <v>62791</v>
      </c>
      <c r="B589" s="191">
        <v>43573</v>
      </c>
      <c r="C589" s="190" t="s">
        <v>457</v>
      </c>
      <c r="D589" s="190" t="s">
        <v>641</v>
      </c>
      <c r="E589" s="190" t="s">
        <v>346</v>
      </c>
      <c r="F589" s="190" t="s">
        <v>481</v>
      </c>
      <c r="G589" s="192" t="s">
        <v>482</v>
      </c>
      <c r="H589" s="192" t="s">
        <v>296</v>
      </c>
      <c r="I589" s="192" t="s">
        <v>443</v>
      </c>
      <c r="J589" s="192" t="s">
        <v>350</v>
      </c>
      <c r="K589" s="190" t="s">
        <v>351</v>
      </c>
      <c r="L589" s="190" t="s">
        <v>387</v>
      </c>
      <c r="M589" s="192" t="s">
        <v>388</v>
      </c>
      <c r="N589" s="193">
        <v>100</v>
      </c>
      <c r="O589" s="193">
        <v>340000</v>
      </c>
      <c r="P589" s="194">
        <v>34000000</v>
      </c>
      <c r="Q589" s="194">
        <v>3400000</v>
      </c>
      <c r="R589" s="194">
        <v>37400000</v>
      </c>
      <c r="S589" s="192"/>
      <c r="T589" s="192" t="s">
        <v>310</v>
      </c>
      <c r="U589" s="190">
        <v>60627</v>
      </c>
      <c r="V589" s="190"/>
      <c r="W589" s="195" t="s">
        <v>356</v>
      </c>
      <c r="X589" s="196" t="str">
        <f>+IFERROR(VLOOKUP($F589,'[2]Chuyển đổi mã'!$A$1:$C$91,3,0),$F589)&amp;AC589</f>
        <v>Lotte Central323620</v>
      </c>
      <c r="Y589" s="196" t="str">
        <f>IFERROR(VLOOKUP($F589,'[2]Chuyển đổi mã'!$A$1:$C$184,3,0),F589)</f>
        <v>Lotte Central</v>
      </c>
      <c r="Z589" s="196" t="str">
        <f>VLOOKUP($G589,'[2]Thông tin NPP'!$B:$D,3,0)</f>
        <v>Lotte Central</v>
      </c>
      <c r="AA589" s="196" t="str">
        <f t="shared" si="130"/>
        <v>Ahh 16g</v>
      </c>
      <c r="AB589" s="196" t="str">
        <f>IFERROR(VLOOKUP(DAY(B589),'[2]Chuyển đổi mã'!$F$1:$G$32,2,0),0)</f>
        <v>W3</v>
      </c>
      <c r="AC589" s="196" t="str">
        <f t="shared" si="131"/>
        <v>323620</v>
      </c>
      <c r="AD589" s="196" t="str">
        <f t="shared" si="132"/>
        <v>NPP</v>
      </c>
      <c r="AE589" s="196" t="str">
        <f t="shared" si="133"/>
        <v>NPP323620</v>
      </c>
      <c r="AF589" s="196">
        <f t="shared" si="134"/>
        <v>0</v>
      </c>
    </row>
    <row r="590" spans="1:32" ht="12.95" hidden="1" customHeight="1">
      <c r="A590" s="190">
        <v>62792</v>
      </c>
      <c r="B590" s="191">
        <v>43573</v>
      </c>
      <c r="C590" s="190" t="s">
        <v>457</v>
      </c>
      <c r="D590" s="190" t="s">
        <v>642</v>
      </c>
      <c r="E590" s="190" t="s">
        <v>346</v>
      </c>
      <c r="F590" s="190" t="s">
        <v>389</v>
      </c>
      <c r="G590" s="192" t="s">
        <v>390</v>
      </c>
      <c r="H590" s="192" t="s">
        <v>296</v>
      </c>
      <c r="I590" s="192" t="s">
        <v>391</v>
      </c>
      <c r="J590" s="192" t="s">
        <v>350</v>
      </c>
      <c r="K590" s="190" t="s">
        <v>351</v>
      </c>
      <c r="L590" s="190" t="s">
        <v>357</v>
      </c>
      <c r="M590" s="192" t="s">
        <v>358</v>
      </c>
      <c r="N590" s="193">
        <v>1000</v>
      </c>
      <c r="O590" s="193">
        <v>157794</v>
      </c>
      <c r="P590" s="194">
        <v>157794000</v>
      </c>
      <c r="Q590" s="194">
        <v>15779400</v>
      </c>
      <c r="R590" s="194">
        <v>173573400</v>
      </c>
      <c r="S590" s="192" t="s">
        <v>643</v>
      </c>
      <c r="T590" s="192" t="s">
        <v>644</v>
      </c>
      <c r="U590" s="190">
        <v>60655</v>
      </c>
      <c r="V590" s="190"/>
      <c r="W590" s="195" t="s">
        <v>356</v>
      </c>
      <c r="X590" s="196" t="str">
        <f>+IFERROR(VLOOKUP($F590,'[2]Chuyển đổi mã'!$A$1:$C$91,3,0),$F590)&amp;AC590</f>
        <v>NPP00000468323555</v>
      </c>
      <c r="Y590" s="196" t="str">
        <f>IFERROR(VLOOKUP($F590,'[2]Chuyển đổi mã'!$A$1:$C$184,3,0),F590)</f>
        <v>NPP00000468</v>
      </c>
      <c r="Z590" s="196" t="e">
        <f>VLOOKUP($G590,'[2]Thông tin NPP'!$B:$D,3,0)</f>
        <v>#N/A</v>
      </c>
      <c r="AA590" s="196" t="str">
        <f t="shared" si="130"/>
        <v>Na 17g - M</v>
      </c>
      <c r="AB590" s="196" t="str">
        <f>IFERROR(VLOOKUP(DAY(B590),'[2]Chuyển đổi mã'!$F$1:$G$32,2,0),0)</f>
        <v>W3</v>
      </c>
      <c r="AC590" s="196" t="str">
        <f t="shared" si="131"/>
        <v>323555</v>
      </c>
      <c r="AD590" s="196" t="str">
        <f t="shared" si="132"/>
        <v>NPP</v>
      </c>
      <c r="AE590" s="196" t="str">
        <f t="shared" si="133"/>
        <v>NPP323555</v>
      </c>
      <c r="AF590" s="196">
        <f t="shared" si="134"/>
        <v>0</v>
      </c>
    </row>
    <row r="591" spans="1:32" ht="12.95" hidden="1" customHeight="1">
      <c r="A591" s="190">
        <v>62793</v>
      </c>
      <c r="B591" s="191">
        <v>43573</v>
      </c>
      <c r="C591" s="190" t="s">
        <v>457</v>
      </c>
      <c r="D591" s="190" t="s">
        <v>645</v>
      </c>
      <c r="E591" s="190" t="s">
        <v>346</v>
      </c>
      <c r="F591" s="190" t="s">
        <v>389</v>
      </c>
      <c r="G591" s="192" t="s">
        <v>390</v>
      </c>
      <c r="H591" s="192" t="s">
        <v>296</v>
      </c>
      <c r="I591" s="192" t="s">
        <v>391</v>
      </c>
      <c r="J591" s="192" t="s">
        <v>350</v>
      </c>
      <c r="K591" s="190" t="s">
        <v>351</v>
      </c>
      <c r="L591" s="190" t="s">
        <v>357</v>
      </c>
      <c r="M591" s="192" t="s">
        <v>358</v>
      </c>
      <c r="N591" s="193">
        <v>1000</v>
      </c>
      <c r="O591" s="193">
        <v>157794</v>
      </c>
      <c r="P591" s="194">
        <v>157794000</v>
      </c>
      <c r="Q591" s="194">
        <v>15779400</v>
      </c>
      <c r="R591" s="194">
        <v>173573400</v>
      </c>
      <c r="S591" s="192" t="s">
        <v>643</v>
      </c>
      <c r="T591" s="192" t="s">
        <v>644</v>
      </c>
      <c r="U591" s="190">
        <v>60656</v>
      </c>
      <c r="V591" s="190"/>
      <c r="W591" s="195" t="s">
        <v>356</v>
      </c>
      <c r="X591" s="196" t="str">
        <f>+IFERROR(VLOOKUP($F591,'[2]Chuyển đổi mã'!$A$1:$C$91,3,0),$F591)&amp;AC591</f>
        <v>NPP00000468323555</v>
      </c>
      <c r="Y591" s="196" t="str">
        <f>IFERROR(VLOOKUP($F591,'[2]Chuyển đổi mã'!$A$1:$C$184,3,0),F591)</f>
        <v>NPP00000468</v>
      </c>
      <c r="Z591" s="196" t="e">
        <f>VLOOKUP($G591,'[2]Thông tin NPP'!$B:$D,3,0)</f>
        <v>#N/A</v>
      </c>
      <c r="AA591" s="196" t="str">
        <f t="shared" si="130"/>
        <v>Na 17g - M</v>
      </c>
      <c r="AB591" s="196" t="str">
        <f>IFERROR(VLOOKUP(DAY(B591),'[2]Chuyển đổi mã'!$F$1:$G$32,2,0),0)</f>
        <v>W3</v>
      </c>
      <c r="AC591" s="196" t="str">
        <f t="shared" si="131"/>
        <v>323555</v>
      </c>
      <c r="AD591" s="196" t="str">
        <f t="shared" si="132"/>
        <v>NPP</v>
      </c>
      <c r="AE591" s="196" t="str">
        <f t="shared" si="133"/>
        <v>NPP323555</v>
      </c>
      <c r="AF591" s="196">
        <f t="shared" si="134"/>
        <v>0</v>
      </c>
    </row>
    <row r="592" spans="1:32" ht="12.95" customHeight="1">
      <c r="A592" s="190">
        <v>62861</v>
      </c>
      <c r="B592" s="191">
        <v>43574</v>
      </c>
      <c r="C592" s="190" t="s">
        <v>457</v>
      </c>
      <c r="D592" s="190" t="s">
        <v>646</v>
      </c>
      <c r="E592" s="190" t="s">
        <v>346</v>
      </c>
      <c r="F592" s="190" t="s">
        <v>459</v>
      </c>
      <c r="G592" s="192" t="s">
        <v>460</v>
      </c>
      <c r="H592" s="192" t="s">
        <v>296</v>
      </c>
      <c r="I592" s="192" t="s">
        <v>349</v>
      </c>
      <c r="J592" s="192" t="s">
        <v>350</v>
      </c>
      <c r="K592" s="190" t="s">
        <v>351</v>
      </c>
      <c r="L592" s="190" t="s">
        <v>352</v>
      </c>
      <c r="M592" s="192" t="s">
        <v>353</v>
      </c>
      <c r="N592" s="193">
        <v>50</v>
      </c>
      <c r="O592" s="193">
        <v>115036.7</v>
      </c>
      <c r="P592" s="194">
        <v>5751835</v>
      </c>
      <c r="Q592" s="194">
        <v>575183.5</v>
      </c>
      <c r="R592" s="194">
        <v>6327018.5</v>
      </c>
      <c r="S592" s="192" t="s">
        <v>544</v>
      </c>
      <c r="T592" s="192" t="s">
        <v>545</v>
      </c>
      <c r="U592" s="190">
        <v>60720</v>
      </c>
      <c r="V592" s="190"/>
      <c r="W592" s="195" t="s">
        <v>356</v>
      </c>
      <c r="X592" s="196" t="str">
        <f>+IFERROR(VLOOKUP($F592,'[2]Chuyển đổi mã'!$A$1:$C$91,3,0),$F592)&amp;AC592</f>
        <v>Lotte South320463</v>
      </c>
      <c r="Y592" s="196" t="str">
        <f>IFERROR(VLOOKUP($F592,'[2]Chuyển đổi mã'!$A$1:$C$184,3,0),F592)</f>
        <v>Lotte South</v>
      </c>
      <c r="Z592" s="196" t="str">
        <f>VLOOKUP($G592,'[2]Thông tin NPP'!$B:$D,3,0)</f>
        <v>Lotte South</v>
      </c>
      <c r="AA592" s="196" t="str">
        <f t="shared" ref="AA592:AA608" si="135">LEFT($M592,10)</f>
        <v>Na 8,5g</v>
      </c>
      <c r="AB592" s="196" t="str">
        <f>IFERROR(VLOOKUP(DAY(B592),'[2]Chuyển đổi mã'!$F$1:$G$32,2,0),0)</f>
        <v>W3</v>
      </c>
      <c r="AC592" s="196" t="str">
        <f t="shared" ref="AC592:AC608" si="136">LEFT(L592,6)</f>
        <v>320463</v>
      </c>
      <c r="AD592" s="196" t="str">
        <f t="shared" ref="AD592:AD608" si="137">LEFT(F592,3)</f>
        <v>NPP</v>
      </c>
      <c r="AE592" s="196" t="str">
        <f t="shared" ref="AE592:AE608" si="138">AD592&amp;AC592</f>
        <v>NPP320463</v>
      </c>
      <c r="AF592" s="196">
        <f t="shared" ref="AF592:AF608" si="139">IF(RIGHT(L592,1)="P","P",0)</f>
        <v>0</v>
      </c>
    </row>
    <row r="593" spans="1:32" ht="12.95" customHeight="1">
      <c r="A593" s="190">
        <v>62861</v>
      </c>
      <c r="B593" s="191">
        <v>43574</v>
      </c>
      <c r="C593" s="190" t="s">
        <v>457</v>
      </c>
      <c r="D593" s="190" t="s">
        <v>646</v>
      </c>
      <c r="E593" s="190" t="s">
        <v>346</v>
      </c>
      <c r="F593" s="190" t="s">
        <v>459</v>
      </c>
      <c r="G593" s="192" t="s">
        <v>460</v>
      </c>
      <c r="H593" s="192" t="s">
        <v>296</v>
      </c>
      <c r="I593" s="192" t="s">
        <v>349</v>
      </c>
      <c r="J593" s="192" t="s">
        <v>350</v>
      </c>
      <c r="K593" s="190" t="s">
        <v>351</v>
      </c>
      <c r="L593" s="190" t="s">
        <v>361</v>
      </c>
      <c r="M593" s="192" t="s">
        <v>362</v>
      </c>
      <c r="N593" s="193">
        <v>2</v>
      </c>
      <c r="O593" s="193">
        <v>300000</v>
      </c>
      <c r="P593" s="194">
        <v>600000</v>
      </c>
      <c r="Q593" s="194">
        <v>60000</v>
      </c>
      <c r="R593" s="194">
        <v>660000</v>
      </c>
      <c r="S593" s="192"/>
      <c r="T593" s="192" t="s">
        <v>310</v>
      </c>
      <c r="U593" s="190">
        <v>60720</v>
      </c>
      <c r="V593" s="190"/>
      <c r="W593" s="195" t="s">
        <v>356</v>
      </c>
      <c r="X593" s="196" t="str">
        <f>+IFERROR(VLOOKUP($F593,'[2]Chuyển đổi mã'!$A$1:$C$91,3,0),$F593)&amp;AC593</f>
        <v>Lotte South331017</v>
      </c>
      <c r="Y593" s="196" t="str">
        <f>IFERROR(VLOOKUP($F593,'[2]Chuyển đổi mã'!$A$1:$C$184,3,0),F593)</f>
        <v>Lotte South</v>
      </c>
      <c r="Z593" s="196" t="str">
        <f>VLOOKUP($G593,'[2]Thông tin NPP'!$B:$D,3,0)</f>
        <v>Lotte South</v>
      </c>
      <c r="AA593" s="196" t="str">
        <f t="shared" si="135"/>
        <v>Richoco Wf</v>
      </c>
      <c r="AB593" s="196" t="str">
        <f>IFERROR(VLOOKUP(DAY(B593),'[2]Chuyển đổi mã'!$F$1:$G$32,2,0),0)</f>
        <v>W3</v>
      </c>
      <c r="AC593" s="196" t="str">
        <f t="shared" si="136"/>
        <v>331017</v>
      </c>
      <c r="AD593" s="196" t="str">
        <f t="shared" si="137"/>
        <v>NPP</v>
      </c>
      <c r="AE593" s="196" t="str">
        <f t="shared" si="138"/>
        <v>NPP331017</v>
      </c>
      <c r="AF593" s="196">
        <f t="shared" si="139"/>
        <v>0</v>
      </c>
    </row>
    <row r="594" spans="1:32" ht="12.95" customHeight="1">
      <c r="A594" s="190">
        <v>62861</v>
      </c>
      <c r="B594" s="191">
        <v>43574</v>
      </c>
      <c r="C594" s="190" t="s">
        <v>457</v>
      </c>
      <c r="D594" s="190" t="s">
        <v>646</v>
      </c>
      <c r="E594" s="190" t="s">
        <v>346</v>
      </c>
      <c r="F594" s="190" t="s">
        <v>459</v>
      </c>
      <c r="G594" s="192" t="s">
        <v>460</v>
      </c>
      <c r="H594" s="192" t="s">
        <v>296</v>
      </c>
      <c r="I594" s="192" t="s">
        <v>349</v>
      </c>
      <c r="J594" s="192" t="s">
        <v>350</v>
      </c>
      <c r="K594" s="190" t="s">
        <v>351</v>
      </c>
      <c r="L594" s="190" t="s">
        <v>357</v>
      </c>
      <c r="M594" s="192" t="s">
        <v>358</v>
      </c>
      <c r="N594" s="193">
        <v>5</v>
      </c>
      <c r="O594" s="193">
        <v>213273</v>
      </c>
      <c r="P594" s="194">
        <v>1066365</v>
      </c>
      <c r="Q594" s="194">
        <v>106636.5</v>
      </c>
      <c r="R594" s="194">
        <v>1173001.5</v>
      </c>
      <c r="S594" s="192"/>
      <c r="T594" s="192" t="s">
        <v>310</v>
      </c>
      <c r="U594" s="190">
        <v>60720</v>
      </c>
      <c r="V594" s="190"/>
      <c r="W594" s="195" t="s">
        <v>356</v>
      </c>
      <c r="X594" s="196" t="str">
        <f>+IFERROR(VLOOKUP($F594,'[2]Chuyển đổi mã'!$A$1:$C$91,3,0),$F594)&amp;AC594</f>
        <v>Lotte South323555</v>
      </c>
      <c r="Y594" s="196" t="str">
        <f>IFERROR(VLOOKUP($F594,'[2]Chuyển đổi mã'!$A$1:$C$184,3,0),F594)</f>
        <v>Lotte South</v>
      </c>
      <c r="Z594" s="196" t="str">
        <f>VLOOKUP($G594,'[2]Thông tin NPP'!$B:$D,3,0)</f>
        <v>Lotte South</v>
      </c>
      <c r="AA594" s="196" t="str">
        <f t="shared" si="135"/>
        <v>Na 17g - M</v>
      </c>
      <c r="AB594" s="196" t="str">
        <f>IFERROR(VLOOKUP(DAY(B594),'[2]Chuyển đổi mã'!$F$1:$G$32,2,0),0)</f>
        <v>W3</v>
      </c>
      <c r="AC594" s="196" t="str">
        <f t="shared" si="136"/>
        <v>323555</v>
      </c>
      <c r="AD594" s="196" t="str">
        <f t="shared" si="137"/>
        <v>NPP</v>
      </c>
      <c r="AE594" s="196" t="str">
        <f t="shared" si="138"/>
        <v>NPP323555</v>
      </c>
      <c r="AF594" s="196">
        <f t="shared" si="139"/>
        <v>0</v>
      </c>
    </row>
    <row r="595" spans="1:32" ht="12.95" customHeight="1">
      <c r="A595" s="190">
        <v>62862</v>
      </c>
      <c r="B595" s="191">
        <v>43574</v>
      </c>
      <c r="C595" s="190" t="s">
        <v>457</v>
      </c>
      <c r="D595" s="190" t="s">
        <v>647</v>
      </c>
      <c r="E595" s="190" t="s">
        <v>346</v>
      </c>
      <c r="F595" s="190" t="s">
        <v>596</v>
      </c>
      <c r="G595" s="192" t="s">
        <v>597</v>
      </c>
      <c r="H595" s="192" t="s">
        <v>296</v>
      </c>
      <c r="I595" s="192" t="s">
        <v>349</v>
      </c>
      <c r="J595" s="192" t="s">
        <v>350</v>
      </c>
      <c r="K595" s="190" t="s">
        <v>351</v>
      </c>
      <c r="L595" s="190" t="s">
        <v>352</v>
      </c>
      <c r="M595" s="192" t="s">
        <v>353</v>
      </c>
      <c r="N595" s="193">
        <v>10</v>
      </c>
      <c r="O595" s="193">
        <v>155455</v>
      </c>
      <c r="P595" s="194">
        <v>1554550</v>
      </c>
      <c r="Q595" s="194">
        <v>155455</v>
      </c>
      <c r="R595" s="194">
        <v>1710005</v>
      </c>
      <c r="S595" s="192"/>
      <c r="T595" s="192" t="s">
        <v>310</v>
      </c>
      <c r="U595" s="190">
        <v>60721</v>
      </c>
      <c r="V595" s="190"/>
      <c r="W595" s="195" t="s">
        <v>356</v>
      </c>
      <c r="X595" s="196" t="str">
        <f>+IFERROR(VLOOKUP($F595,'[2]Chuyển đổi mã'!$A$1:$C$91,3,0),$F595)&amp;AC595</f>
        <v>Big C South320463</v>
      </c>
      <c r="Y595" s="196" t="str">
        <f>IFERROR(VLOOKUP($F595,'[2]Chuyển đổi mã'!$A$1:$C$184,3,0),F595)</f>
        <v>Big C South</v>
      </c>
      <c r="Z595" s="196">
        <f>VLOOKUP($G595,'[2]Thông tin NPP'!$B:$D,3,0)</f>
        <v>0</v>
      </c>
      <c r="AA595" s="196" t="str">
        <f t="shared" si="135"/>
        <v>Na 8,5g</v>
      </c>
      <c r="AB595" s="196" t="str">
        <f>IFERROR(VLOOKUP(DAY(B595),'[2]Chuyển đổi mã'!$F$1:$G$32,2,0),0)</f>
        <v>W3</v>
      </c>
      <c r="AC595" s="196" t="str">
        <f t="shared" si="136"/>
        <v>320463</v>
      </c>
      <c r="AD595" s="196" t="str">
        <f t="shared" si="137"/>
        <v>NPP</v>
      </c>
      <c r="AE595" s="196" t="str">
        <f t="shared" si="138"/>
        <v>NPP320463</v>
      </c>
      <c r="AF595" s="196">
        <f t="shared" si="139"/>
        <v>0</v>
      </c>
    </row>
    <row r="596" spans="1:32" ht="12.95" customHeight="1">
      <c r="A596" s="190">
        <v>62862</v>
      </c>
      <c r="B596" s="191">
        <v>43574</v>
      </c>
      <c r="C596" s="190" t="s">
        <v>457</v>
      </c>
      <c r="D596" s="190" t="s">
        <v>647</v>
      </c>
      <c r="E596" s="190" t="s">
        <v>346</v>
      </c>
      <c r="F596" s="190" t="s">
        <v>596</v>
      </c>
      <c r="G596" s="192" t="s">
        <v>597</v>
      </c>
      <c r="H596" s="192" t="s">
        <v>296</v>
      </c>
      <c r="I596" s="192" t="s">
        <v>349</v>
      </c>
      <c r="J596" s="192" t="s">
        <v>350</v>
      </c>
      <c r="K596" s="190" t="s">
        <v>351</v>
      </c>
      <c r="L596" s="190" t="s">
        <v>387</v>
      </c>
      <c r="M596" s="192" t="s">
        <v>388</v>
      </c>
      <c r="N596" s="193">
        <v>2</v>
      </c>
      <c r="O596" s="193">
        <v>355455</v>
      </c>
      <c r="P596" s="194">
        <v>710910</v>
      </c>
      <c r="Q596" s="194">
        <v>71091</v>
      </c>
      <c r="R596" s="194">
        <v>782001</v>
      </c>
      <c r="S596" s="192"/>
      <c r="T596" s="192" t="s">
        <v>310</v>
      </c>
      <c r="U596" s="190">
        <v>60721</v>
      </c>
      <c r="V596" s="190"/>
      <c r="W596" s="195" t="s">
        <v>356</v>
      </c>
      <c r="X596" s="196" t="str">
        <f>+IFERROR(VLOOKUP($F596,'[2]Chuyển đổi mã'!$A$1:$C$91,3,0),$F596)&amp;AC596</f>
        <v>Big C South323620</v>
      </c>
      <c r="Y596" s="196" t="str">
        <f>IFERROR(VLOOKUP($F596,'[2]Chuyển đổi mã'!$A$1:$C$184,3,0),F596)</f>
        <v>Big C South</v>
      </c>
      <c r="Z596" s="196">
        <f>VLOOKUP($G596,'[2]Thông tin NPP'!$B:$D,3,0)</f>
        <v>0</v>
      </c>
      <c r="AA596" s="196" t="str">
        <f t="shared" si="135"/>
        <v>Ahh 16g</v>
      </c>
      <c r="AB596" s="196" t="str">
        <f>IFERROR(VLOOKUP(DAY(B596),'[2]Chuyển đổi mã'!$F$1:$G$32,2,0),0)</f>
        <v>W3</v>
      </c>
      <c r="AC596" s="196" t="str">
        <f t="shared" si="136"/>
        <v>323620</v>
      </c>
      <c r="AD596" s="196" t="str">
        <f t="shared" si="137"/>
        <v>NPP</v>
      </c>
      <c r="AE596" s="196" t="str">
        <f t="shared" si="138"/>
        <v>NPP323620</v>
      </c>
      <c r="AF596" s="196">
        <f t="shared" si="139"/>
        <v>0</v>
      </c>
    </row>
    <row r="597" spans="1:32" ht="12.95" customHeight="1">
      <c r="A597" s="190">
        <v>62862</v>
      </c>
      <c r="B597" s="191">
        <v>43574</v>
      </c>
      <c r="C597" s="190" t="s">
        <v>457</v>
      </c>
      <c r="D597" s="190" t="s">
        <v>647</v>
      </c>
      <c r="E597" s="190" t="s">
        <v>346</v>
      </c>
      <c r="F597" s="190" t="s">
        <v>596</v>
      </c>
      <c r="G597" s="192" t="s">
        <v>597</v>
      </c>
      <c r="H597" s="192" t="s">
        <v>296</v>
      </c>
      <c r="I597" s="192" t="s">
        <v>349</v>
      </c>
      <c r="J597" s="192" t="s">
        <v>350</v>
      </c>
      <c r="K597" s="190" t="s">
        <v>351</v>
      </c>
      <c r="L597" s="190" t="s">
        <v>357</v>
      </c>
      <c r="M597" s="192" t="s">
        <v>358</v>
      </c>
      <c r="N597" s="193">
        <v>10</v>
      </c>
      <c r="O597" s="193">
        <v>213273</v>
      </c>
      <c r="P597" s="194">
        <v>2132730</v>
      </c>
      <c r="Q597" s="194">
        <v>213273</v>
      </c>
      <c r="R597" s="194">
        <v>2346003</v>
      </c>
      <c r="S597" s="192"/>
      <c r="T597" s="192" t="s">
        <v>310</v>
      </c>
      <c r="U597" s="190">
        <v>60721</v>
      </c>
      <c r="V597" s="190"/>
      <c r="W597" s="195" t="s">
        <v>356</v>
      </c>
      <c r="X597" s="196" t="str">
        <f>+IFERROR(VLOOKUP($F597,'[2]Chuyển đổi mã'!$A$1:$C$91,3,0),$F597)&amp;AC597</f>
        <v>Big C South323555</v>
      </c>
      <c r="Y597" s="196" t="str">
        <f>IFERROR(VLOOKUP($F597,'[2]Chuyển đổi mã'!$A$1:$C$184,3,0),F597)</f>
        <v>Big C South</v>
      </c>
      <c r="Z597" s="196">
        <f>VLOOKUP($G597,'[2]Thông tin NPP'!$B:$D,3,0)</f>
        <v>0</v>
      </c>
      <c r="AA597" s="196" t="str">
        <f t="shared" si="135"/>
        <v>Na 17g - M</v>
      </c>
      <c r="AB597" s="196" t="str">
        <f>IFERROR(VLOOKUP(DAY(B597),'[2]Chuyển đổi mã'!$F$1:$G$32,2,0),0)</f>
        <v>W3</v>
      </c>
      <c r="AC597" s="196" t="str">
        <f t="shared" si="136"/>
        <v>323555</v>
      </c>
      <c r="AD597" s="196" t="str">
        <f t="shared" si="137"/>
        <v>NPP</v>
      </c>
      <c r="AE597" s="196" t="str">
        <f t="shared" si="138"/>
        <v>NPP323555</v>
      </c>
      <c r="AF597" s="196">
        <f t="shared" si="139"/>
        <v>0</v>
      </c>
    </row>
    <row r="598" spans="1:32" ht="12.95" customHeight="1">
      <c r="A598" s="190">
        <v>62862</v>
      </c>
      <c r="B598" s="191">
        <v>43574</v>
      </c>
      <c r="C598" s="190" t="s">
        <v>457</v>
      </c>
      <c r="D598" s="190" t="s">
        <v>647</v>
      </c>
      <c r="E598" s="190" t="s">
        <v>346</v>
      </c>
      <c r="F598" s="190" t="s">
        <v>596</v>
      </c>
      <c r="G598" s="192" t="s">
        <v>597</v>
      </c>
      <c r="H598" s="192" t="s">
        <v>296</v>
      </c>
      <c r="I598" s="192" t="s">
        <v>349</v>
      </c>
      <c r="J598" s="192" t="s">
        <v>350</v>
      </c>
      <c r="K598" s="190" t="s">
        <v>351</v>
      </c>
      <c r="L598" s="190" t="s">
        <v>359</v>
      </c>
      <c r="M598" s="192" t="s">
        <v>360</v>
      </c>
      <c r="N598" s="193">
        <v>3</v>
      </c>
      <c r="O598" s="193">
        <v>313636</v>
      </c>
      <c r="P598" s="194">
        <v>940908</v>
      </c>
      <c r="Q598" s="194">
        <v>94090.8</v>
      </c>
      <c r="R598" s="194">
        <v>1034998.8</v>
      </c>
      <c r="S598" s="192"/>
      <c r="T598" s="192" t="s">
        <v>310</v>
      </c>
      <c r="U598" s="190">
        <v>60721</v>
      </c>
      <c r="V598" s="190"/>
      <c r="W598" s="195" t="s">
        <v>356</v>
      </c>
      <c r="X598" s="196" t="str">
        <f>+IFERROR(VLOOKUP($F598,'[2]Chuyển đổi mã'!$A$1:$C$91,3,0),$F598)&amp;AC598</f>
        <v>Big C South320445</v>
      </c>
      <c r="Y598" s="196" t="str">
        <f>IFERROR(VLOOKUP($F598,'[2]Chuyển đổi mã'!$A$1:$C$184,3,0),F598)</f>
        <v>Big C South</v>
      </c>
      <c r="Z598" s="196">
        <f>VLOOKUP($G598,'[2]Thông tin NPP'!$B:$D,3,0)</f>
        <v>0</v>
      </c>
      <c r="AA598" s="196" t="str">
        <f t="shared" si="135"/>
        <v>Na 58g</v>
      </c>
      <c r="AB598" s="196" t="str">
        <f>IFERROR(VLOOKUP(DAY(B598),'[2]Chuyển đổi mã'!$F$1:$G$32,2,0),0)</f>
        <v>W3</v>
      </c>
      <c r="AC598" s="196" t="str">
        <f t="shared" si="136"/>
        <v>320445</v>
      </c>
      <c r="AD598" s="196" t="str">
        <f t="shared" si="137"/>
        <v>NPP</v>
      </c>
      <c r="AE598" s="196" t="str">
        <f t="shared" si="138"/>
        <v>NPP320445</v>
      </c>
      <c r="AF598" s="196">
        <f t="shared" si="139"/>
        <v>0</v>
      </c>
    </row>
    <row r="599" spans="1:32" ht="12.95" customHeight="1">
      <c r="A599" s="190">
        <v>62862</v>
      </c>
      <c r="B599" s="191">
        <v>43574</v>
      </c>
      <c r="C599" s="190" t="s">
        <v>457</v>
      </c>
      <c r="D599" s="190" t="s">
        <v>647</v>
      </c>
      <c r="E599" s="190" t="s">
        <v>346</v>
      </c>
      <c r="F599" s="190" t="s">
        <v>596</v>
      </c>
      <c r="G599" s="192" t="s">
        <v>597</v>
      </c>
      <c r="H599" s="192" t="s">
        <v>296</v>
      </c>
      <c r="I599" s="192" t="s">
        <v>349</v>
      </c>
      <c r="J599" s="192" t="s">
        <v>350</v>
      </c>
      <c r="K599" s="190" t="s">
        <v>351</v>
      </c>
      <c r="L599" s="190" t="s">
        <v>361</v>
      </c>
      <c r="M599" s="192" t="s">
        <v>362</v>
      </c>
      <c r="N599" s="193">
        <v>1</v>
      </c>
      <c r="O599" s="193">
        <v>313636</v>
      </c>
      <c r="P599" s="194">
        <v>313636</v>
      </c>
      <c r="Q599" s="194">
        <v>31363.599999999999</v>
      </c>
      <c r="R599" s="194">
        <v>344999.6</v>
      </c>
      <c r="S599" s="192"/>
      <c r="T599" s="192" t="s">
        <v>310</v>
      </c>
      <c r="U599" s="190">
        <v>60721</v>
      </c>
      <c r="V599" s="190"/>
      <c r="W599" s="195" t="s">
        <v>356</v>
      </c>
      <c r="X599" s="196" t="str">
        <f>+IFERROR(VLOOKUP($F599,'[2]Chuyển đổi mã'!$A$1:$C$91,3,0),$F599)&amp;AC599</f>
        <v>Big C South331017</v>
      </c>
      <c r="Y599" s="196" t="str">
        <f>IFERROR(VLOOKUP($F599,'[2]Chuyển đổi mã'!$A$1:$C$184,3,0),F599)</f>
        <v>Big C South</v>
      </c>
      <c r="Z599" s="196">
        <f>VLOOKUP($G599,'[2]Thông tin NPP'!$B:$D,3,0)</f>
        <v>0</v>
      </c>
      <c r="AA599" s="196" t="str">
        <f t="shared" si="135"/>
        <v>Richoco Wf</v>
      </c>
      <c r="AB599" s="196" t="str">
        <f>IFERROR(VLOOKUP(DAY(B599),'[2]Chuyển đổi mã'!$F$1:$G$32,2,0),0)</f>
        <v>W3</v>
      </c>
      <c r="AC599" s="196" t="str">
        <f t="shared" si="136"/>
        <v>331017</v>
      </c>
      <c r="AD599" s="196" t="str">
        <f t="shared" si="137"/>
        <v>NPP</v>
      </c>
      <c r="AE599" s="196" t="str">
        <f t="shared" si="138"/>
        <v>NPP331017</v>
      </c>
      <c r="AF599" s="196">
        <f t="shared" si="139"/>
        <v>0</v>
      </c>
    </row>
    <row r="600" spans="1:32" ht="12.95" customHeight="1">
      <c r="A600" s="190">
        <v>62862</v>
      </c>
      <c r="B600" s="191">
        <v>43574</v>
      </c>
      <c r="C600" s="190" t="s">
        <v>457</v>
      </c>
      <c r="D600" s="190" t="s">
        <v>647</v>
      </c>
      <c r="E600" s="190" t="s">
        <v>346</v>
      </c>
      <c r="F600" s="190" t="s">
        <v>596</v>
      </c>
      <c r="G600" s="192" t="s">
        <v>597</v>
      </c>
      <c r="H600" s="192" t="s">
        <v>296</v>
      </c>
      <c r="I600" s="192" t="s">
        <v>349</v>
      </c>
      <c r="J600" s="192" t="s">
        <v>350</v>
      </c>
      <c r="K600" s="190" t="s">
        <v>351</v>
      </c>
      <c r="L600" s="190" t="s">
        <v>363</v>
      </c>
      <c r="M600" s="192" t="s">
        <v>364</v>
      </c>
      <c r="N600" s="193">
        <v>1</v>
      </c>
      <c r="O600" s="193">
        <v>334545</v>
      </c>
      <c r="P600" s="194">
        <v>334545</v>
      </c>
      <c r="Q600" s="194">
        <v>33454.5</v>
      </c>
      <c r="R600" s="194">
        <v>367999.5</v>
      </c>
      <c r="S600" s="192"/>
      <c r="T600" s="192" t="s">
        <v>310</v>
      </c>
      <c r="U600" s="190">
        <v>60721</v>
      </c>
      <c r="V600" s="190"/>
      <c r="W600" s="195" t="s">
        <v>356</v>
      </c>
      <c r="X600" s="196" t="str">
        <f>+IFERROR(VLOOKUP($F600,'[2]Chuyển đổi mã'!$A$1:$C$91,3,0),$F600)&amp;AC600</f>
        <v>Big C South323708</v>
      </c>
      <c r="Y600" s="196" t="str">
        <f>IFERROR(VLOOKUP($F600,'[2]Chuyển đổi mã'!$A$1:$C$184,3,0),F600)</f>
        <v>Big C South</v>
      </c>
      <c r="Z600" s="196">
        <f>VLOOKUP($G600,'[2]Thông tin NPP'!$B:$D,3,0)</f>
        <v>0</v>
      </c>
      <c r="AA600" s="196" t="str">
        <f t="shared" si="135"/>
        <v>Nextar Bro</v>
      </c>
      <c r="AB600" s="196" t="str">
        <f>IFERROR(VLOOKUP(DAY(B600),'[2]Chuyển đổi mã'!$F$1:$G$32,2,0),0)</f>
        <v>W3</v>
      </c>
      <c r="AC600" s="196" t="str">
        <f t="shared" si="136"/>
        <v>323708</v>
      </c>
      <c r="AD600" s="196" t="str">
        <f t="shared" si="137"/>
        <v>NPP</v>
      </c>
      <c r="AE600" s="196" t="str">
        <f t="shared" si="138"/>
        <v>NPP323708</v>
      </c>
      <c r="AF600" s="196">
        <f t="shared" si="139"/>
        <v>0</v>
      </c>
    </row>
    <row r="601" spans="1:32" ht="12.95" customHeight="1">
      <c r="A601" s="190">
        <v>62863</v>
      </c>
      <c r="B601" s="191">
        <v>43574</v>
      </c>
      <c r="C601" s="190" t="s">
        <v>457</v>
      </c>
      <c r="D601" s="190" t="s">
        <v>648</v>
      </c>
      <c r="E601" s="190" t="s">
        <v>346</v>
      </c>
      <c r="F601" s="190" t="s">
        <v>531</v>
      </c>
      <c r="G601" s="192" t="s">
        <v>532</v>
      </c>
      <c r="H601" s="192" t="s">
        <v>296</v>
      </c>
      <c r="I601" s="192" t="s">
        <v>349</v>
      </c>
      <c r="J601" s="192" t="s">
        <v>350</v>
      </c>
      <c r="K601" s="190" t="s">
        <v>351</v>
      </c>
      <c r="L601" s="190" t="s">
        <v>352</v>
      </c>
      <c r="M601" s="192" t="s">
        <v>353</v>
      </c>
      <c r="N601" s="193">
        <v>11</v>
      </c>
      <c r="O601" s="193">
        <v>155455</v>
      </c>
      <c r="P601" s="194">
        <v>1710005</v>
      </c>
      <c r="Q601" s="194">
        <v>171000.5</v>
      </c>
      <c r="R601" s="194">
        <v>1881005.5</v>
      </c>
      <c r="S601" s="192"/>
      <c r="T601" s="192" t="s">
        <v>310</v>
      </c>
      <c r="U601" s="190">
        <v>60722</v>
      </c>
      <c r="V601" s="190"/>
      <c r="W601" s="195" t="s">
        <v>356</v>
      </c>
      <c r="X601" s="196" t="str">
        <f>+IFERROR(VLOOKUP($F601,'[2]Chuyển đổi mã'!$A$1:$C$91,3,0),$F601)&amp;AC601</f>
        <v>Big C South320463</v>
      </c>
      <c r="Y601" s="196" t="str">
        <f>IFERROR(VLOOKUP($F601,'[2]Chuyển đổi mã'!$A$1:$C$184,3,0),F601)</f>
        <v>Big C South</v>
      </c>
      <c r="Z601" s="196" t="str">
        <f>VLOOKUP($G601,'[2]Thông tin NPP'!$B:$D,3,0)</f>
        <v>Big C South</v>
      </c>
      <c r="AA601" s="196" t="str">
        <f t="shared" si="135"/>
        <v>Na 8,5g</v>
      </c>
      <c r="AB601" s="196" t="str">
        <f>IFERROR(VLOOKUP(DAY(B601),'[2]Chuyển đổi mã'!$F$1:$G$32,2,0),0)</f>
        <v>W3</v>
      </c>
      <c r="AC601" s="196" t="str">
        <f t="shared" si="136"/>
        <v>320463</v>
      </c>
      <c r="AD601" s="196" t="str">
        <f t="shared" si="137"/>
        <v>NPP</v>
      </c>
      <c r="AE601" s="196" t="str">
        <f t="shared" si="138"/>
        <v>NPP320463</v>
      </c>
      <c r="AF601" s="196">
        <f t="shared" si="139"/>
        <v>0</v>
      </c>
    </row>
    <row r="602" spans="1:32" ht="12.95" customHeight="1">
      <c r="A602" s="190">
        <v>62863</v>
      </c>
      <c r="B602" s="191">
        <v>43574</v>
      </c>
      <c r="C602" s="190" t="s">
        <v>457</v>
      </c>
      <c r="D602" s="190" t="s">
        <v>648</v>
      </c>
      <c r="E602" s="190" t="s">
        <v>346</v>
      </c>
      <c r="F602" s="190" t="s">
        <v>531</v>
      </c>
      <c r="G602" s="192" t="s">
        <v>532</v>
      </c>
      <c r="H602" s="192" t="s">
        <v>296</v>
      </c>
      <c r="I602" s="192" t="s">
        <v>349</v>
      </c>
      <c r="J602" s="192" t="s">
        <v>350</v>
      </c>
      <c r="K602" s="190" t="s">
        <v>351</v>
      </c>
      <c r="L602" s="190" t="s">
        <v>387</v>
      </c>
      <c r="M602" s="192" t="s">
        <v>388</v>
      </c>
      <c r="N602" s="193">
        <v>3</v>
      </c>
      <c r="O602" s="193">
        <v>355455</v>
      </c>
      <c r="P602" s="194">
        <v>1066365</v>
      </c>
      <c r="Q602" s="194">
        <v>106636.5</v>
      </c>
      <c r="R602" s="194">
        <v>1173001.5</v>
      </c>
      <c r="S602" s="192"/>
      <c r="T602" s="192" t="s">
        <v>310</v>
      </c>
      <c r="U602" s="190">
        <v>60722</v>
      </c>
      <c r="V602" s="190"/>
      <c r="W602" s="195" t="s">
        <v>356</v>
      </c>
      <c r="X602" s="196" t="str">
        <f>+IFERROR(VLOOKUP($F602,'[2]Chuyển đổi mã'!$A$1:$C$91,3,0),$F602)&amp;AC602</f>
        <v>Big C South323620</v>
      </c>
      <c r="Y602" s="196" t="str">
        <f>IFERROR(VLOOKUP($F602,'[2]Chuyển đổi mã'!$A$1:$C$184,3,0),F602)</f>
        <v>Big C South</v>
      </c>
      <c r="Z602" s="196" t="str">
        <f>VLOOKUP($G602,'[2]Thông tin NPP'!$B:$D,3,0)</f>
        <v>Big C South</v>
      </c>
      <c r="AA602" s="196" t="str">
        <f t="shared" si="135"/>
        <v>Ahh 16g</v>
      </c>
      <c r="AB602" s="196" t="str">
        <f>IFERROR(VLOOKUP(DAY(B602),'[2]Chuyển đổi mã'!$F$1:$G$32,2,0),0)</f>
        <v>W3</v>
      </c>
      <c r="AC602" s="196" t="str">
        <f t="shared" si="136"/>
        <v>323620</v>
      </c>
      <c r="AD602" s="196" t="str">
        <f t="shared" si="137"/>
        <v>NPP</v>
      </c>
      <c r="AE602" s="196" t="str">
        <f t="shared" si="138"/>
        <v>NPP323620</v>
      </c>
      <c r="AF602" s="196">
        <f t="shared" si="139"/>
        <v>0</v>
      </c>
    </row>
    <row r="603" spans="1:32" ht="12.95" customHeight="1">
      <c r="A603" s="190">
        <v>62863</v>
      </c>
      <c r="B603" s="191">
        <v>43574</v>
      </c>
      <c r="C603" s="190" t="s">
        <v>457</v>
      </c>
      <c r="D603" s="190" t="s">
        <v>648</v>
      </c>
      <c r="E603" s="190" t="s">
        <v>346</v>
      </c>
      <c r="F603" s="190" t="s">
        <v>531</v>
      </c>
      <c r="G603" s="192" t="s">
        <v>532</v>
      </c>
      <c r="H603" s="192" t="s">
        <v>296</v>
      </c>
      <c r="I603" s="192" t="s">
        <v>349</v>
      </c>
      <c r="J603" s="192" t="s">
        <v>350</v>
      </c>
      <c r="K603" s="190" t="s">
        <v>351</v>
      </c>
      <c r="L603" s="190" t="s">
        <v>357</v>
      </c>
      <c r="M603" s="192" t="s">
        <v>358</v>
      </c>
      <c r="N603" s="193">
        <v>5</v>
      </c>
      <c r="O603" s="193">
        <v>213273</v>
      </c>
      <c r="P603" s="194">
        <v>1066365</v>
      </c>
      <c r="Q603" s="194">
        <v>106636.5</v>
      </c>
      <c r="R603" s="194">
        <v>1173001.5</v>
      </c>
      <c r="S603" s="192"/>
      <c r="T603" s="192" t="s">
        <v>310</v>
      </c>
      <c r="U603" s="190">
        <v>60722</v>
      </c>
      <c r="V603" s="190"/>
      <c r="W603" s="195" t="s">
        <v>356</v>
      </c>
      <c r="X603" s="196" t="str">
        <f>+IFERROR(VLOOKUP($F603,'[2]Chuyển đổi mã'!$A$1:$C$91,3,0),$F603)&amp;AC603</f>
        <v>Big C South323555</v>
      </c>
      <c r="Y603" s="196" t="str">
        <f>IFERROR(VLOOKUP($F603,'[2]Chuyển đổi mã'!$A$1:$C$184,3,0),F603)</f>
        <v>Big C South</v>
      </c>
      <c r="Z603" s="196" t="str">
        <f>VLOOKUP($G603,'[2]Thông tin NPP'!$B:$D,3,0)</f>
        <v>Big C South</v>
      </c>
      <c r="AA603" s="196" t="str">
        <f t="shared" si="135"/>
        <v>Na 17g - M</v>
      </c>
      <c r="AB603" s="196" t="str">
        <f>IFERROR(VLOOKUP(DAY(B603),'[2]Chuyển đổi mã'!$F$1:$G$32,2,0),0)</f>
        <v>W3</v>
      </c>
      <c r="AC603" s="196" t="str">
        <f t="shared" si="136"/>
        <v>323555</v>
      </c>
      <c r="AD603" s="196" t="str">
        <f t="shared" si="137"/>
        <v>NPP</v>
      </c>
      <c r="AE603" s="196" t="str">
        <f t="shared" si="138"/>
        <v>NPP323555</v>
      </c>
      <c r="AF603" s="196">
        <f t="shared" si="139"/>
        <v>0</v>
      </c>
    </row>
    <row r="604" spans="1:32" ht="12.95" customHeight="1">
      <c r="A604" s="190">
        <v>62863</v>
      </c>
      <c r="B604" s="191">
        <v>43574</v>
      </c>
      <c r="C604" s="190" t="s">
        <v>457</v>
      </c>
      <c r="D604" s="190" t="s">
        <v>648</v>
      </c>
      <c r="E604" s="190" t="s">
        <v>346</v>
      </c>
      <c r="F604" s="190" t="s">
        <v>531</v>
      </c>
      <c r="G604" s="192" t="s">
        <v>532</v>
      </c>
      <c r="H604" s="192" t="s">
        <v>296</v>
      </c>
      <c r="I604" s="192" t="s">
        <v>349</v>
      </c>
      <c r="J604" s="192" t="s">
        <v>350</v>
      </c>
      <c r="K604" s="190" t="s">
        <v>351</v>
      </c>
      <c r="L604" s="190" t="s">
        <v>359</v>
      </c>
      <c r="M604" s="192" t="s">
        <v>360</v>
      </c>
      <c r="N604" s="193">
        <v>2</v>
      </c>
      <c r="O604" s="193">
        <v>313636</v>
      </c>
      <c r="P604" s="194">
        <v>627272</v>
      </c>
      <c r="Q604" s="194">
        <v>62727.199999999997</v>
      </c>
      <c r="R604" s="194">
        <v>689999.2</v>
      </c>
      <c r="S604" s="192"/>
      <c r="T604" s="192" t="s">
        <v>310</v>
      </c>
      <c r="U604" s="190">
        <v>60722</v>
      </c>
      <c r="V604" s="190"/>
      <c r="W604" s="195" t="s">
        <v>356</v>
      </c>
      <c r="X604" s="196" t="str">
        <f>+IFERROR(VLOOKUP($F604,'[2]Chuyển đổi mã'!$A$1:$C$91,3,0),$F604)&amp;AC604</f>
        <v>Big C South320445</v>
      </c>
      <c r="Y604" s="196" t="str">
        <f>IFERROR(VLOOKUP($F604,'[2]Chuyển đổi mã'!$A$1:$C$184,3,0),F604)</f>
        <v>Big C South</v>
      </c>
      <c r="Z604" s="196" t="str">
        <f>VLOOKUP($G604,'[2]Thông tin NPP'!$B:$D,3,0)</f>
        <v>Big C South</v>
      </c>
      <c r="AA604" s="196" t="str">
        <f t="shared" si="135"/>
        <v>Na 58g</v>
      </c>
      <c r="AB604" s="196" t="str">
        <f>IFERROR(VLOOKUP(DAY(B604),'[2]Chuyển đổi mã'!$F$1:$G$32,2,0),0)</f>
        <v>W3</v>
      </c>
      <c r="AC604" s="196" t="str">
        <f t="shared" si="136"/>
        <v>320445</v>
      </c>
      <c r="AD604" s="196" t="str">
        <f t="shared" si="137"/>
        <v>NPP</v>
      </c>
      <c r="AE604" s="196" t="str">
        <f t="shared" si="138"/>
        <v>NPP320445</v>
      </c>
      <c r="AF604" s="196">
        <f t="shared" si="139"/>
        <v>0</v>
      </c>
    </row>
    <row r="605" spans="1:32" ht="12.95" customHeight="1">
      <c r="A605" s="190">
        <v>62864</v>
      </c>
      <c r="B605" s="191">
        <v>43574</v>
      </c>
      <c r="C605" s="190" t="s">
        <v>457</v>
      </c>
      <c r="D605" s="190" t="s">
        <v>649</v>
      </c>
      <c r="E605" s="190" t="s">
        <v>346</v>
      </c>
      <c r="F605" s="190" t="s">
        <v>528</v>
      </c>
      <c r="G605" s="192" t="s">
        <v>529</v>
      </c>
      <c r="H605" s="192" t="s">
        <v>296</v>
      </c>
      <c r="I605" s="192" t="s">
        <v>349</v>
      </c>
      <c r="J605" s="192" t="s">
        <v>350</v>
      </c>
      <c r="K605" s="190" t="s">
        <v>351</v>
      </c>
      <c r="L605" s="190" t="s">
        <v>352</v>
      </c>
      <c r="M605" s="192" t="s">
        <v>353</v>
      </c>
      <c r="N605" s="193">
        <v>10</v>
      </c>
      <c r="O605" s="193">
        <v>155455</v>
      </c>
      <c r="P605" s="194">
        <v>1554550</v>
      </c>
      <c r="Q605" s="194">
        <v>155455</v>
      </c>
      <c r="R605" s="194">
        <v>1710005</v>
      </c>
      <c r="S605" s="192"/>
      <c r="T605" s="192" t="s">
        <v>310</v>
      </c>
      <c r="U605" s="190">
        <v>60707</v>
      </c>
      <c r="V605" s="190"/>
      <c r="W605" s="195" t="s">
        <v>356</v>
      </c>
      <c r="X605" s="196" t="str">
        <f>+IFERROR(VLOOKUP($F605,'[2]Chuyển đổi mã'!$A$1:$C$91,3,0),$F605)&amp;AC605</f>
        <v>Big C South320463</v>
      </c>
      <c r="Y605" s="196" t="str">
        <f>IFERROR(VLOOKUP($F605,'[2]Chuyển đổi mã'!$A$1:$C$184,3,0),F605)</f>
        <v>Big C South</v>
      </c>
      <c r="Z605" s="196" t="str">
        <f>VLOOKUP($G605,'[2]Thông tin NPP'!$B:$D,3,0)</f>
        <v>Big C South</v>
      </c>
      <c r="AA605" s="196" t="str">
        <f t="shared" si="135"/>
        <v>Na 8,5g</v>
      </c>
      <c r="AB605" s="196" t="str">
        <f>IFERROR(VLOOKUP(DAY(B605),'[2]Chuyển đổi mã'!$F$1:$G$32,2,0),0)</f>
        <v>W3</v>
      </c>
      <c r="AC605" s="196" t="str">
        <f t="shared" si="136"/>
        <v>320463</v>
      </c>
      <c r="AD605" s="196" t="str">
        <f t="shared" si="137"/>
        <v>NPP</v>
      </c>
      <c r="AE605" s="196" t="str">
        <f t="shared" si="138"/>
        <v>NPP320463</v>
      </c>
      <c r="AF605" s="196">
        <f t="shared" si="139"/>
        <v>0</v>
      </c>
    </row>
    <row r="606" spans="1:32" ht="12.95" customHeight="1">
      <c r="A606" s="190">
        <v>62864</v>
      </c>
      <c r="B606" s="191">
        <v>43574</v>
      </c>
      <c r="C606" s="190" t="s">
        <v>457</v>
      </c>
      <c r="D606" s="190" t="s">
        <v>649</v>
      </c>
      <c r="E606" s="190" t="s">
        <v>346</v>
      </c>
      <c r="F606" s="190" t="s">
        <v>528</v>
      </c>
      <c r="G606" s="192" t="s">
        <v>529</v>
      </c>
      <c r="H606" s="192" t="s">
        <v>296</v>
      </c>
      <c r="I606" s="192" t="s">
        <v>349</v>
      </c>
      <c r="J606" s="192" t="s">
        <v>350</v>
      </c>
      <c r="K606" s="190" t="s">
        <v>351</v>
      </c>
      <c r="L606" s="190" t="s">
        <v>357</v>
      </c>
      <c r="M606" s="192" t="s">
        <v>358</v>
      </c>
      <c r="N606" s="193">
        <v>5</v>
      </c>
      <c r="O606" s="193">
        <v>213273</v>
      </c>
      <c r="P606" s="194">
        <v>1066365</v>
      </c>
      <c r="Q606" s="194">
        <v>106636.5</v>
      </c>
      <c r="R606" s="194">
        <v>1173001.5</v>
      </c>
      <c r="S606" s="192"/>
      <c r="T606" s="192" t="s">
        <v>310</v>
      </c>
      <c r="U606" s="190">
        <v>60707</v>
      </c>
      <c r="V606" s="190"/>
      <c r="W606" s="195" t="s">
        <v>356</v>
      </c>
      <c r="X606" s="196" t="str">
        <f>+IFERROR(VLOOKUP($F606,'[2]Chuyển đổi mã'!$A$1:$C$91,3,0),$F606)&amp;AC606</f>
        <v>Big C South323555</v>
      </c>
      <c r="Y606" s="196" t="str">
        <f>IFERROR(VLOOKUP($F606,'[2]Chuyển đổi mã'!$A$1:$C$184,3,0),F606)</f>
        <v>Big C South</v>
      </c>
      <c r="Z606" s="196" t="str">
        <f>VLOOKUP($G606,'[2]Thông tin NPP'!$B:$D,3,0)</f>
        <v>Big C South</v>
      </c>
      <c r="AA606" s="196" t="str">
        <f t="shared" si="135"/>
        <v>Na 17g - M</v>
      </c>
      <c r="AB606" s="196" t="str">
        <f>IFERROR(VLOOKUP(DAY(B606),'[2]Chuyển đổi mã'!$F$1:$G$32,2,0),0)</f>
        <v>W3</v>
      </c>
      <c r="AC606" s="196" t="str">
        <f t="shared" si="136"/>
        <v>323555</v>
      </c>
      <c r="AD606" s="196" t="str">
        <f t="shared" si="137"/>
        <v>NPP</v>
      </c>
      <c r="AE606" s="196" t="str">
        <f t="shared" si="138"/>
        <v>NPP323555</v>
      </c>
      <c r="AF606" s="196">
        <f t="shared" si="139"/>
        <v>0</v>
      </c>
    </row>
    <row r="607" spans="1:32" ht="12.95" customHeight="1">
      <c r="A607" s="190">
        <v>62864</v>
      </c>
      <c r="B607" s="191">
        <v>43574</v>
      </c>
      <c r="C607" s="190" t="s">
        <v>457</v>
      </c>
      <c r="D607" s="190" t="s">
        <v>649</v>
      </c>
      <c r="E607" s="190" t="s">
        <v>346</v>
      </c>
      <c r="F607" s="190" t="s">
        <v>528</v>
      </c>
      <c r="G607" s="192" t="s">
        <v>529</v>
      </c>
      <c r="H607" s="192" t="s">
        <v>296</v>
      </c>
      <c r="I607" s="192" t="s">
        <v>349</v>
      </c>
      <c r="J607" s="192" t="s">
        <v>350</v>
      </c>
      <c r="K607" s="190" t="s">
        <v>351</v>
      </c>
      <c r="L607" s="190" t="s">
        <v>359</v>
      </c>
      <c r="M607" s="192" t="s">
        <v>360</v>
      </c>
      <c r="N607" s="193">
        <v>5</v>
      </c>
      <c r="O607" s="193">
        <v>313636</v>
      </c>
      <c r="P607" s="194">
        <v>1568180</v>
      </c>
      <c r="Q607" s="194">
        <v>156818</v>
      </c>
      <c r="R607" s="194">
        <v>1724998</v>
      </c>
      <c r="S607" s="192"/>
      <c r="T607" s="192" t="s">
        <v>310</v>
      </c>
      <c r="U607" s="190">
        <v>60707</v>
      </c>
      <c r="V607" s="190"/>
      <c r="W607" s="195" t="s">
        <v>356</v>
      </c>
      <c r="X607" s="196" t="str">
        <f>+IFERROR(VLOOKUP($F607,'[2]Chuyển đổi mã'!$A$1:$C$91,3,0),$F607)&amp;AC607</f>
        <v>Big C South320445</v>
      </c>
      <c r="Y607" s="196" t="str">
        <f>IFERROR(VLOOKUP($F607,'[2]Chuyển đổi mã'!$A$1:$C$184,3,0),F607)</f>
        <v>Big C South</v>
      </c>
      <c r="Z607" s="196" t="str">
        <f>VLOOKUP($G607,'[2]Thông tin NPP'!$B:$D,3,0)</f>
        <v>Big C South</v>
      </c>
      <c r="AA607" s="196" t="str">
        <f t="shared" si="135"/>
        <v>Na 58g</v>
      </c>
      <c r="AB607" s="196" t="str">
        <f>IFERROR(VLOOKUP(DAY(B607),'[2]Chuyển đổi mã'!$F$1:$G$32,2,0),0)</f>
        <v>W3</v>
      </c>
      <c r="AC607" s="196" t="str">
        <f t="shared" si="136"/>
        <v>320445</v>
      </c>
      <c r="AD607" s="196" t="str">
        <f t="shared" si="137"/>
        <v>NPP</v>
      </c>
      <c r="AE607" s="196" t="str">
        <f t="shared" si="138"/>
        <v>NPP320445</v>
      </c>
      <c r="AF607" s="196">
        <f t="shared" si="139"/>
        <v>0</v>
      </c>
    </row>
    <row r="608" spans="1:32" ht="12.95" customHeight="1">
      <c r="A608" s="190">
        <v>62864</v>
      </c>
      <c r="B608" s="191">
        <v>43574</v>
      </c>
      <c r="C608" s="190" t="s">
        <v>457</v>
      </c>
      <c r="D608" s="190" t="s">
        <v>649</v>
      </c>
      <c r="E608" s="190" t="s">
        <v>346</v>
      </c>
      <c r="F608" s="190" t="s">
        <v>528</v>
      </c>
      <c r="G608" s="192" t="s">
        <v>529</v>
      </c>
      <c r="H608" s="192" t="s">
        <v>296</v>
      </c>
      <c r="I608" s="192" t="s">
        <v>349</v>
      </c>
      <c r="J608" s="192" t="s">
        <v>350</v>
      </c>
      <c r="K608" s="190" t="s">
        <v>351</v>
      </c>
      <c r="L608" s="190" t="s">
        <v>363</v>
      </c>
      <c r="M608" s="192" t="s">
        <v>364</v>
      </c>
      <c r="N608" s="193">
        <v>5</v>
      </c>
      <c r="O608" s="193">
        <v>334545</v>
      </c>
      <c r="P608" s="194">
        <v>1672725</v>
      </c>
      <c r="Q608" s="194">
        <v>167272.5</v>
      </c>
      <c r="R608" s="194">
        <v>1839997.5</v>
      </c>
      <c r="S608" s="192"/>
      <c r="T608" s="192" t="s">
        <v>310</v>
      </c>
      <c r="U608" s="190">
        <v>60707</v>
      </c>
      <c r="V608" s="190"/>
      <c r="W608" s="195" t="s">
        <v>356</v>
      </c>
      <c r="X608" s="196" t="str">
        <f>+IFERROR(VLOOKUP($F608,'[2]Chuyển đổi mã'!$A$1:$C$91,3,0),$F608)&amp;AC608</f>
        <v>Big C South323708</v>
      </c>
      <c r="Y608" s="196" t="str">
        <f>IFERROR(VLOOKUP($F608,'[2]Chuyển đổi mã'!$A$1:$C$184,3,0),F608)</f>
        <v>Big C South</v>
      </c>
      <c r="Z608" s="196" t="str">
        <f>VLOOKUP($G608,'[2]Thông tin NPP'!$B:$D,3,0)</f>
        <v>Big C South</v>
      </c>
      <c r="AA608" s="196" t="str">
        <f t="shared" si="135"/>
        <v>Nextar Bro</v>
      </c>
      <c r="AB608" s="196" t="str">
        <f>IFERROR(VLOOKUP(DAY(B608),'[2]Chuyển đổi mã'!$F$1:$G$32,2,0),0)</f>
        <v>W3</v>
      </c>
      <c r="AC608" s="196" t="str">
        <f t="shared" si="136"/>
        <v>323708</v>
      </c>
      <c r="AD608" s="196" t="str">
        <f t="shared" si="137"/>
        <v>NPP</v>
      </c>
      <c r="AE608" s="196" t="str">
        <f t="shared" si="138"/>
        <v>NPP323708</v>
      </c>
      <c r="AF608" s="196">
        <f t="shared" si="139"/>
        <v>0</v>
      </c>
    </row>
    <row r="609" spans="1:32" ht="12.95" hidden="1" customHeight="1">
      <c r="A609" s="197">
        <v>62879</v>
      </c>
      <c r="B609" s="198">
        <v>43574</v>
      </c>
      <c r="C609" s="197" t="s">
        <v>457</v>
      </c>
      <c r="D609" s="197" t="s">
        <v>650</v>
      </c>
      <c r="E609" s="197" t="s">
        <v>346</v>
      </c>
      <c r="F609" s="197" t="s">
        <v>414</v>
      </c>
      <c r="G609" s="199" t="s">
        <v>415</v>
      </c>
      <c r="H609" s="199" t="s">
        <v>296</v>
      </c>
      <c r="I609" s="199" t="s">
        <v>416</v>
      </c>
      <c r="J609" s="199" t="s">
        <v>350</v>
      </c>
      <c r="K609" s="197" t="s">
        <v>367</v>
      </c>
      <c r="L609" s="197" t="s">
        <v>387</v>
      </c>
      <c r="M609" s="200" t="s">
        <v>388</v>
      </c>
      <c r="N609" s="201">
        <v>10</v>
      </c>
      <c r="O609" s="202">
        <v>312800</v>
      </c>
      <c r="P609" s="203">
        <v>3128000</v>
      </c>
      <c r="Q609" s="203">
        <v>312800</v>
      </c>
      <c r="R609" s="203">
        <v>3440800</v>
      </c>
      <c r="S609" s="199"/>
      <c r="T609" s="199" t="s">
        <v>310</v>
      </c>
      <c r="U609" s="197">
        <v>60744</v>
      </c>
      <c r="V609" s="197"/>
      <c r="W609" s="196" t="s">
        <v>356</v>
      </c>
      <c r="X609" s="196" t="str">
        <f>+IFERROR(VLOOKUP($F609,'[2]Chuyển đổi mã'!$A$1:$C$91,3,0),$F609)&amp;AC609</f>
        <v>NPP00000119323620</v>
      </c>
      <c r="Y609" s="196" t="str">
        <f>IFERROR(VLOOKUP($F609,'[2]Chuyển đổi mã'!$A$1:$C$184,3,0),F609)</f>
        <v>NPP00000119</v>
      </c>
      <c r="Z609" s="196" t="str">
        <f>VLOOKUP($G609,'[2]Thông tin NPP'!$B:$D,3,0)</f>
        <v>NGUYỄN DUNG</v>
      </c>
      <c r="AA609" s="196" t="str">
        <f t="shared" ref="AA609:AA610" si="140">LEFT($M609,10)</f>
        <v>Ahh 16g</v>
      </c>
      <c r="AB609" s="196" t="str">
        <f>IFERROR(VLOOKUP(DAY(B609),'[2]Chuyển đổi mã'!$F$1:$G$32,2,0),0)</f>
        <v>W3</v>
      </c>
      <c r="AC609" s="196" t="str">
        <f t="shared" ref="AC609:AC610" si="141">LEFT(L609,6)</f>
        <v>323620</v>
      </c>
      <c r="AD609" s="196" t="str">
        <f t="shared" ref="AD609:AD610" si="142">LEFT(F609,3)</f>
        <v>NPP</v>
      </c>
      <c r="AE609" s="196" t="str">
        <f t="shared" ref="AE609:AE610" si="143">AD609&amp;AC609</f>
        <v>NPP323620</v>
      </c>
      <c r="AF609" s="196">
        <f t="shared" ref="AF609:AF610" si="144">IF(RIGHT(L609,1)="P","P",0)</f>
        <v>0</v>
      </c>
    </row>
    <row r="610" spans="1:32" ht="12.95" hidden="1" customHeight="1">
      <c r="A610" s="197">
        <v>62879</v>
      </c>
      <c r="B610" s="198">
        <v>43574</v>
      </c>
      <c r="C610" s="197" t="s">
        <v>457</v>
      </c>
      <c r="D610" s="197" t="s">
        <v>650</v>
      </c>
      <c r="E610" s="197" t="s">
        <v>346</v>
      </c>
      <c r="F610" s="197" t="s">
        <v>414</v>
      </c>
      <c r="G610" s="199" t="s">
        <v>415</v>
      </c>
      <c r="H610" s="199" t="s">
        <v>296</v>
      </c>
      <c r="I610" s="199" t="s">
        <v>416</v>
      </c>
      <c r="J610" s="199" t="s">
        <v>350</v>
      </c>
      <c r="K610" s="197" t="s">
        <v>367</v>
      </c>
      <c r="L610" s="197" t="s">
        <v>378</v>
      </c>
      <c r="M610" s="200" t="s">
        <v>379</v>
      </c>
      <c r="N610" s="201">
        <v>40</v>
      </c>
      <c r="O610" s="202">
        <v>187680</v>
      </c>
      <c r="P610" s="203">
        <v>7507200</v>
      </c>
      <c r="Q610" s="203">
        <v>750720</v>
      </c>
      <c r="R610" s="203">
        <v>8257920</v>
      </c>
      <c r="S610" s="199"/>
      <c r="T610" s="199" t="s">
        <v>310</v>
      </c>
      <c r="U610" s="197">
        <v>60744</v>
      </c>
      <c r="V610" s="197"/>
      <c r="W610" s="196" t="s">
        <v>356</v>
      </c>
      <c r="X610" s="196" t="str">
        <f>+IFERROR(VLOOKUP($F610,'[2]Chuyển đổi mã'!$A$1:$C$91,3,0),$F610)&amp;AC610</f>
        <v>NPP00000119321238</v>
      </c>
      <c r="Y610" s="196" t="str">
        <f>IFERROR(VLOOKUP($F610,'[2]Chuyển đổi mã'!$A$1:$C$184,3,0),F610)</f>
        <v>NPP00000119</v>
      </c>
      <c r="Z610" s="196" t="str">
        <f>VLOOKUP($G610,'[2]Thông tin NPP'!$B:$D,3,0)</f>
        <v>NGUYỄN DUNG</v>
      </c>
      <c r="AA610" s="196" t="str">
        <f t="shared" si="140"/>
        <v>Richoco Wf</v>
      </c>
      <c r="AB610" s="196" t="str">
        <f>IFERROR(VLOOKUP(DAY(B610),'[2]Chuyển đổi mã'!$F$1:$G$32,2,0),0)</f>
        <v>W3</v>
      </c>
      <c r="AC610" s="196" t="str">
        <f t="shared" si="141"/>
        <v>321238</v>
      </c>
      <c r="AD610" s="196" t="str">
        <f t="shared" si="142"/>
        <v>NPP</v>
      </c>
      <c r="AE610" s="196" t="str">
        <f t="shared" si="143"/>
        <v>NPP321238</v>
      </c>
      <c r="AF610" s="196">
        <f t="shared" si="144"/>
        <v>0</v>
      </c>
    </row>
    <row r="611" spans="1:32" ht="12.95" hidden="1" customHeight="1">
      <c r="A611" s="197">
        <v>62879</v>
      </c>
      <c r="B611" s="198">
        <v>43574</v>
      </c>
      <c r="C611" s="197" t="s">
        <v>457</v>
      </c>
      <c r="D611" s="197" t="s">
        <v>650</v>
      </c>
      <c r="E611" s="197" t="s">
        <v>346</v>
      </c>
      <c r="F611" s="197" t="s">
        <v>414</v>
      </c>
      <c r="G611" s="199" t="s">
        <v>415</v>
      </c>
      <c r="H611" s="199" t="s">
        <v>296</v>
      </c>
      <c r="I611" s="199" t="s">
        <v>416</v>
      </c>
      <c r="J611" s="199" t="s">
        <v>350</v>
      </c>
      <c r="K611" s="197" t="s">
        <v>367</v>
      </c>
      <c r="L611" s="197" t="s">
        <v>408</v>
      </c>
      <c r="M611" s="200" t="s">
        <v>409</v>
      </c>
      <c r="N611" s="201">
        <v>300</v>
      </c>
      <c r="O611" s="202">
        <v>176640</v>
      </c>
      <c r="P611" s="203">
        <v>52992000</v>
      </c>
      <c r="Q611" s="203">
        <v>5299200</v>
      </c>
      <c r="R611" s="203">
        <v>58291200</v>
      </c>
      <c r="S611" s="199"/>
      <c r="T611" s="199" t="s">
        <v>310</v>
      </c>
      <c r="U611" s="197">
        <v>60744</v>
      </c>
      <c r="V611" s="197"/>
      <c r="W611" s="196" t="s">
        <v>356</v>
      </c>
      <c r="X611" s="196" t="str">
        <f>+IFERROR(VLOOKUP($F611,'[2]Chuyển đổi mã'!$A$1:$C$91,3,0),$F611)&amp;AC611</f>
        <v>NPP00000119324136</v>
      </c>
      <c r="Y611" s="196" t="str">
        <f>IFERROR(VLOOKUP($F611,'[2]Chuyển đổi mã'!$A$1:$C$184,3,0),F611)</f>
        <v>NPP00000119</v>
      </c>
      <c r="Z611" s="196" t="str">
        <f>VLOOKUP($G611,'[2]Thông tin NPP'!$B:$D,3,0)</f>
        <v>NGUYỄN DUNG</v>
      </c>
      <c r="AA611" s="196" t="str">
        <f t="shared" ref="AA611:AA613" si="145">LEFT($M611,10)</f>
        <v>Na 145g</v>
      </c>
      <c r="AB611" s="196" t="str">
        <f>IFERROR(VLOOKUP(DAY(B611),'[2]Chuyển đổi mã'!$F$1:$G$32,2,0),0)</f>
        <v>W3</v>
      </c>
      <c r="AC611" s="196" t="str">
        <f t="shared" ref="AC611:AC613" si="146">LEFT(L611,6)</f>
        <v>324136</v>
      </c>
      <c r="AD611" s="196" t="str">
        <f t="shared" ref="AD611:AD613" si="147">LEFT(F611,3)</f>
        <v>NPP</v>
      </c>
      <c r="AE611" s="196" t="str">
        <f t="shared" ref="AE611:AE613" si="148">AD611&amp;AC611</f>
        <v>NPP324136</v>
      </c>
      <c r="AF611" s="196">
        <f t="shared" ref="AF611:AF613" si="149">IF(RIGHT(L611,1)="P","P",0)</f>
        <v>0</v>
      </c>
    </row>
    <row r="612" spans="1:32" ht="12.95" hidden="1" customHeight="1">
      <c r="A612" s="197">
        <v>62879</v>
      </c>
      <c r="B612" s="198">
        <v>43574</v>
      </c>
      <c r="C612" s="197" t="s">
        <v>457</v>
      </c>
      <c r="D612" s="197" t="s">
        <v>650</v>
      </c>
      <c r="E612" s="197" t="s">
        <v>346</v>
      </c>
      <c r="F612" s="197" t="s">
        <v>414</v>
      </c>
      <c r="G612" s="199" t="s">
        <v>415</v>
      </c>
      <c r="H612" s="199" t="s">
        <v>296</v>
      </c>
      <c r="I612" s="199" t="s">
        <v>416</v>
      </c>
      <c r="J612" s="199" t="s">
        <v>350</v>
      </c>
      <c r="K612" s="197" t="s">
        <v>367</v>
      </c>
      <c r="L612" s="197" t="s">
        <v>357</v>
      </c>
      <c r="M612" s="200" t="s">
        <v>358</v>
      </c>
      <c r="N612" s="201">
        <v>20</v>
      </c>
      <c r="O612" s="202">
        <v>187680</v>
      </c>
      <c r="P612" s="203">
        <v>3753600</v>
      </c>
      <c r="Q612" s="203">
        <v>375360</v>
      </c>
      <c r="R612" s="203">
        <v>4128960</v>
      </c>
      <c r="S612" s="199"/>
      <c r="T612" s="199" t="s">
        <v>310</v>
      </c>
      <c r="U612" s="197">
        <v>60744</v>
      </c>
      <c r="V612" s="197"/>
      <c r="W612" s="196" t="s">
        <v>356</v>
      </c>
      <c r="X612" s="196" t="str">
        <f>+IFERROR(VLOOKUP($F612,'[2]Chuyển đổi mã'!$A$1:$C$91,3,0),$F612)&amp;AC612</f>
        <v>NPP00000119323555</v>
      </c>
      <c r="Y612" s="196" t="str">
        <f>IFERROR(VLOOKUP($F612,'[2]Chuyển đổi mã'!$A$1:$C$184,3,0),F612)</f>
        <v>NPP00000119</v>
      </c>
      <c r="Z612" s="196" t="str">
        <f>VLOOKUP($G612,'[2]Thông tin NPP'!$B:$D,3,0)</f>
        <v>NGUYỄN DUNG</v>
      </c>
      <c r="AA612" s="196" t="str">
        <f t="shared" si="145"/>
        <v>Na 17g - M</v>
      </c>
      <c r="AB612" s="196" t="str">
        <f>IFERROR(VLOOKUP(DAY(B612),'[2]Chuyển đổi mã'!$F$1:$G$32,2,0),0)</f>
        <v>W3</v>
      </c>
      <c r="AC612" s="196" t="str">
        <f t="shared" si="146"/>
        <v>323555</v>
      </c>
      <c r="AD612" s="196" t="str">
        <f t="shared" si="147"/>
        <v>NPP</v>
      </c>
      <c r="AE612" s="196" t="str">
        <f t="shared" si="148"/>
        <v>NPP323555</v>
      </c>
      <c r="AF612" s="196">
        <f t="shared" si="149"/>
        <v>0</v>
      </c>
    </row>
    <row r="613" spans="1:32" ht="12.95" hidden="1" customHeight="1">
      <c r="A613" s="197">
        <v>62879</v>
      </c>
      <c r="B613" s="198">
        <v>43574</v>
      </c>
      <c r="C613" s="197" t="s">
        <v>457</v>
      </c>
      <c r="D613" s="197" t="s">
        <v>650</v>
      </c>
      <c r="E613" s="197" t="s">
        <v>346</v>
      </c>
      <c r="F613" s="197" t="s">
        <v>414</v>
      </c>
      <c r="G613" s="199" t="s">
        <v>415</v>
      </c>
      <c r="H613" s="199" t="s">
        <v>296</v>
      </c>
      <c r="I613" s="199" t="s">
        <v>416</v>
      </c>
      <c r="J613" s="199" t="s">
        <v>350</v>
      </c>
      <c r="K613" s="197" t="s">
        <v>367</v>
      </c>
      <c r="L613" s="197" t="s">
        <v>361</v>
      </c>
      <c r="M613" s="200" t="s">
        <v>362</v>
      </c>
      <c r="N613" s="201">
        <v>100</v>
      </c>
      <c r="O613" s="202">
        <v>276000</v>
      </c>
      <c r="P613" s="203">
        <v>27600000</v>
      </c>
      <c r="Q613" s="203">
        <v>2760000</v>
      </c>
      <c r="R613" s="203">
        <v>30360000</v>
      </c>
      <c r="S613" s="199"/>
      <c r="T613" s="199" t="s">
        <v>310</v>
      </c>
      <c r="U613" s="197">
        <v>60744</v>
      </c>
      <c r="V613" s="197"/>
      <c r="W613" s="196" t="s">
        <v>356</v>
      </c>
      <c r="X613" s="196" t="str">
        <f>+IFERROR(VLOOKUP($F613,'[2]Chuyển đổi mã'!$A$1:$C$91,3,0),$F613)&amp;AC613</f>
        <v>NPP00000119331017</v>
      </c>
      <c r="Y613" s="196" t="str">
        <f>IFERROR(VLOOKUP($F613,'[2]Chuyển đổi mã'!$A$1:$C$184,3,0),F613)</f>
        <v>NPP00000119</v>
      </c>
      <c r="Z613" s="196" t="str">
        <f>VLOOKUP($G613,'[2]Thông tin NPP'!$B:$D,3,0)</f>
        <v>NGUYỄN DUNG</v>
      </c>
      <c r="AA613" s="196" t="str">
        <f t="shared" si="145"/>
        <v>Richoco Wf</v>
      </c>
      <c r="AB613" s="196" t="str">
        <f>IFERROR(VLOOKUP(DAY(B613),'[2]Chuyển đổi mã'!$F$1:$G$32,2,0),0)</f>
        <v>W3</v>
      </c>
      <c r="AC613" s="196" t="str">
        <f t="shared" si="146"/>
        <v>331017</v>
      </c>
      <c r="AD613" s="196" t="str">
        <f t="shared" si="147"/>
        <v>NPP</v>
      </c>
      <c r="AE613" s="196" t="str">
        <f t="shared" si="148"/>
        <v>NPP331017</v>
      </c>
      <c r="AF613" s="196">
        <f t="shared" si="149"/>
        <v>0</v>
      </c>
    </row>
    <row r="614" spans="1:32" ht="12.95" hidden="1" customHeight="1">
      <c r="A614" s="197">
        <v>62944</v>
      </c>
      <c r="B614" s="198">
        <v>43575</v>
      </c>
      <c r="C614" s="197" t="s">
        <v>457</v>
      </c>
      <c r="D614" s="197" t="s">
        <v>651</v>
      </c>
      <c r="E614" s="197" t="s">
        <v>346</v>
      </c>
      <c r="F614" s="197" t="s">
        <v>389</v>
      </c>
      <c r="G614" s="199" t="s">
        <v>390</v>
      </c>
      <c r="H614" s="199" t="s">
        <v>296</v>
      </c>
      <c r="I614" s="199" t="s">
        <v>391</v>
      </c>
      <c r="J614" s="199" t="s">
        <v>350</v>
      </c>
      <c r="K614" s="197" t="s">
        <v>351</v>
      </c>
      <c r="L614" s="197" t="s">
        <v>357</v>
      </c>
      <c r="M614" s="200" t="s">
        <v>358</v>
      </c>
      <c r="N614" s="201">
        <v>1000</v>
      </c>
      <c r="O614" s="202">
        <v>185640</v>
      </c>
      <c r="P614" s="203">
        <v>185640000</v>
      </c>
      <c r="Q614" s="203">
        <v>18564000</v>
      </c>
      <c r="R614" s="203">
        <v>204204000</v>
      </c>
      <c r="S614" s="199"/>
      <c r="T614" s="199" t="s">
        <v>310</v>
      </c>
      <c r="U614" s="197">
        <v>60769</v>
      </c>
      <c r="V614" s="197"/>
      <c r="W614" s="196" t="s">
        <v>356</v>
      </c>
      <c r="X614" s="196" t="str">
        <f>+IFERROR(VLOOKUP($F614,'[2]Chuyển đổi mã'!$A$1:$C$91,3,0),$F614)&amp;AC614</f>
        <v>NPP00000468323555</v>
      </c>
      <c r="Y614" s="196" t="str">
        <f>IFERROR(VLOOKUP($F614,'[2]Chuyển đổi mã'!$A$1:$C$184,3,0),F614)</f>
        <v>NPP00000468</v>
      </c>
      <c r="Z614" s="196" t="e">
        <f>VLOOKUP($G614,'[2]Thông tin NPP'!$B:$D,3,0)</f>
        <v>#N/A</v>
      </c>
      <c r="AA614" s="196" t="str">
        <f t="shared" ref="AA614:AA616" si="150">LEFT($M614,10)</f>
        <v>Na 17g - M</v>
      </c>
      <c r="AB614" s="196" t="str">
        <f>IFERROR(VLOOKUP(DAY(B614),'[2]Chuyển đổi mã'!$F$1:$G$32,2,0),0)</f>
        <v>W3</v>
      </c>
      <c r="AC614" s="196" t="str">
        <f t="shared" ref="AC614:AC616" si="151">LEFT(L614,6)</f>
        <v>323555</v>
      </c>
      <c r="AD614" s="196" t="str">
        <f t="shared" ref="AD614:AD616" si="152">LEFT(F614,3)</f>
        <v>NPP</v>
      </c>
      <c r="AE614" s="196" t="str">
        <f t="shared" ref="AE614:AE616" si="153">AD614&amp;AC614</f>
        <v>NPP323555</v>
      </c>
      <c r="AF614" s="196">
        <f t="shared" ref="AF614:AF616" si="154">IF(RIGHT(L614,1)="P","P",0)</f>
        <v>0</v>
      </c>
    </row>
    <row r="615" spans="1:32" ht="12.95" hidden="1" customHeight="1">
      <c r="A615" s="197">
        <v>62945</v>
      </c>
      <c r="B615" s="198">
        <v>43575</v>
      </c>
      <c r="C615" s="197" t="s">
        <v>457</v>
      </c>
      <c r="D615" s="197" t="s">
        <v>652</v>
      </c>
      <c r="E615" s="197" t="s">
        <v>346</v>
      </c>
      <c r="F615" s="197" t="s">
        <v>389</v>
      </c>
      <c r="G615" s="199" t="s">
        <v>390</v>
      </c>
      <c r="H615" s="199" t="s">
        <v>296</v>
      </c>
      <c r="I615" s="199" t="s">
        <v>391</v>
      </c>
      <c r="J615" s="199" t="s">
        <v>350</v>
      </c>
      <c r="K615" s="197" t="s">
        <v>351</v>
      </c>
      <c r="L615" s="197" t="s">
        <v>359</v>
      </c>
      <c r="M615" s="200" t="s">
        <v>360</v>
      </c>
      <c r="N615" s="201">
        <v>170</v>
      </c>
      <c r="O615" s="202">
        <v>232050</v>
      </c>
      <c r="P615" s="203">
        <v>39448500</v>
      </c>
      <c r="Q615" s="203">
        <v>3944850</v>
      </c>
      <c r="R615" s="203">
        <v>43393350</v>
      </c>
      <c r="S615" s="199" t="s">
        <v>653</v>
      </c>
      <c r="T615" s="199" t="s">
        <v>654</v>
      </c>
      <c r="U615" s="197">
        <v>60770</v>
      </c>
      <c r="V615" s="197"/>
      <c r="W615" s="196" t="s">
        <v>356</v>
      </c>
      <c r="X615" s="196" t="str">
        <f>+IFERROR(VLOOKUP($F615,'[2]Chuyển đổi mã'!$A$1:$C$91,3,0),$F615)&amp;AC615</f>
        <v>NPP00000468320445</v>
      </c>
      <c r="Y615" s="196" t="str">
        <f>IFERROR(VLOOKUP($F615,'[2]Chuyển đổi mã'!$A$1:$C$184,3,0),F615)</f>
        <v>NPP00000468</v>
      </c>
      <c r="Z615" s="196" t="e">
        <f>VLOOKUP($G615,'[2]Thông tin NPP'!$B:$D,3,0)</f>
        <v>#N/A</v>
      </c>
      <c r="AA615" s="196" t="str">
        <f t="shared" si="150"/>
        <v>Na 58g</v>
      </c>
      <c r="AB615" s="196" t="str">
        <f>IFERROR(VLOOKUP(DAY(B615),'[2]Chuyển đổi mã'!$F$1:$G$32,2,0),0)</f>
        <v>W3</v>
      </c>
      <c r="AC615" s="196" t="str">
        <f t="shared" si="151"/>
        <v>320445</v>
      </c>
      <c r="AD615" s="196" t="str">
        <f t="shared" si="152"/>
        <v>NPP</v>
      </c>
      <c r="AE615" s="196" t="str">
        <f t="shared" si="153"/>
        <v>NPP320445</v>
      </c>
      <c r="AF615" s="196">
        <f t="shared" si="154"/>
        <v>0</v>
      </c>
    </row>
    <row r="616" spans="1:32" ht="12.95" hidden="1" customHeight="1">
      <c r="A616" s="197">
        <v>62945</v>
      </c>
      <c r="B616" s="198">
        <v>43575</v>
      </c>
      <c r="C616" s="197" t="s">
        <v>457</v>
      </c>
      <c r="D616" s="197" t="s">
        <v>652</v>
      </c>
      <c r="E616" s="197" t="s">
        <v>346</v>
      </c>
      <c r="F616" s="197" t="s">
        <v>389</v>
      </c>
      <c r="G616" s="199" t="s">
        <v>390</v>
      </c>
      <c r="H616" s="199" t="s">
        <v>296</v>
      </c>
      <c r="I616" s="199" t="s">
        <v>391</v>
      </c>
      <c r="J616" s="199" t="s">
        <v>350</v>
      </c>
      <c r="K616" s="197" t="s">
        <v>351</v>
      </c>
      <c r="L616" s="197" t="s">
        <v>361</v>
      </c>
      <c r="M616" s="200" t="s">
        <v>362</v>
      </c>
      <c r="N616" s="201">
        <v>300</v>
      </c>
      <c r="O616" s="202">
        <v>273000</v>
      </c>
      <c r="P616" s="203">
        <v>81900000</v>
      </c>
      <c r="Q616" s="203">
        <v>8190000</v>
      </c>
      <c r="R616" s="203">
        <v>90090000</v>
      </c>
      <c r="S616" s="199"/>
      <c r="T616" s="199" t="s">
        <v>310</v>
      </c>
      <c r="U616" s="197">
        <v>60770</v>
      </c>
      <c r="V616" s="197"/>
      <c r="W616" s="196" t="s">
        <v>356</v>
      </c>
      <c r="X616" s="196" t="str">
        <f>+IFERROR(VLOOKUP($F616,'[2]Chuyển đổi mã'!$A$1:$C$91,3,0),$F616)&amp;AC616</f>
        <v>NPP00000468331017</v>
      </c>
      <c r="Y616" s="196" t="str">
        <f>IFERROR(VLOOKUP($F616,'[2]Chuyển đổi mã'!$A$1:$C$184,3,0),F616)</f>
        <v>NPP00000468</v>
      </c>
      <c r="Z616" s="196" t="e">
        <f>VLOOKUP($G616,'[2]Thông tin NPP'!$B:$D,3,0)</f>
        <v>#N/A</v>
      </c>
      <c r="AA616" s="196" t="str">
        <f t="shared" si="150"/>
        <v>Richoco Wf</v>
      </c>
      <c r="AB616" s="196" t="str">
        <f>IFERROR(VLOOKUP(DAY(B616),'[2]Chuyển đổi mã'!$F$1:$G$32,2,0),0)</f>
        <v>W3</v>
      </c>
      <c r="AC616" s="196" t="str">
        <f t="shared" si="151"/>
        <v>331017</v>
      </c>
      <c r="AD616" s="196" t="str">
        <f t="shared" si="152"/>
        <v>NPP</v>
      </c>
      <c r="AE616" s="196" t="str">
        <f t="shared" si="153"/>
        <v>NPP331017</v>
      </c>
      <c r="AF616" s="196">
        <f t="shared" si="154"/>
        <v>0</v>
      </c>
    </row>
    <row r="617" spans="1:32" ht="12.95" customHeight="1">
      <c r="A617" s="197">
        <v>62990</v>
      </c>
      <c r="B617" s="198">
        <v>43577</v>
      </c>
      <c r="C617" s="197" t="s">
        <v>457</v>
      </c>
      <c r="D617" s="197" t="s">
        <v>655</v>
      </c>
      <c r="E617" s="197" t="s">
        <v>346</v>
      </c>
      <c r="F617" s="197" t="s">
        <v>550</v>
      </c>
      <c r="G617" s="199" t="s">
        <v>551</v>
      </c>
      <c r="H617" s="199" t="s">
        <v>296</v>
      </c>
      <c r="I617" s="199" t="s">
        <v>349</v>
      </c>
      <c r="J617" s="199" t="s">
        <v>350</v>
      </c>
      <c r="K617" s="197" t="s">
        <v>351</v>
      </c>
      <c r="L617" s="197" t="s">
        <v>381</v>
      </c>
      <c r="M617" s="200" t="s">
        <v>382</v>
      </c>
      <c r="N617" s="201">
        <v>3</v>
      </c>
      <c r="O617" s="202">
        <v>300000</v>
      </c>
      <c r="P617" s="203">
        <v>900000</v>
      </c>
      <c r="Q617" s="203">
        <v>90000</v>
      </c>
      <c r="R617" s="203">
        <v>990000</v>
      </c>
      <c r="S617" s="199"/>
      <c r="T617" s="199" t="s">
        <v>310</v>
      </c>
      <c r="U617" s="197">
        <v>60794</v>
      </c>
      <c r="V617" s="197"/>
      <c r="W617" s="196" t="s">
        <v>356</v>
      </c>
      <c r="X617" s="196" t="str">
        <f>+IFERROR(VLOOKUP($F617,'[2]Chuyển đổi mã'!$A$1:$C$91,3,0),$F617)&amp;AC617</f>
        <v>Lotte South320429</v>
      </c>
      <c r="Y617" s="196" t="str">
        <f>IFERROR(VLOOKUP($F617,'[2]Chuyển đổi mã'!$A$1:$C$184,3,0),F617)</f>
        <v>Lotte South</v>
      </c>
      <c r="Z617" s="196" t="str">
        <f>VLOOKUP($G617,'[2]Thông tin NPP'!$B:$D,3,0)</f>
        <v>Lotte South</v>
      </c>
      <c r="AA617" s="196" t="str">
        <f t="shared" ref="AA617:AA630" si="155">LEFT($M617,10)</f>
        <v>Tin Can 35</v>
      </c>
      <c r="AB617" s="196" t="str">
        <f>IFERROR(VLOOKUP(DAY(B617),'[2]Chuyển đổi mã'!$F$1:$G$32,2,0),0)</f>
        <v>W4</v>
      </c>
      <c r="AC617" s="196" t="str">
        <f t="shared" ref="AC617:AC630" si="156">LEFT(L617,6)</f>
        <v>320429</v>
      </c>
      <c r="AD617" s="196" t="str">
        <f t="shared" ref="AD617:AD630" si="157">LEFT(F617,3)</f>
        <v>NPP</v>
      </c>
      <c r="AE617" s="196" t="str">
        <f t="shared" ref="AE617:AE630" si="158">AD617&amp;AC617</f>
        <v>NPP320429</v>
      </c>
      <c r="AF617" s="196">
        <f t="shared" ref="AF617:AF630" si="159">IF(RIGHT(L617,1)="P","P",0)</f>
        <v>0</v>
      </c>
    </row>
    <row r="618" spans="1:32" ht="12.95" customHeight="1">
      <c r="A618" s="197">
        <v>62990</v>
      </c>
      <c r="B618" s="198">
        <v>43577</v>
      </c>
      <c r="C618" s="197" t="s">
        <v>457</v>
      </c>
      <c r="D618" s="197" t="s">
        <v>655</v>
      </c>
      <c r="E618" s="197" t="s">
        <v>346</v>
      </c>
      <c r="F618" s="197" t="s">
        <v>550</v>
      </c>
      <c r="G618" s="199" t="s">
        <v>551</v>
      </c>
      <c r="H618" s="199" t="s">
        <v>296</v>
      </c>
      <c r="I618" s="199" t="s">
        <v>349</v>
      </c>
      <c r="J618" s="199" t="s">
        <v>350</v>
      </c>
      <c r="K618" s="197" t="s">
        <v>351</v>
      </c>
      <c r="L618" s="197" t="s">
        <v>387</v>
      </c>
      <c r="M618" s="200" t="s">
        <v>388</v>
      </c>
      <c r="N618" s="201">
        <v>5</v>
      </c>
      <c r="O618" s="202">
        <v>340000</v>
      </c>
      <c r="P618" s="203">
        <v>1700000</v>
      </c>
      <c r="Q618" s="203">
        <v>170000</v>
      </c>
      <c r="R618" s="203">
        <v>1870000</v>
      </c>
      <c r="S618" s="199"/>
      <c r="T618" s="199" t="s">
        <v>310</v>
      </c>
      <c r="U618" s="197">
        <v>60794</v>
      </c>
      <c r="V618" s="197"/>
      <c r="W618" s="196" t="s">
        <v>356</v>
      </c>
      <c r="X618" s="196" t="str">
        <f>+IFERROR(VLOOKUP($F618,'[2]Chuyển đổi mã'!$A$1:$C$91,3,0),$F618)&amp;AC618</f>
        <v>Lotte South323620</v>
      </c>
      <c r="Y618" s="196" t="str">
        <f>IFERROR(VLOOKUP($F618,'[2]Chuyển đổi mã'!$A$1:$C$184,3,0),F618)</f>
        <v>Lotte South</v>
      </c>
      <c r="Z618" s="196" t="str">
        <f>VLOOKUP($G618,'[2]Thông tin NPP'!$B:$D,3,0)</f>
        <v>Lotte South</v>
      </c>
      <c r="AA618" s="196" t="str">
        <f t="shared" si="155"/>
        <v>Ahh 16g</v>
      </c>
      <c r="AB618" s="196" t="str">
        <f>IFERROR(VLOOKUP(DAY(B618),'[2]Chuyển đổi mã'!$F$1:$G$32,2,0),0)</f>
        <v>W4</v>
      </c>
      <c r="AC618" s="196" t="str">
        <f t="shared" si="156"/>
        <v>323620</v>
      </c>
      <c r="AD618" s="196" t="str">
        <f t="shared" si="157"/>
        <v>NPP</v>
      </c>
      <c r="AE618" s="196" t="str">
        <f t="shared" si="158"/>
        <v>NPP323620</v>
      </c>
      <c r="AF618" s="196">
        <f t="shared" si="159"/>
        <v>0</v>
      </c>
    </row>
    <row r="619" spans="1:32" ht="12.95" customHeight="1">
      <c r="A619" s="197">
        <v>62990</v>
      </c>
      <c r="B619" s="198">
        <v>43577</v>
      </c>
      <c r="C619" s="197" t="s">
        <v>457</v>
      </c>
      <c r="D619" s="197" t="s">
        <v>655</v>
      </c>
      <c r="E619" s="197" t="s">
        <v>346</v>
      </c>
      <c r="F619" s="197" t="s">
        <v>550</v>
      </c>
      <c r="G619" s="199" t="s">
        <v>551</v>
      </c>
      <c r="H619" s="199" t="s">
        <v>296</v>
      </c>
      <c r="I619" s="199" t="s">
        <v>349</v>
      </c>
      <c r="J619" s="199" t="s">
        <v>350</v>
      </c>
      <c r="K619" s="197" t="s">
        <v>351</v>
      </c>
      <c r="L619" s="197" t="s">
        <v>359</v>
      </c>
      <c r="M619" s="200" t="s">
        <v>360</v>
      </c>
      <c r="N619" s="201">
        <v>3</v>
      </c>
      <c r="O619" s="202">
        <v>300000</v>
      </c>
      <c r="P619" s="203">
        <v>900000</v>
      </c>
      <c r="Q619" s="203">
        <v>90000</v>
      </c>
      <c r="R619" s="203">
        <v>990000</v>
      </c>
      <c r="S619" s="199"/>
      <c r="T619" s="199" t="s">
        <v>310</v>
      </c>
      <c r="U619" s="197">
        <v>60794</v>
      </c>
      <c r="V619" s="197"/>
      <c r="W619" s="196" t="s">
        <v>356</v>
      </c>
      <c r="X619" s="196" t="str">
        <f>+IFERROR(VLOOKUP($F619,'[2]Chuyển đổi mã'!$A$1:$C$91,3,0),$F619)&amp;AC619</f>
        <v>Lotte South320445</v>
      </c>
      <c r="Y619" s="196" t="str">
        <f>IFERROR(VLOOKUP($F619,'[2]Chuyển đổi mã'!$A$1:$C$184,3,0),F619)</f>
        <v>Lotte South</v>
      </c>
      <c r="Z619" s="196" t="str">
        <f>VLOOKUP($G619,'[2]Thông tin NPP'!$B:$D,3,0)</f>
        <v>Lotte South</v>
      </c>
      <c r="AA619" s="196" t="str">
        <f t="shared" si="155"/>
        <v>Na 58g</v>
      </c>
      <c r="AB619" s="196" t="str">
        <f>IFERROR(VLOOKUP(DAY(B619),'[2]Chuyển đổi mã'!$F$1:$G$32,2,0),0)</f>
        <v>W4</v>
      </c>
      <c r="AC619" s="196" t="str">
        <f t="shared" si="156"/>
        <v>320445</v>
      </c>
      <c r="AD619" s="196" t="str">
        <f t="shared" si="157"/>
        <v>NPP</v>
      </c>
      <c r="AE619" s="196" t="str">
        <f t="shared" si="158"/>
        <v>NPP320445</v>
      </c>
      <c r="AF619" s="196">
        <f t="shared" si="159"/>
        <v>0</v>
      </c>
    </row>
    <row r="620" spans="1:32" ht="12.95" customHeight="1">
      <c r="A620" s="197">
        <v>62990</v>
      </c>
      <c r="B620" s="198">
        <v>43577</v>
      </c>
      <c r="C620" s="197" t="s">
        <v>457</v>
      </c>
      <c r="D620" s="197" t="s">
        <v>655</v>
      </c>
      <c r="E620" s="197" t="s">
        <v>346</v>
      </c>
      <c r="F620" s="197" t="s">
        <v>550</v>
      </c>
      <c r="G620" s="199" t="s">
        <v>551</v>
      </c>
      <c r="H620" s="199" t="s">
        <v>296</v>
      </c>
      <c r="I620" s="199" t="s">
        <v>349</v>
      </c>
      <c r="J620" s="199" t="s">
        <v>350</v>
      </c>
      <c r="K620" s="197" t="s">
        <v>351</v>
      </c>
      <c r="L620" s="197" t="s">
        <v>357</v>
      </c>
      <c r="M620" s="200" t="s">
        <v>358</v>
      </c>
      <c r="N620" s="201">
        <v>10</v>
      </c>
      <c r="O620" s="202">
        <v>213273</v>
      </c>
      <c r="P620" s="203">
        <v>2132730</v>
      </c>
      <c r="Q620" s="203">
        <v>213273</v>
      </c>
      <c r="R620" s="203">
        <v>2346003</v>
      </c>
      <c r="S620" s="199"/>
      <c r="T620" s="199" t="s">
        <v>310</v>
      </c>
      <c r="U620" s="197">
        <v>60794</v>
      </c>
      <c r="V620" s="197"/>
      <c r="W620" s="196" t="s">
        <v>356</v>
      </c>
      <c r="X620" s="196" t="str">
        <f>+IFERROR(VLOOKUP($F620,'[2]Chuyển đổi mã'!$A$1:$C$91,3,0),$F620)&amp;AC620</f>
        <v>Lotte South323555</v>
      </c>
      <c r="Y620" s="196" t="str">
        <f>IFERROR(VLOOKUP($F620,'[2]Chuyển đổi mã'!$A$1:$C$184,3,0),F620)</f>
        <v>Lotte South</v>
      </c>
      <c r="Z620" s="196" t="str">
        <f>VLOOKUP($G620,'[2]Thông tin NPP'!$B:$D,3,0)</f>
        <v>Lotte South</v>
      </c>
      <c r="AA620" s="196" t="str">
        <f t="shared" si="155"/>
        <v>Na 17g - M</v>
      </c>
      <c r="AB620" s="196" t="str">
        <f>IFERROR(VLOOKUP(DAY(B620),'[2]Chuyển đổi mã'!$F$1:$G$32,2,0),0)</f>
        <v>W4</v>
      </c>
      <c r="AC620" s="196" t="str">
        <f t="shared" si="156"/>
        <v>323555</v>
      </c>
      <c r="AD620" s="196" t="str">
        <f t="shared" si="157"/>
        <v>NPP</v>
      </c>
      <c r="AE620" s="196" t="str">
        <f t="shared" si="158"/>
        <v>NPP323555</v>
      </c>
      <c r="AF620" s="196">
        <f t="shared" si="159"/>
        <v>0</v>
      </c>
    </row>
    <row r="621" spans="1:32" ht="12.95" hidden="1" customHeight="1">
      <c r="A621" s="197">
        <v>62991</v>
      </c>
      <c r="B621" s="198">
        <v>43577</v>
      </c>
      <c r="C621" s="197" t="s">
        <v>457</v>
      </c>
      <c r="D621" s="197" t="s">
        <v>656</v>
      </c>
      <c r="E621" s="197" t="s">
        <v>346</v>
      </c>
      <c r="F621" s="197" t="s">
        <v>389</v>
      </c>
      <c r="G621" s="199" t="s">
        <v>390</v>
      </c>
      <c r="H621" s="199" t="s">
        <v>296</v>
      </c>
      <c r="I621" s="199" t="s">
        <v>391</v>
      </c>
      <c r="J621" s="199" t="s">
        <v>350</v>
      </c>
      <c r="K621" s="197" t="s">
        <v>351</v>
      </c>
      <c r="L621" s="197" t="s">
        <v>359</v>
      </c>
      <c r="M621" s="200" t="s">
        <v>360</v>
      </c>
      <c r="N621" s="201">
        <v>130</v>
      </c>
      <c r="O621" s="202">
        <v>232050</v>
      </c>
      <c r="P621" s="203">
        <v>30166500</v>
      </c>
      <c r="Q621" s="203">
        <v>3016650</v>
      </c>
      <c r="R621" s="203">
        <v>33183150</v>
      </c>
      <c r="S621" s="199" t="s">
        <v>653</v>
      </c>
      <c r="T621" s="199" t="s">
        <v>654</v>
      </c>
      <c r="U621" s="197">
        <v>60798</v>
      </c>
      <c r="V621" s="197"/>
      <c r="W621" s="196" t="s">
        <v>356</v>
      </c>
      <c r="X621" s="196" t="str">
        <f>+IFERROR(VLOOKUP($F621,'[2]Chuyển đổi mã'!$A$1:$C$91,3,0),$F621)&amp;AC621</f>
        <v>NPP00000468320445</v>
      </c>
      <c r="Y621" s="196" t="str">
        <f>IFERROR(VLOOKUP($F621,'[2]Chuyển đổi mã'!$A$1:$C$184,3,0),F621)</f>
        <v>NPP00000468</v>
      </c>
      <c r="Z621" s="196" t="e">
        <f>VLOOKUP($G621,'[2]Thông tin NPP'!$B:$D,3,0)</f>
        <v>#N/A</v>
      </c>
      <c r="AA621" s="196" t="str">
        <f t="shared" si="155"/>
        <v>Na 58g</v>
      </c>
      <c r="AB621" s="196" t="str">
        <f>IFERROR(VLOOKUP(DAY(B621),'[2]Chuyển đổi mã'!$F$1:$G$32,2,0),0)</f>
        <v>W4</v>
      </c>
      <c r="AC621" s="196" t="str">
        <f t="shared" si="156"/>
        <v>320445</v>
      </c>
      <c r="AD621" s="196" t="str">
        <f t="shared" si="157"/>
        <v>NPP</v>
      </c>
      <c r="AE621" s="196" t="str">
        <f t="shared" si="158"/>
        <v>NPP320445</v>
      </c>
      <c r="AF621" s="196">
        <f t="shared" si="159"/>
        <v>0</v>
      </c>
    </row>
    <row r="622" spans="1:32" ht="12.95" customHeight="1">
      <c r="A622" s="197">
        <v>62992</v>
      </c>
      <c r="B622" s="198">
        <v>43577</v>
      </c>
      <c r="C622" s="197" t="s">
        <v>457</v>
      </c>
      <c r="D622" s="197" t="s">
        <v>657</v>
      </c>
      <c r="E622" s="197" t="s">
        <v>346</v>
      </c>
      <c r="F622" s="197" t="s">
        <v>417</v>
      </c>
      <c r="G622" s="199" t="s">
        <v>418</v>
      </c>
      <c r="H622" s="199" t="s">
        <v>296</v>
      </c>
      <c r="I622" s="199" t="s">
        <v>349</v>
      </c>
      <c r="J622" s="199" t="s">
        <v>350</v>
      </c>
      <c r="K622" s="197" t="s">
        <v>351</v>
      </c>
      <c r="L622" s="197" t="s">
        <v>387</v>
      </c>
      <c r="M622" s="200" t="s">
        <v>388</v>
      </c>
      <c r="N622" s="201">
        <v>1</v>
      </c>
      <c r="O622" s="202">
        <v>340000</v>
      </c>
      <c r="P622" s="203">
        <v>340000</v>
      </c>
      <c r="Q622" s="203">
        <v>34000</v>
      </c>
      <c r="R622" s="203">
        <v>374000</v>
      </c>
      <c r="S622" s="199"/>
      <c r="T622" s="199" t="s">
        <v>310</v>
      </c>
      <c r="U622" s="197">
        <v>60795</v>
      </c>
      <c r="V622" s="197"/>
      <c r="W622" s="196" t="s">
        <v>356</v>
      </c>
      <c r="X622" s="196" t="str">
        <f>+IFERROR(VLOOKUP($F622,'[2]Chuyển đổi mã'!$A$1:$C$91,3,0),$F622)&amp;AC622</f>
        <v>Lotte South323620</v>
      </c>
      <c r="Y622" s="196" t="str">
        <f>IFERROR(VLOOKUP($F622,'[2]Chuyển đổi mã'!$A$1:$C$184,3,0),F622)</f>
        <v>Lotte South</v>
      </c>
      <c r="Z622" s="196" t="str">
        <f>VLOOKUP($G622,'[2]Thông tin NPP'!$B:$D,3,0)</f>
        <v>Lotte South</v>
      </c>
      <c r="AA622" s="196" t="str">
        <f t="shared" si="155"/>
        <v>Ahh 16g</v>
      </c>
      <c r="AB622" s="196" t="str">
        <f>IFERROR(VLOOKUP(DAY(B622),'[2]Chuyển đổi mã'!$F$1:$G$32,2,0),0)</f>
        <v>W4</v>
      </c>
      <c r="AC622" s="196" t="str">
        <f t="shared" si="156"/>
        <v>323620</v>
      </c>
      <c r="AD622" s="196" t="str">
        <f t="shared" si="157"/>
        <v>NPP</v>
      </c>
      <c r="AE622" s="196" t="str">
        <f t="shared" si="158"/>
        <v>NPP323620</v>
      </c>
      <c r="AF622" s="196">
        <f t="shared" si="159"/>
        <v>0</v>
      </c>
    </row>
    <row r="623" spans="1:32" ht="12.95" customHeight="1">
      <c r="A623" s="197">
        <v>62992</v>
      </c>
      <c r="B623" s="198">
        <v>43577</v>
      </c>
      <c r="C623" s="197" t="s">
        <v>457</v>
      </c>
      <c r="D623" s="197" t="s">
        <v>657</v>
      </c>
      <c r="E623" s="197" t="s">
        <v>346</v>
      </c>
      <c r="F623" s="197" t="s">
        <v>417</v>
      </c>
      <c r="G623" s="199" t="s">
        <v>418</v>
      </c>
      <c r="H623" s="199" t="s">
        <v>296</v>
      </c>
      <c r="I623" s="199" t="s">
        <v>349</v>
      </c>
      <c r="J623" s="199" t="s">
        <v>350</v>
      </c>
      <c r="K623" s="197" t="s">
        <v>351</v>
      </c>
      <c r="L623" s="197" t="s">
        <v>361</v>
      </c>
      <c r="M623" s="200" t="s">
        <v>362</v>
      </c>
      <c r="N623" s="201">
        <v>3</v>
      </c>
      <c r="O623" s="202">
        <v>300000</v>
      </c>
      <c r="P623" s="203">
        <v>900000</v>
      </c>
      <c r="Q623" s="203">
        <v>90000</v>
      </c>
      <c r="R623" s="203">
        <v>990000</v>
      </c>
      <c r="S623" s="199"/>
      <c r="T623" s="199" t="s">
        <v>310</v>
      </c>
      <c r="U623" s="197">
        <v>60795</v>
      </c>
      <c r="V623" s="197"/>
      <c r="W623" s="196" t="s">
        <v>356</v>
      </c>
      <c r="X623" s="196" t="str">
        <f>+IFERROR(VLOOKUP($F623,'[2]Chuyển đổi mã'!$A$1:$C$91,3,0),$F623)&amp;AC623</f>
        <v>Lotte South331017</v>
      </c>
      <c r="Y623" s="196" t="str">
        <f>IFERROR(VLOOKUP($F623,'[2]Chuyển đổi mã'!$A$1:$C$184,3,0),F623)</f>
        <v>Lotte South</v>
      </c>
      <c r="Z623" s="196" t="str">
        <f>VLOOKUP($G623,'[2]Thông tin NPP'!$B:$D,3,0)</f>
        <v>Lotte South</v>
      </c>
      <c r="AA623" s="196" t="str">
        <f t="shared" si="155"/>
        <v>Richoco Wf</v>
      </c>
      <c r="AB623" s="196" t="str">
        <f>IFERROR(VLOOKUP(DAY(B623),'[2]Chuyển đổi mã'!$F$1:$G$32,2,0),0)</f>
        <v>W4</v>
      </c>
      <c r="AC623" s="196" t="str">
        <f t="shared" si="156"/>
        <v>331017</v>
      </c>
      <c r="AD623" s="196" t="str">
        <f t="shared" si="157"/>
        <v>NPP</v>
      </c>
      <c r="AE623" s="196" t="str">
        <f t="shared" si="158"/>
        <v>NPP331017</v>
      </c>
      <c r="AF623" s="196">
        <f t="shared" si="159"/>
        <v>0</v>
      </c>
    </row>
    <row r="624" spans="1:32" ht="12.95" customHeight="1">
      <c r="A624" s="197">
        <v>62992</v>
      </c>
      <c r="B624" s="198">
        <v>43577</v>
      </c>
      <c r="C624" s="197" t="s">
        <v>457</v>
      </c>
      <c r="D624" s="197" t="s">
        <v>657</v>
      </c>
      <c r="E624" s="197" t="s">
        <v>346</v>
      </c>
      <c r="F624" s="197" t="s">
        <v>417</v>
      </c>
      <c r="G624" s="199" t="s">
        <v>418</v>
      </c>
      <c r="H624" s="199" t="s">
        <v>296</v>
      </c>
      <c r="I624" s="199" t="s">
        <v>349</v>
      </c>
      <c r="J624" s="199" t="s">
        <v>350</v>
      </c>
      <c r="K624" s="197" t="s">
        <v>351</v>
      </c>
      <c r="L624" s="197" t="s">
        <v>359</v>
      </c>
      <c r="M624" s="200" t="s">
        <v>360</v>
      </c>
      <c r="N624" s="201">
        <v>5</v>
      </c>
      <c r="O624" s="202">
        <v>300000</v>
      </c>
      <c r="P624" s="203">
        <v>1500000</v>
      </c>
      <c r="Q624" s="203">
        <v>150000</v>
      </c>
      <c r="R624" s="203">
        <v>1650000</v>
      </c>
      <c r="S624" s="199"/>
      <c r="T624" s="199" t="s">
        <v>310</v>
      </c>
      <c r="U624" s="197">
        <v>60795</v>
      </c>
      <c r="V624" s="197"/>
      <c r="W624" s="196" t="s">
        <v>356</v>
      </c>
      <c r="X624" s="196" t="str">
        <f>+IFERROR(VLOOKUP($F624,'[2]Chuyển đổi mã'!$A$1:$C$91,3,0),$F624)&amp;AC624</f>
        <v>Lotte South320445</v>
      </c>
      <c r="Y624" s="196" t="str">
        <f>IFERROR(VLOOKUP($F624,'[2]Chuyển đổi mã'!$A$1:$C$184,3,0),F624)</f>
        <v>Lotte South</v>
      </c>
      <c r="Z624" s="196" t="str">
        <f>VLOOKUP($G624,'[2]Thông tin NPP'!$B:$D,3,0)</f>
        <v>Lotte South</v>
      </c>
      <c r="AA624" s="196" t="str">
        <f t="shared" si="155"/>
        <v>Na 58g</v>
      </c>
      <c r="AB624" s="196" t="str">
        <f>IFERROR(VLOOKUP(DAY(B624),'[2]Chuyển đổi mã'!$F$1:$G$32,2,0),0)</f>
        <v>W4</v>
      </c>
      <c r="AC624" s="196" t="str">
        <f t="shared" si="156"/>
        <v>320445</v>
      </c>
      <c r="AD624" s="196" t="str">
        <f t="shared" si="157"/>
        <v>NPP</v>
      </c>
      <c r="AE624" s="196" t="str">
        <f t="shared" si="158"/>
        <v>NPP320445</v>
      </c>
      <c r="AF624" s="196">
        <f t="shared" si="159"/>
        <v>0</v>
      </c>
    </row>
    <row r="625" spans="1:32" ht="12.95" customHeight="1">
      <c r="A625" s="197">
        <v>62992</v>
      </c>
      <c r="B625" s="198">
        <v>43577</v>
      </c>
      <c r="C625" s="197" t="s">
        <v>457</v>
      </c>
      <c r="D625" s="197" t="s">
        <v>657</v>
      </c>
      <c r="E625" s="197" t="s">
        <v>346</v>
      </c>
      <c r="F625" s="197" t="s">
        <v>417</v>
      </c>
      <c r="G625" s="199" t="s">
        <v>418</v>
      </c>
      <c r="H625" s="199" t="s">
        <v>296</v>
      </c>
      <c r="I625" s="199" t="s">
        <v>349</v>
      </c>
      <c r="J625" s="199" t="s">
        <v>350</v>
      </c>
      <c r="K625" s="197" t="s">
        <v>351</v>
      </c>
      <c r="L625" s="197" t="s">
        <v>357</v>
      </c>
      <c r="M625" s="200" t="s">
        <v>358</v>
      </c>
      <c r="N625" s="201">
        <v>5</v>
      </c>
      <c r="O625" s="202">
        <v>213273</v>
      </c>
      <c r="P625" s="203">
        <v>1066365</v>
      </c>
      <c r="Q625" s="203">
        <v>106636.5</v>
      </c>
      <c r="R625" s="203">
        <v>1173001.5</v>
      </c>
      <c r="S625" s="199"/>
      <c r="T625" s="199" t="s">
        <v>310</v>
      </c>
      <c r="U625" s="197">
        <v>60795</v>
      </c>
      <c r="V625" s="197"/>
      <c r="W625" s="196" t="s">
        <v>356</v>
      </c>
      <c r="X625" s="196" t="str">
        <f>+IFERROR(VLOOKUP($F625,'[2]Chuyển đổi mã'!$A$1:$C$91,3,0),$F625)&amp;AC625</f>
        <v>Lotte South323555</v>
      </c>
      <c r="Y625" s="196" t="str">
        <f>IFERROR(VLOOKUP($F625,'[2]Chuyển đổi mã'!$A$1:$C$184,3,0),F625)</f>
        <v>Lotte South</v>
      </c>
      <c r="Z625" s="196" t="str">
        <f>VLOOKUP($G625,'[2]Thông tin NPP'!$B:$D,3,0)</f>
        <v>Lotte South</v>
      </c>
      <c r="AA625" s="196" t="str">
        <f t="shared" si="155"/>
        <v>Na 17g - M</v>
      </c>
      <c r="AB625" s="196" t="str">
        <f>IFERROR(VLOOKUP(DAY(B625),'[2]Chuyển đổi mã'!$F$1:$G$32,2,0),0)</f>
        <v>W4</v>
      </c>
      <c r="AC625" s="196" t="str">
        <f t="shared" si="156"/>
        <v>323555</v>
      </c>
      <c r="AD625" s="196" t="str">
        <f t="shared" si="157"/>
        <v>NPP</v>
      </c>
      <c r="AE625" s="196" t="str">
        <f t="shared" si="158"/>
        <v>NPP323555</v>
      </c>
      <c r="AF625" s="196">
        <f t="shared" si="159"/>
        <v>0</v>
      </c>
    </row>
    <row r="626" spans="1:32" ht="12.95" customHeight="1">
      <c r="A626" s="197">
        <v>62992</v>
      </c>
      <c r="B626" s="198">
        <v>43577</v>
      </c>
      <c r="C626" s="197" t="s">
        <v>457</v>
      </c>
      <c r="D626" s="197" t="s">
        <v>657</v>
      </c>
      <c r="E626" s="197" t="s">
        <v>346</v>
      </c>
      <c r="F626" s="197" t="s">
        <v>417</v>
      </c>
      <c r="G626" s="199" t="s">
        <v>418</v>
      </c>
      <c r="H626" s="199" t="s">
        <v>296</v>
      </c>
      <c r="I626" s="199" t="s">
        <v>349</v>
      </c>
      <c r="J626" s="199" t="s">
        <v>350</v>
      </c>
      <c r="K626" s="197" t="s">
        <v>351</v>
      </c>
      <c r="L626" s="197" t="s">
        <v>363</v>
      </c>
      <c r="M626" s="200" t="s">
        <v>364</v>
      </c>
      <c r="N626" s="201">
        <v>2</v>
      </c>
      <c r="O626" s="202">
        <v>320000</v>
      </c>
      <c r="P626" s="203">
        <v>640000</v>
      </c>
      <c r="Q626" s="203">
        <v>64000</v>
      </c>
      <c r="R626" s="203">
        <v>704000</v>
      </c>
      <c r="S626" s="199"/>
      <c r="T626" s="199" t="s">
        <v>310</v>
      </c>
      <c r="U626" s="197">
        <v>60795</v>
      </c>
      <c r="V626" s="197"/>
      <c r="W626" s="196" t="s">
        <v>356</v>
      </c>
      <c r="X626" s="196" t="str">
        <f>+IFERROR(VLOOKUP($F626,'[2]Chuyển đổi mã'!$A$1:$C$91,3,0),$F626)&amp;AC626</f>
        <v>Lotte South323708</v>
      </c>
      <c r="Y626" s="196" t="str">
        <f>IFERROR(VLOOKUP($F626,'[2]Chuyển đổi mã'!$A$1:$C$184,3,0),F626)</f>
        <v>Lotte South</v>
      </c>
      <c r="Z626" s="196" t="str">
        <f>VLOOKUP($G626,'[2]Thông tin NPP'!$B:$D,3,0)</f>
        <v>Lotte South</v>
      </c>
      <c r="AA626" s="196" t="str">
        <f t="shared" si="155"/>
        <v>Nextar Bro</v>
      </c>
      <c r="AB626" s="196" t="str">
        <f>IFERROR(VLOOKUP(DAY(B626),'[2]Chuyển đổi mã'!$F$1:$G$32,2,0),0)</f>
        <v>W4</v>
      </c>
      <c r="AC626" s="196" t="str">
        <f t="shared" si="156"/>
        <v>323708</v>
      </c>
      <c r="AD626" s="196" t="str">
        <f t="shared" si="157"/>
        <v>NPP</v>
      </c>
      <c r="AE626" s="196" t="str">
        <f t="shared" si="158"/>
        <v>NPP323708</v>
      </c>
      <c r="AF626" s="196">
        <f t="shared" si="159"/>
        <v>0</v>
      </c>
    </row>
    <row r="627" spans="1:32" ht="12.95" customHeight="1">
      <c r="A627" s="197">
        <v>62993</v>
      </c>
      <c r="B627" s="198">
        <v>43577</v>
      </c>
      <c r="C627" s="197" t="s">
        <v>457</v>
      </c>
      <c r="D627" s="197" t="s">
        <v>658</v>
      </c>
      <c r="E627" s="197" t="s">
        <v>346</v>
      </c>
      <c r="F627" s="197" t="s">
        <v>459</v>
      </c>
      <c r="G627" s="199" t="s">
        <v>460</v>
      </c>
      <c r="H627" s="199" t="s">
        <v>296</v>
      </c>
      <c r="I627" s="199" t="s">
        <v>349</v>
      </c>
      <c r="J627" s="199" t="s">
        <v>350</v>
      </c>
      <c r="K627" s="197" t="s">
        <v>351</v>
      </c>
      <c r="L627" s="197" t="s">
        <v>352</v>
      </c>
      <c r="M627" s="200" t="s">
        <v>353</v>
      </c>
      <c r="N627" s="201">
        <v>70</v>
      </c>
      <c r="O627" s="202">
        <v>115036.7</v>
      </c>
      <c r="P627" s="203">
        <v>8052569</v>
      </c>
      <c r="Q627" s="203">
        <v>805256.9</v>
      </c>
      <c r="R627" s="203">
        <v>8857825.9000000004</v>
      </c>
      <c r="S627" s="199" t="s">
        <v>544</v>
      </c>
      <c r="T627" s="199" t="s">
        <v>545</v>
      </c>
      <c r="U627" s="197">
        <v>60797</v>
      </c>
      <c r="V627" s="197"/>
      <c r="W627" s="196" t="s">
        <v>356</v>
      </c>
      <c r="X627" s="196" t="str">
        <f>+IFERROR(VLOOKUP($F627,'[2]Chuyển đổi mã'!$A$1:$C$91,3,0),$F627)&amp;AC627</f>
        <v>Lotte South320463</v>
      </c>
      <c r="Y627" s="196" t="str">
        <f>IFERROR(VLOOKUP($F627,'[2]Chuyển đổi mã'!$A$1:$C$184,3,0),F627)</f>
        <v>Lotte South</v>
      </c>
      <c r="Z627" s="196" t="str">
        <f>VLOOKUP($G627,'[2]Thông tin NPP'!$B:$D,3,0)</f>
        <v>Lotte South</v>
      </c>
      <c r="AA627" s="196" t="str">
        <f t="shared" si="155"/>
        <v>Na 8,5g</v>
      </c>
      <c r="AB627" s="196" t="str">
        <f>IFERROR(VLOOKUP(DAY(B627),'[2]Chuyển đổi mã'!$F$1:$G$32,2,0),0)</f>
        <v>W4</v>
      </c>
      <c r="AC627" s="196" t="str">
        <f t="shared" si="156"/>
        <v>320463</v>
      </c>
      <c r="AD627" s="196" t="str">
        <f t="shared" si="157"/>
        <v>NPP</v>
      </c>
      <c r="AE627" s="196" t="str">
        <f t="shared" si="158"/>
        <v>NPP320463</v>
      </c>
      <c r="AF627" s="196">
        <f t="shared" si="159"/>
        <v>0</v>
      </c>
    </row>
    <row r="628" spans="1:32" ht="12.95" customHeight="1">
      <c r="A628" s="197">
        <v>62993</v>
      </c>
      <c r="B628" s="198">
        <v>43577</v>
      </c>
      <c r="C628" s="197" t="s">
        <v>457</v>
      </c>
      <c r="D628" s="197" t="s">
        <v>658</v>
      </c>
      <c r="E628" s="197" t="s">
        <v>346</v>
      </c>
      <c r="F628" s="197" t="s">
        <v>459</v>
      </c>
      <c r="G628" s="199" t="s">
        <v>460</v>
      </c>
      <c r="H628" s="199" t="s">
        <v>296</v>
      </c>
      <c r="I628" s="199" t="s">
        <v>349</v>
      </c>
      <c r="J628" s="199" t="s">
        <v>350</v>
      </c>
      <c r="K628" s="197" t="s">
        <v>351</v>
      </c>
      <c r="L628" s="197" t="s">
        <v>387</v>
      </c>
      <c r="M628" s="200" t="s">
        <v>388</v>
      </c>
      <c r="N628" s="201">
        <v>5</v>
      </c>
      <c r="O628" s="202">
        <v>340000</v>
      </c>
      <c r="P628" s="203">
        <v>1700000</v>
      </c>
      <c r="Q628" s="203">
        <v>170000</v>
      </c>
      <c r="R628" s="203">
        <v>1870000</v>
      </c>
      <c r="S628" s="199"/>
      <c r="T628" s="199" t="s">
        <v>310</v>
      </c>
      <c r="U628" s="197">
        <v>60797</v>
      </c>
      <c r="V628" s="197"/>
      <c r="W628" s="196" t="s">
        <v>356</v>
      </c>
      <c r="X628" s="196" t="str">
        <f>+IFERROR(VLOOKUP($F628,'[2]Chuyển đổi mã'!$A$1:$C$91,3,0),$F628)&amp;AC628</f>
        <v>Lotte South323620</v>
      </c>
      <c r="Y628" s="196" t="str">
        <f>IFERROR(VLOOKUP($F628,'[2]Chuyển đổi mã'!$A$1:$C$184,3,0),F628)</f>
        <v>Lotte South</v>
      </c>
      <c r="Z628" s="196" t="str">
        <f>VLOOKUP($G628,'[2]Thông tin NPP'!$B:$D,3,0)</f>
        <v>Lotte South</v>
      </c>
      <c r="AA628" s="196" t="str">
        <f t="shared" si="155"/>
        <v>Ahh 16g</v>
      </c>
      <c r="AB628" s="196" t="str">
        <f>IFERROR(VLOOKUP(DAY(B628),'[2]Chuyển đổi mã'!$F$1:$G$32,2,0),0)</f>
        <v>W4</v>
      </c>
      <c r="AC628" s="196" t="str">
        <f t="shared" si="156"/>
        <v>323620</v>
      </c>
      <c r="AD628" s="196" t="str">
        <f t="shared" si="157"/>
        <v>NPP</v>
      </c>
      <c r="AE628" s="196" t="str">
        <f t="shared" si="158"/>
        <v>NPP323620</v>
      </c>
      <c r="AF628" s="196">
        <f t="shared" si="159"/>
        <v>0</v>
      </c>
    </row>
    <row r="629" spans="1:32" ht="12.95" customHeight="1">
      <c r="A629" s="197">
        <v>62993</v>
      </c>
      <c r="B629" s="198">
        <v>43577</v>
      </c>
      <c r="C629" s="197" t="s">
        <v>457</v>
      </c>
      <c r="D629" s="197" t="s">
        <v>658</v>
      </c>
      <c r="E629" s="197" t="s">
        <v>346</v>
      </c>
      <c r="F629" s="197" t="s">
        <v>459</v>
      </c>
      <c r="G629" s="199" t="s">
        <v>460</v>
      </c>
      <c r="H629" s="199" t="s">
        <v>296</v>
      </c>
      <c r="I629" s="199" t="s">
        <v>349</v>
      </c>
      <c r="J629" s="199" t="s">
        <v>350</v>
      </c>
      <c r="K629" s="197" t="s">
        <v>351</v>
      </c>
      <c r="L629" s="197" t="s">
        <v>359</v>
      </c>
      <c r="M629" s="200" t="s">
        <v>360</v>
      </c>
      <c r="N629" s="201">
        <v>2</v>
      </c>
      <c r="O629" s="202">
        <v>300000</v>
      </c>
      <c r="P629" s="203">
        <v>600000</v>
      </c>
      <c r="Q629" s="203">
        <v>60000</v>
      </c>
      <c r="R629" s="203">
        <v>660000</v>
      </c>
      <c r="S629" s="199"/>
      <c r="T629" s="199" t="s">
        <v>310</v>
      </c>
      <c r="U629" s="197">
        <v>60797</v>
      </c>
      <c r="V629" s="197"/>
      <c r="W629" s="196" t="s">
        <v>356</v>
      </c>
      <c r="X629" s="196" t="str">
        <f>+IFERROR(VLOOKUP($F629,'[2]Chuyển đổi mã'!$A$1:$C$91,3,0),$F629)&amp;AC629</f>
        <v>Lotte South320445</v>
      </c>
      <c r="Y629" s="196" t="str">
        <f>IFERROR(VLOOKUP($F629,'[2]Chuyển đổi mã'!$A$1:$C$184,3,0),F629)</f>
        <v>Lotte South</v>
      </c>
      <c r="Z629" s="196" t="str">
        <f>VLOOKUP($G629,'[2]Thông tin NPP'!$B:$D,3,0)</f>
        <v>Lotte South</v>
      </c>
      <c r="AA629" s="196" t="str">
        <f t="shared" si="155"/>
        <v>Na 58g</v>
      </c>
      <c r="AB629" s="196" t="str">
        <f>IFERROR(VLOOKUP(DAY(B629),'[2]Chuyển đổi mã'!$F$1:$G$32,2,0),0)</f>
        <v>W4</v>
      </c>
      <c r="AC629" s="196" t="str">
        <f t="shared" si="156"/>
        <v>320445</v>
      </c>
      <c r="AD629" s="196" t="str">
        <f t="shared" si="157"/>
        <v>NPP</v>
      </c>
      <c r="AE629" s="196" t="str">
        <f t="shared" si="158"/>
        <v>NPP320445</v>
      </c>
      <c r="AF629" s="196">
        <f t="shared" si="159"/>
        <v>0</v>
      </c>
    </row>
    <row r="630" spans="1:32" ht="12.95" customHeight="1">
      <c r="A630" s="197">
        <v>62993</v>
      </c>
      <c r="B630" s="198">
        <v>43577</v>
      </c>
      <c r="C630" s="197" t="s">
        <v>457</v>
      </c>
      <c r="D630" s="197" t="s">
        <v>658</v>
      </c>
      <c r="E630" s="197" t="s">
        <v>346</v>
      </c>
      <c r="F630" s="197" t="s">
        <v>459</v>
      </c>
      <c r="G630" s="199" t="s">
        <v>460</v>
      </c>
      <c r="H630" s="199" t="s">
        <v>296</v>
      </c>
      <c r="I630" s="199" t="s">
        <v>349</v>
      </c>
      <c r="J630" s="199" t="s">
        <v>350</v>
      </c>
      <c r="K630" s="197" t="s">
        <v>351</v>
      </c>
      <c r="L630" s="197" t="s">
        <v>363</v>
      </c>
      <c r="M630" s="200" t="s">
        <v>364</v>
      </c>
      <c r="N630" s="201">
        <v>3</v>
      </c>
      <c r="O630" s="202">
        <v>320000</v>
      </c>
      <c r="P630" s="203">
        <v>960000</v>
      </c>
      <c r="Q630" s="203">
        <v>96000</v>
      </c>
      <c r="R630" s="203">
        <v>1056000</v>
      </c>
      <c r="S630" s="199"/>
      <c r="T630" s="199" t="s">
        <v>310</v>
      </c>
      <c r="U630" s="197">
        <v>60797</v>
      </c>
      <c r="V630" s="197"/>
      <c r="W630" s="196" t="s">
        <v>356</v>
      </c>
      <c r="X630" s="196" t="str">
        <f>+IFERROR(VLOOKUP($F630,'[2]Chuyển đổi mã'!$A$1:$C$91,3,0),$F630)&amp;AC630</f>
        <v>Lotte South323708</v>
      </c>
      <c r="Y630" s="196" t="str">
        <f>IFERROR(VLOOKUP($F630,'[2]Chuyển đổi mã'!$A$1:$C$184,3,0),F630)</f>
        <v>Lotte South</v>
      </c>
      <c r="Z630" s="196" t="str">
        <f>VLOOKUP($G630,'[2]Thông tin NPP'!$B:$D,3,0)</f>
        <v>Lotte South</v>
      </c>
      <c r="AA630" s="196" t="str">
        <f t="shared" si="155"/>
        <v>Nextar Bro</v>
      </c>
      <c r="AB630" s="196" t="str">
        <f>IFERROR(VLOOKUP(DAY(B630),'[2]Chuyển đổi mã'!$F$1:$G$32,2,0),0)</f>
        <v>W4</v>
      </c>
      <c r="AC630" s="196" t="str">
        <f t="shared" si="156"/>
        <v>323708</v>
      </c>
      <c r="AD630" s="196" t="str">
        <f t="shared" si="157"/>
        <v>NPP</v>
      </c>
      <c r="AE630" s="196" t="str">
        <f t="shared" si="158"/>
        <v>NPP323708</v>
      </c>
      <c r="AF630" s="196">
        <f t="shared" si="159"/>
        <v>0</v>
      </c>
    </row>
    <row r="631" spans="1:32" ht="12.95" hidden="1" customHeight="1">
      <c r="A631" s="197">
        <v>63038</v>
      </c>
      <c r="B631" s="198">
        <v>43577</v>
      </c>
      <c r="C631" s="197" t="s">
        <v>457</v>
      </c>
      <c r="D631" s="197" t="s">
        <v>659</v>
      </c>
      <c r="E631" s="197" t="s">
        <v>346</v>
      </c>
      <c r="F631" s="197" t="s">
        <v>414</v>
      </c>
      <c r="G631" s="199" t="s">
        <v>415</v>
      </c>
      <c r="H631" s="199" t="s">
        <v>296</v>
      </c>
      <c r="I631" s="199" t="s">
        <v>416</v>
      </c>
      <c r="J631" s="199" t="s">
        <v>350</v>
      </c>
      <c r="K631" s="197" t="s">
        <v>367</v>
      </c>
      <c r="L631" s="197" t="s">
        <v>352</v>
      </c>
      <c r="M631" s="200" t="s">
        <v>353</v>
      </c>
      <c r="N631" s="201">
        <v>350</v>
      </c>
      <c r="O631" s="202">
        <v>107728</v>
      </c>
      <c r="P631" s="203">
        <v>37704800</v>
      </c>
      <c r="Q631" s="203">
        <v>3770480</v>
      </c>
      <c r="R631" s="203">
        <v>41475280</v>
      </c>
      <c r="S631" s="199"/>
      <c r="T631" s="199" t="s">
        <v>310</v>
      </c>
      <c r="U631" s="197">
        <v>60564</v>
      </c>
      <c r="V631" s="197"/>
      <c r="W631" s="196" t="s">
        <v>356</v>
      </c>
      <c r="X631" s="196" t="str">
        <f>+IFERROR(VLOOKUP($F631,'[2]Chuyển đổi mã'!$A$1:$C$91,3,0),$F631)&amp;AC631</f>
        <v>NPP00000119320463</v>
      </c>
      <c r="Y631" s="196" t="str">
        <f>IFERROR(VLOOKUP($F631,'[2]Chuyển đổi mã'!$A$1:$C$184,3,0),F631)</f>
        <v>NPP00000119</v>
      </c>
      <c r="Z631" s="196" t="str">
        <f>VLOOKUP($G631,'[2]Thông tin NPP'!$B:$D,3,0)</f>
        <v>NGUYỄN DUNG</v>
      </c>
      <c r="AA631" s="196" t="str">
        <f t="shared" ref="AA631:AA635" si="160">LEFT($M631,10)</f>
        <v>Na 8,5g</v>
      </c>
      <c r="AB631" s="196" t="str">
        <f>IFERROR(VLOOKUP(DAY(B631),'[2]Chuyển đổi mã'!$F$1:$G$32,2,0),0)</f>
        <v>W4</v>
      </c>
      <c r="AC631" s="196" t="str">
        <f t="shared" ref="AC631:AC635" si="161">LEFT(L631,6)</f>
        <v>320463</v>
      </c>
      <c r="AD631" s="196" t="str">
        <f t="shared" ref="AD631:AD635" si="162">LEFT(F631,3)</f>
        <v>NPP</v>
      </c>
      <c r="AE631" s="196" t="str">
        <f t="shared" ref="AE631:AE635" si="163">AD631&amp;AC631</f>
        <v>NPP320463</v>
      </c>
      <c r="AF631" s="196">
        <f t="shared" ref="AF631:AF635" si="164">IF(RIGHT(L631,1)="P","P",0)</f>
        <v>0</v>
      </c>
    </row>
    <row r="632" spans="1:32" ht="12.95" hidden="1" customHeight="1">
      <c r="A632" s="197">
        <v>63039</v>
      </c>
      <c r="B632" s="198">
        <v>43577</v>
      </c>
      <c r="C632" s="197" t="s">
        <v>457</v>
      </c>
      <c r="D632" s="197" t="s">
        <v>660</v>
      </c>
      <c r="E632" s="197" t="s">
        <v>346</v>
      </c>
      <c r="F632" s="197" t="s">
        <v>414</v>
      </c>
      <c r="G632" s="199" t="s">
        <v>415</v>
      </c>
      <c r="H632" s="199" t="s">
        <v>296</v>
      </c>
      <c r="I632" s="199" t="s">
        <v>416</v>
      </c>
      <c r="J632" s="199" t="s">
        <v>350</v>
      </c>
      <c r="K632" s="197" t="s">
        <v>367</v>
      </c>
      <c r="L632" s="197" t="s">
        <v>361</v>
      </c>
      <c r="M632" s="200" t="s">
        <v>362</v>
      </c>
      <c r="N632" s="201">
        <v>50</v>
      </c>
      <c r="O632" s="202">
        <v>276000</v>
      </c>
      <c r="P632" s="203">
        <v>13800000</v>
      </c>
      <c r="Q632" s="203">
        <v>1380000</v>
      </c>
      <c r="R632" s="203">
        <v>15180000</v>
      </c>
      <c r="S632" s="199"/>
      <c r="T632" s="199" t="s">
        <v>310</v>
      </c>
      <c r="U632" s="197">
        <v>60752</v>
      </c>
      <c r="V632" s="197"/>
      <c r="W632" s="196" t="s">
        <v>356</v>
      </c>
      <c r="X632" s="196" t="str">
        <f>+IFERROR(VLOOKUP($F632,'[2]Chuyển đổi mã'!$A$1:$C$91,3,0),$F632)&amp;AC632</f>
        <v>NPP00000119331017</v>
      </c>
      <c r="Y632" s="196" t="str">
        <f>IFERROR(VLOOKUP($F632,'[2]Chuyển đổi mã'!$A$1:$C$184,3,0),F632)</f>
        <v>NPP00000119</v>
      </c>
      <c r="Z632" s="196" t="str">
        <f>VLOOKUP($G632,'[2]Thông tin NPP'!$B:$D,3,0)</f>
        <v>NGUYỄN DUNG</v>
      </c>
      <c r="AA632" s="196" t="str">
        <f t="shared" si="160"/>
        <v>Richoco Wf</v>
      </c>
      <c r="AB632" s="196" t="str">
        <f>IFERROR(VLOOKUP(DAY(B632),'[2]Chuyển đổi mã'!$F$1:$G$32,2,0),0)</f>
        <v>W4</v>
      </c>
      <c r="AC632" s="196" t="str">
        <f t="shared" si="161"/>
        <v>331017</v>
      </c>
      <c r="AD632" s="196" t="str">
        <f t="shared" si="162"/>
        <v>NPP</v>
      </c>
      <c r="AE632" s="196" t="str">
        <f t="shared" si="163"/>
        <v>NPP331017</v>
      </c>
      <c r="AF632" s="196">
        <f t="shared" si="164"/>
        <v>0</v>
      </c>
    </row>
    <row r="633" spans="1:32" ht="12.95" hidden="1" customHeight="1">
      <c r="A633" s="197">
        <v>63040</v>
      </c>
      <c r="B633" s="198">
        <v>43577</v>
      </c>
      <c r="C633" s="197" t="s">
        <v>457</v>
      </c>
      <c r="D633" s="197" t="s">
        <v>661</v>
      </c>
      <c r="E633" s="197" t="s">
        <v>346</v>
      </c>
      <c r="F633" s="197" t="s">
        <v>604</v>
      </c>
      <c r="G633" s="199" t="s">
        <v>605</v>
      </c>
      <c r="H633" s="199" t="s">
        <v>296</v>
      </c>
      <c r="I633" s="199" t="s">
        <v>395</v>
      </c>
      <c r="J633" s="199" t="s">
        <v>350</v>
      </c>
      <c r="K633" s="197" t="s">
        <v>367</v>
      </c>
      <c r="L633" s="197" t="s">
        <v>378</v>
      </c>
      <c r="M633" s="200" t="s">
        <v>379</v>
      </c>
      <c r="N633" s="201">
        <v>2</v>
      </c>
      <c r="O633" s="202">
        <v>213273</v>
      </c>
      <c r="P633" s="203">
        <v>426546</v>
      </c>
      <c r="Q633" s="203">
        <v>42654.6</v>
      </c>
      <c r="R633" s="203">
        <v>469200.6</v>
      </c>
      <c r="S633" s="199"/>
      <c r="T633" s="199" t="s">
        <v>310</v>
      </c>
      <c r="U633" s="197">
        <v>60796</v>
      </c>
      <c r="V633" s="197"/>
      <c r="W633" s="196" t="s">
        <v>356</v>
      </c>
      <c r="X633" s="196" t="str">
        <f>+IFERROR(VLOOKUP($F633,'[2]Chuyển đổi mã'!$A$1:$C$91,3,0),$F633)&amp;AC633</f>
        <v>Lotte North321238</v>
      </c>
      <c r="Y633" s="196" t="str">
        <f>IFERROR(VLOOKUP($F633,'[2]Chuyển đổi mã'!$A$1:$C$184,3,0),F633)</f>
        <v>Lotte North</v>
      </c>
      <c r="Z633" s="196" t="str">
        <f>VLOOKUP($G633,'[2]Thông tin NPP'!$B:$D,3,0)</f>
        <v>Lotte North</v>
      </c>
      <c r="AA633" s="196" t="str">
        <f t="shared" si="160"/>
        <v>Richoco Wf</v>
      </c>
      <c r="AB633" s="196" t="str">
        <f>IFERROR(VLOOKUP(DAY(B633),'[2]Chuyển đổi mã'!$F$1:$G$32,2,0),0)</f>
        <v>W4</v>
      </c>
      <c r="AC633" s="196" t="str">
        <f t="shared" si="161"/>
        <v>321238</v>
      </c>
      <c r="AD633" s="196" t="str">
        <f t="shared" si="162"/>
        <v>NPP</v>
      </c>
      <c r="AE633" s="196" t="str">
        <f t="shared" si="163"/>
        <v>NPP321238</v>
      </c>
      <c r="AF633" s="196">
        <f t="shared" si="164"/>
        <v>0</v>
      </c>
    </row>
    <row r="634" spans="1:32" ht="12.95" hidden="1" customHeight="1">
      <c r="A634" s="197">
        <v>63040</v>
      </c>
      <c r="B634" s="198">
        <v>43577</v>
      </c>
      <c r="C634" s="197" t="s">
        <v>457</v>
      </c>
      <c r="D634" s="197" t="s">
        <v>661</v>
      </c>
      <c r="E634" s="197" t="s">
        <v>346</v>
      </c>
      <c r="F634" s="197" t="s">
        <v>604</v>
      </c>
      <c r="G634" s="199" t="s">
        <v>605</v>
      </c>
      <c r="H634" s="199" t="s">
        <v>296</v>
      </c>
      <c r="I634" s="199" t="s">
        <v>395</v>
      </c>
      <c r="J634" s="199" t="s">
        <v>350</v>
      </c>
      <c r="K634" s="197" t="s">
        <v>367</v>
      </c>
      <c r="L634" s="197" t="s">
        <v>359</v>
      </c>
      <c r="M634" s="200" t="s">
        <v>360</v>
      </c>
      <c r="N634" s="201">
        <v>10</v>
      </c>
      <c r="O634" s="202">
        <v>300000</v>
      </c>
      <c r="P634" s="203">
        <v>3000000</v>
      </c>
      <c r="Q634" s="203">
        <v>300000</v>
      </c>
      <c r="R634" s="203">
        <v>3300000</v>
      </c>
      <c r="S634" s="199"/>
      <c r="T634" s="199" t="s">
        <v>310</v>
      </c>
      <c r="U634" s="197">
        <v>60796</v>
      </c>
      <c r="V634" s="197"/>
      <c r="W634" s="196" t="s">
        <v>356</v>
      </c>
      <c r="X634" s="196" t="str">
        <f>+IFERROR(VLOOKUP($F634,'[2]Chuyển đổi mã'!$A$1:$C$91,3,0),$F634)&amp;AC634</f>
        <v>Lotte North320445</v>
      </c>
      <c r="Y634" s="196" t="str">
        <f>IFERROR(VLOOKUP($F634,'[2]Chuyển đổi mã'!$A$1:$C$184,3,0),F634)</f>
        <v>Lotte North</v>
      </c>
      <c r="Z634" s="196" t="str">
        <f>VLOOKUP($G634,'[2]Thông tin NPP'!$B:$D,3,0)</f>
        <v>Lotte North</v>
      </c>
      <c r="AA634" s="196" t="str">
        <f t="shared" si="160"/>
        <v>Na 58g</v>
      </c>
      <c r="AB634" s="196" t="str">
        <f>IFERROR(VLOOKUP(DAY(B634),'[2]Chuyển đổi mã'!$F$1:$G$32,2,0),0)</f>
        <v>W4</v>
      </c>
      <c r="AC634" s="196" t="str">
        <f t="shared" si="161"/>
        <v>320445</v>
      </c>
      <c r="AD634" s="196" t="str">
        <f t="shared" si="162"/>
        <v>NPP</v>
      </c>
      <c r="AE634" s="196" t="str">
        <f t="shared" si="163"/>
        <v>NPP320445</v>
      </c>
      <c r="AF634" s="196">
        <f t="shared" si="164"/>
        <v>0</v>
      </c>
    </row>
    <row r="635" spans="1:32" ht="12.95" hidden="1" customHeight="1">
      <c r="A635" s="197">
        <v>63049</v>
      </c>
      <c r="B635" s="198">
        <v>43577</v>
      </c>
      <c r="C635" s="197" t="s">
        <v>457</v>
      </c>
      <c r="D635" s="197" t="s">
        <v>662</v>
      </c>
      <c r="E635" s="197" t="s">
        <v>346</v>
      </c>
      <c r="F635" s="197" t="s">
        <v>414</v>
      </c>
      <c r="G635" s="199" t="s">
        <v>415</v>
      </c>
      <c r="H635" s="199" t="s">
        <v>296</v>
      </c>
      <c r="I635" s="199" t="s">
        <v>416</v>
      </c>
      <c r="J635" s="199" t="s">
        <v>350</v>
      </c>
      <c r="K635" s="197" t="s">
        <v>367</v>
      </c>
      <c r="L635" s="197" t="s">
        <v>352</v>
      </c>
      <c r="M635" s="200" t="s">
        <v>353</v>
      </c>
      <c r="N635" s="201">
        <v>100</v>
      </c>
      <c r="O635" s="202">
        <v>107728</v>
      </c>
      <c r="P635" s="203">
        <v>10772800</v>
      </c>
      <c r="Q635" s="203">
        <v>1077280</v>
      </c>
      <c r="R635" s="203">
        <v>11850080</v>
      </c>
      <c r="S635" s="199"/>
      <c r="T635" s="199" t="s">
        <v>310</v>
      </c>
      <c r="U635" s="197">
        <v>60563</v>
      </c>
      <c r="V635" s="197"/>
      <c r="W635" s="196" t="s">
        <v>356</v>
      </c>
      <c r="X635" s="196" t="str">
        <f>+IFERROR(VLOOKUP($F635,'[2]Chuyển đổi mã'!$A$1:$C$91,3,0),$F635)&amp;AC635</f>
        <v>NPP00000119320463</v>
      </c>
      <c r="Y635" s="196" t="str">
        <f>IFERROR(VLOOKUP($F635,'[2]Chuyển đổi mã'!$A$1:$C$184,3,0),F635)</f>
        <v>NPP00000119</v>
      </c>
      <c r="Z635" s="196" t="str">
        <f>VLOOKUP($G635,'[2]Thông tin NPP'!$B:$D,3,0)</f>
        <v>NGUYỄN DUNG</v>
      </c>
      <c r="AA635" s="196" t="str">
        <f t="shared" si="160"/>
        <v>Na 8,5g</v>
      </c>
      <c r="AB635" s="196" t="str">
        <f>IFERROR(VLOOKUP(DAY(B635),'[2]Chuyển đổi mã'!$F$1:$G$32,2,0),0)</f>
        <v>W4</v>
      </c>
      <c r="AC635" s="196" t="str">
        <f t="shared" si="161"/>
        <v>320463</v>
      </c>
      <c r="AD635" s="196" t="str">
        <f t="shared" si="162"/>
        <v>NPP</v>
      </c>
      <c r="AE635" s="196" t="str">
        <f t="shared" si="163"/>
        <v>NPP320463</v>
      </c>
      <c r="AF635" s="196">
        <f t="shared" si="164"/>
        <v>0</v>
      </c>
    </row>
    <row r="636" spans="1:32" ht="12.95" customHeight="1">
      <c r="A636" s="197">
        <v>63073</v>
      </c>
      <c r="B636" s="198">
        <v>43578</v>
      </c>
      <c r="C636" s="197" t="s">
        <v>457</v>
      </c>
      <c r="D636" s="197" t="s">
        <v>663</v>
      </c>
      <c r="E636" s="197" t="s">
        <v>346</v>
      </c>
      <c r="F636" s="197" t="s">
        <v>484</v>
      </c>
      <c r="G636" s="199" t="s">
        <v>485</v>
      </c>
      <c r="H636" s="199" t="s">
        <v>296</v>
      </c>
      <c r="I636" s="199" t="s">
        <v>349</v>
      </c>
      <c r="J636" s="199" t="s">
        <v>350</v>
      </c>
      <c r="K636" s="197" t="s">
        <v>351</v>
      </c>
      <c r="L636" s="197" t="s">
        <v>352</v>
      </c>
      <c r="M636" s="200" t="s">
        <v>353</v>
      </c>
      <c r="N636" s="201">
        <v>20</v>
      </c>
      <c r="O636" s="202">
        <v>115036.7</v>
      </c>
      <c r="P636" s="203">
        <v>2300734</v>
      </c>
      <c r="Q636" s="203">
        <v>230073.4</v>
      </c>
      <c r="R636" s="203">
        <v>2530807.4</v>
      </c>
      <c r="S636" s="199" t="s">
        <v>544</v>
      </c>
      <c r="T636" s="199" t="s">
        <v>545</v>
      </c>
      <c r="U636" s="197">
        <v>60887</v>
      </c>
      <c r="V636" s="197"/>
      <c r="W636" s="196" t="s">
        <v>356</v>
      </c>
      <c r="X636" s="196" t="str">
        <f>+IFERROR(VLOOKUP($F636,'[2]Chuyển đổi mã'!$A$1:$C$91,3,0),$F636)&amp;AC636</f>
        <v>Lotte South320463</v>
      </c>
      <c r="Y636" s="196" t="str">
        <f>IFERROR(VLOOKUP($F636,'[2]Chuyển đổi mã'!$A$1:$C$184,3,0),F636)</f>
        <v>Lotte South</v>
      </c>
      <c r="Z636" s="196" t="str">
        <f>VLOOKUP($G636,'[2]Thông tin NPP'!$B:$D,3,0)</f>
        <v>Lotte South</v>
      </c>
      <c r="AA636" s="196" t="str">
        <f t="shared" ref="AA636:AA651" si="165">LEFT($M636,10)</f>
        <v>Na 8,5g</v>
      </c>
      <c r="AB636" s="196" t="str">
        <f>IFERROR(VLOOKUP(DAY(B636),'[2]Chuyển đổi mã'!$F$1:$G$32,2,0),0)</f>
        <v>W4</v>
      </c>
      <c r="AC636" s="196" t="str">
        <f t="shared" ref="AC636:AC651" si="166">LEFT(L636,6)</f>
        <v>320463</v>
      </c>
      <c r="AD636" s="196" t="str">
        <f t="shared" ref="AD636:AD651" si="167">LEFT(F636,3)</f>
        <v>NPP</v>
      </c>
      <c r="AE636" s="196" t="str">
        <f t="shared" ref="AE636:AE651" si="168">AD636&amp;AC636</f>
        <v>NPP320463</v>
      </c>
      <c r="AF636" s="196">
        <f t="shared" ref="AF636:AF651" si="169">IF(RIGHT(L636,1)="P","P",0)</f>
        <v>0</v>
      </c>
    </row>
    <row r="637" spans="1:32" ht="12.95" customHeight="1">
      <c r="A637" s="197">
        <v>63073</v>
      </c>
      <c r="B637" s="198">
        <v>43578</v>
      </c>
      <c r="C637" s="197" t="s">
        <v>457</v>
      </c>
      <c r="D637" s="197" t="s">
        <v>663</v>
      </c>
      <c r="E637" s="197" t="s">
        <v>346</v>
      </c>
      <c r="F637" s="197" t="s">
        <v>484</v>
      </c>
      <c r="G637" s="199" t="s">
        <v>485</v>
      </c>
      <c r="H637" s="199" t="s">
        <v>296</v>
      </c>
      <c r="I637" s="199" t="s">
        <v>349</v>
      </c>
      <c r="J637" s="199" t="s">
        <v>350</v>
      </c>
      <c r="K637" s="197" t="s">
        <v>351</v>
      </c>
      <c r="L637" s="197" t="s">
        <v>381</v>
      </c>
      <c r="M637" s="200" t="s">
        <v>382</v>
      </c>
      <c r="N637" s="201">
        <v>1</v>
      </c>
      <c r="O637" s="202">
        <v>300000</v>
      </c>
      <c r="P637" s="203">
        <v>300000</v>
      </c>
      <c r="Q637" s="203">
        <v>30000</v>
      </c>
      <c r="R637" s="203">
        <v>330000</v>
      </c>
      <c r="S637" s="199"/>
      <c r="T637" s="199" t="s">
        <v>310</v>
      </c>
      <c r="U637" s="197">
        <v>60887</v>
      </c>
      <c r="V637" s="197"/>
      <c r="W637" s="196" t="s">
        <v>356</v>
      </c>
      <c r="X637" s="196" t="str">
        <f>+IFERROR(VLOOKUP($F637,'[2]Chuyển đổi mã'!$A$1:$C$91,3,0),$F637)&amp;AC637</f>
        <v>Lotte South320429</v>
      </c>
      <c r="Y637" s="196" t="str">
        <f>IFERROR(VLOOKUP($F637,'[2]Chuyển đổi mã'!$A$1:$C$184,3,0),F637)</f>
        <v>Lotte South</v>
      </c>
      <c r="Z637" s="196" t="str">
        <f>VLOOKUP($G637,'[2]Thông tin NPP'!$B:$D,3,0)</f>
        <v>Lotte South</v>
      </c>
      <c r="AA637" s="196" t="str">
        <f t="shared" si="165"/>
        <v>Tin Can 35</v>
      </c>
      <c r="AB637" s="196" t="str">
        <f>IFERROR(VLOOKUP(DAY(B637),'[2]Chuyển đổi mã'!$F$1:$G$32,2,0),0)</f>
        <v>W4</v>
      </c>
      <c r="AC637" s="196" t="str">
        <f t="shared" si="166"/>
        <v>320429</v>
      </c>
      <c r="AD637" s="196" t="str">
        <f t="shared" si="167"/>
        <v>NPP</v>
      </c>
      <c r="AE637" s="196" t="str">
        <f t="shared" si="168"/>
        <v>NPP320429</v>
      </c>
      <c r="AF637" s="196">
        <f t="shared" si="169"/>
        <v>0</v>
      </c>
    </row>
    <row r="638" spans="1:32" ht="12.95" customHeight="1">
      <c r="A638" s="197">
        <v>63073</v>
      </c>
      <c r="B638" s="198">
        <v>43578</v>
      </c>
      <c r="C638" s="197" t="s">
        <v>457</v>
      </c>
      <c r="D638" s="197" t="s">
        <v>663</v>
      </c>
      <c r="E638" s="197" t="s">
        <v>346</v>
      </c>
      <c r="F638" s="197" t="s">
        <v>484</v>
      </c>
      <c r="G638" s="199" t="s">
        <v>485</v>
      </c>
      <c r="H638" s="199" t="s">
        <v>296</v>
      </c>
      <c r="I638" s="199" t="s">
        <v>349</v>
      </c>
      <c r="J638" s="199" t="s">
        <v>350</v>
      </c>
      <c r="K638" s="197" t="s">
        <v>351</v>
      </c>
      <c r="L638" s="197" t="s">
        <v>387</v>
      </c>
      <c r="M638" s="200" t="s">
        <v>388</v>
      </c>
      <c r="N638" s="201">
        <v>10</v>
      </c>
      <c r="O638" s="202">
        <v>340000</v>
      </c>
      <c r="P638" s="203">
        <v>3400000</v>
      </c>
      <c r="Q638" s="203">
        <v>340000</v>
      </c>
      <c r="R638" s="203">
        <v>3740000</v>
      </c>
      <c r="S638" s="199"/>
      <c r="T638" s="199" t="s">
        <v>310</v>
      </c>
      <c r="U638" s="197">
        <v>60887</v>
      </c>
      <c r="V638" s="197"/>
      <c r="W638" s="196" t="s">
        <v>356</v>
      </c>
      <c r="X638" s="196" t="str">
        <f>+IFERROR(VLOOKUP($F638,'[2]Chuyển đổi mã'!$A$1:$C$91,3,0),$F638)&amp;AC638</f>
        <v>Lotte South323620</v>
      </c>
      <c r="Y638" s="196" t="str">
        <f>IFERROR(VLOOKUP($F638,'[2]Chuyển đổi mã'!$A$1:$C$184,3,0),F638)</f>
        <v>Lotte South</v>
      </c>
      <c r="Z638" s="196" t="str">
        <f>VLOOKUP($G638,'[2]Thông tin NPP'!$B:$D,3,0)</f>
        <v>Lotte South</v>
      </c>
      <c r="AA638" s="196" t="str">
        <f t="shared" si="165"/>
        <v>Ahh 16g</v>
      </c>
      <c r="AB638" s="196" t="str">
        <f>IFERROR(VLOOKUP(DAY(B638),'[2]Chuyển đổi mã'!$F$1:$G$32,2,0),0)</f>
        <v>W4</v>
      </c>
      <c r="AC638" s="196" t="str">
        <f t="shared" si="166"/>
        <v>323620</v>
      </c>
      <c r="AD638" s="196" t="str">
        <f t="shared" si="167"/>
        <v>NPP</v>
      </c>
      <c r="AE638" s="196" t="str">
        <f t="shared" si="168"/>
        <v>NPP323620</v>
      </c>
      <c r="AF638" s="196">
        <f t="shared" si="169"/>
        <v>0</v>
      </c>
    </row>
    <row r="639" spans="1:32" ht="12.95" customHeight="1">
      <c r="A639" s="197">
        <v>63073</v>
      </c>
      <c r="B639" s="198">
        <v>43578</v>
      </c>
      <c r="C639" s="197" t="s">
        <v>457</v>
      </c>
      <c r="D639" s="197" t="s">
        <v>663</v>
      </c>
      <c r="E639" s="197" t="s">
        <v>346</v>
      </c>
      <c r="F639" s="197" t="s">
        <v>484</v>
      </c>
      <c r="G639" s="199" t="s">
        <v>485</v>
      </c>
      <c r="H639" s="199" t="s">
        <v>296</v>
      </c>
      <c r="I639" s="199" t="s">
        <v>349</v>
      </c>
      <c r="J639" s="199" t="s">
        <v>350</v>
      </c>
      <c r="K639" s="197" t="s">
        <v>351</v>
      </c>
      <c r="L639" s="197" t="s">
        <v>378</v>
      </c>
      <c r="M639" s="200" t="s">
        <v>379</v>
      </c>
      <c r="N639" s="201">
        <v>3</v>
      </c>
      <c r="O639" s="202">
        <v>213273</v>
      </c>
      <c r="P639" s="203">
        <v>639819</v>
      </c>
      <c r="Q639" s="203">
        <v>63981.9</v>
      </c>
      <c r="R639" s="203">
        <v>703800.9</v>
      </c>
      <c r="S639" s="199"/>
      <c r="T639" s="199" t="s">
        <v>310</v>
      </c>
      <c r="U639" s="197">
        <v>60887</v>
      </c>
      <c r="V639" s="197"/>
      <c r="W639" s="196" t="s">
        <v>356</v>
      </c>
      <c r="X639" s="196" t="str">
        <f>+IFERROR(VLOOKUP($F639,'[2]Chuyển đổi mã'!$A$1:$C$91,3,0),$F639)&amp;AC639</f>
        <v>Lotte South321238</v>
      </c>
      <c r="Y639" s="196" t="str">
        <f>IFERROR(VLOOKUP($F639,'[2]Chuyển đổi mã'!$A$1:$C$184,3,0),F639)</f>
        <v>Lotte South</v>
      </c>
      <c r="Z639" s="196" t="str">
        <f>VLOOKUP($G639,'[2]Thông tin NPP'!$B:$D,3,0)</f>
        <v>Lotte South</v>
      </c>
      <c r="AA639" s="196" t="str">
        <f t="shared" si="165"/>
        <v>Richoco Wf</v>
      </c>
      <c r="AB639" s="196" t="str">
        <f>IFERROR(VLOOKUP(DAY(B639),'[2]Chuyển đổi mã'!$F$1:$G$32,2,0),0)</f>
        <v>W4</v>
      </c>
      <c r="AC639" s="196" t="str">
        <f t="shared" si="166"/>
        <v>321238</v>
      </c>
      <c r="AD639" s="196" t="str">
        <f t="shared" si="167"/>
        <v>NPP</v>
      </c>
      <c r="AE639" s="196" t="str">
        <f t="shared" si="168"/>
        <v>NPP321238</v>
      </c>
      <c r="AF639" s="196">
        <f t="shared" si="169"/>
        <v>0</v>
      </c>
    </row>
    <row r="640" spans="1:32" ht="12.95" customHeight="1">
      <c r="A640" s="197">
        <v>63073</v>
      </c>
      <c r="B640" s="198">
        <v>43578</v>
      </c>
      <c r="C640" s="197" t="s">
        <v>457</v>
      </c>
      <c r="D640" s="197" t="s">
        <v>663</v>
      </c>
      <c r="E640" s="197" t="s">
        <v>346</v>
      </c>
      <c r="F640" s="197" t="s">
        <v>484</v>
      </c>
      <c r="G640" s="199" t="s">
        <v>485</v>
      </c>
      <c r="H640" s="199" t="s">
        <v>296</v>
      </c>
      <c r="I640" s="199" t="s">
        <v>349</v>
      </c>
      <c r="J640" s="199" t="s">
        <v>350</v>
      </c>
      <c r="K640" s="197" t="s">
        <v>351</v>
      </c>
      <c r="L640" s="197" t="s">
        <v>361</v>
      </c>
      <c r="M640" s="200" t="s">
        <v>362</v>
      </c>
      <c r="N640" s="201">
        <v>2</v>
      </c>
      <c r="O640" s="202">
        <v>300000</v>
      </c>
      <c r="P640" s="203">
        <v>600000</v>
      </c>
      <c r="Q640" s="203">
        <v>60000</v>
      </c>
      <c r="R640" s="203">
        <v>660000</v>
      </c>
      <c r="S640" s="199"/>
      <c r="T640" s="199" t="s">
        <v>310</v>
      </c>
      <c r="U640" s="197">
        <v>60887</v>
      </c>
      <c r="V640" s="197"/>
      <c r="W640" s="196" t="s">
        <v>356</v>
      </c>
      <c r="X640" s="196" t="str">
        <f>+IFERROR(VLOOKUP($F640,'[2]Chuyển đổi mã'!$A$1:$C$91,3,0),$F640)&amp;AC640</f>
        <v>Lotte South331017</v>
      </c>
      <c r="Y640" s="196" t="str">
        <f>IFERROR(VLOOKUP($F640,'[2]Chuyển đổi mã'!$A$1:$C$184,3,0),F640)</f>
        <v>Lotte South</v>
      </c>
      <c r="Z640" s="196" t="str">
        <f>VLOOKUP($G640,'[2]Thông tin NPP'!$B:$D,3,0)</f>
        <v>Lotte South</v>
      </c>
      <c r="AA640" s="196" t="str">
        <f t="shared" si="165"/>
        <v>Richoco Wf</v>
      </c>
      <c r="AB640" s="196" t="str">
        <f>IFERROR(VLOOKUP(DAY(B640),'[2]Chuyển đổi mã'!$F$1:$G$32,2,0),0)</f>
        <v>W4</v>
      </c>
      <c r="AC640" s="196" t="str">
        <f t="shared" si="166"/>
        <v>331017</v>
      </c>
      <c r="AD640" s="196" t="str">
        <f t="shared" si="167"/>
        <v>NPP</v>
      </c>
      <c r="AE640" s="196" t="str">
        <f t="shared" si="168"/>
        <v>NPP331017</v>
      </c>
      <c r="AF640" s="196">
        <f t="shared" si="169"/>
        <v>0</v>
      </c>
    </row>
    <row r="641" spans="1:32" ht="12.95" customHeight="1">
      <c r="A641" s="197">
        <v>63073</v>
      </c>
      <c r="B641" s="198">
        <v>43578</v>
      </c>
      <c r="C641" s="197" t="s">
        <v>457</v>
      </c>
      <c r="D641" s="197" t="s">
        <v>663</v>
      </c>
      <c r="E641" s="197" t="s">
        <v>346</v>
      </c>
      <c r="F641" s="197" t="s">
        <v>484</v>
      </c>
      <c r="G641" s="199" t="s">
        <v>485</v>
      </c>
      <c r="H641" s="199" t="s">
        <v>296</v>
      </c>
      <c r="I641" s="199" t="s">
        <v>349</v>
      </c>
      <c r="J641" s="199" t="s">
        <v>350</v>
      </c>
      <c r="K641" s="197" t="s">
        <v>351</v>
      </c>
      <c r="L641" s="197" t="s">
        <v>357</v>
      </c>
      <c r="M641" s="200" t="s">
        <v>358</v>
      </c>
      <c r="N641" s="201">
        <v>30</v>
      </c>
      <c r="O641" s="202">
        <v>213273</v>
      </c>
      <c r="P641" s="203">
        <v>6398190</v>
      </c>
      <c r="Q641" s="203">
        <v>639819</v>
      </c>
      <c r="R641" s="203">
        <v>7038009</v>
      </c>
      <c r="S641" s="199"/>
      <c r="T641" s="199" t="s">
        <v>310</v>
      </c>
      <c r="U641" s="197">
        <v>60887</v>
      </c>
      <c r="V641" s="197"/>
      <c r="W641" s="196" t="s">
        <v>356</v>
      </c>
      <c r="X641" s="196" t="str">
        <f>+IFERROR(VLOOKUP($F641,'[2]Chuyển đổi mã'!$A$1:$C$91,3,0),$F641)&amp;AC641</f>
        <v>Lotte South323555</v>
      </c>
      <c r="Y641" s="196" t="str">
        <f>IFERROR(VLOOKUP($F641,'[2]Chuyển đổi mã'!$A$1:$C$184,3,0),F641)</f>
        <v>Lotte South</v>
      </c>
      <c r="Z641" s="196" t="str">
        <f>VLOOKUP($G641,'[2]Thông tin NPP'!$B:$D,3,0)</f>
        <v>Lotte South</v>
      </c>
      <c r="AA641" s="196" t="str">
        <f t="shared" si="165"/>
        <v>Na 17g - M</v>
      </c>
      <c r="AB641" s="196" t="str">
        <f>IFERROR(VLOOKUP(DAY(B641),'[2]Chuyển đổi mã'!$F$1:$G$32,2,0),0)</f>
        <v>W4</v>
      </c>
      <c r="AC641" s="196" t="str">
        <f t="shared" si="166"/>
        <v>323555</v>
      </c>
      <c r="AD641" s="196" t="str">
        <f t="shared" si="167"/>
        <v>NPP</v>
      </c>
      <c r="AE641" s="196" t="str">
        <f t="shared" si="168"/>
        <v>NPP323555</v>
      </c>
      <c r="AF641" s="196">
        <f t="shared" si="169"/>
        <v>0</v>
      </c>
    </row>
    <row r="642" spans="1:32" ht="12.95" customHeight="1">
      <c r="A642" s="197">
        <v>63073</v>
      </c>
      <c r="B642" s="198">
        <v>43578</v>
      </c>
      <c r="C642" s="197" t="s">
        <v>457</v>
      </c>
      <c r="D642" s="197" t="s">
        <v>663</v>
      </c>
      <c r="E642" s="197" t="s">
        <v>346</v>
      </c>
      <c r="F642" s="197" t="s">
        <v>484</v>
      </c>
      <c r="G642" s="199" t="s">
        <v>485</v>
      </c>
      <c r="H642" s="199" t="s">
        <v>296</v>
      </c>
      <c r="I642" s="199" t="s">
        <v>349</v>
      </c>
      <c r="J642" s="199" t="s">
        <v>350</v>
      </c>
      <c r="K642" s="197" t="s">
        <v>351</v>
      </c>
      <c r="L642" s="197" t="s">
        <v>363</v>
      </c>
      <c r="M642" s="200" t="s">
        <v>364</v>
      </c>
      <c r="N642" s="201">
        <v>5</v>
      </c>
      <c r="O642" s="202">
        <v>320000</v>
      </c>
      <c r="P642" s="203">
        <v>1600000</v>
      </c>
      <c r="Q642" s="203">
        <v>160000</v>
      </c>
      <c r="R642" s="203">
        <v>1760000</v>
      </c>
      <c r="S642" s="199"/>
      <c r="T642" s="199" t="s">
        <v>310</v>
      </c>
      <c r="U642" s="197">
        <v>60887</v>
      </c>
      <c r="V642" s="197"/>
      <c r="W642" s="196" t="s">
        <v>356</v>
      </c>
      <c r="X642" s="196" t="str">
        <f>+IFERROR(VLOOKUP($F642,'[2]Chuyển đổi mã'!$A$1:$C$91,3,0),$F642)&amp;AC642</f>
        <v>Lotte South323708</v>
      </c>
      <c r="Y642" s="196" t="str">
        <f>IFERROR(VLOOKUP($F642,'[2]Chuyển đổi mã'!$A$1:$C$184,3,0),F642)</f>
        <v>Lotte South</v>
      </c>
      <c r="Z642" s="196" t="str">
        <f>VLOOKUP($G642,'[2]Thông tin NPP'!$B:$D,3,0)</f>
        <v>Lotte South</v>
      </c>
      <c r="AA642" s="196" t="str">
        <f t="shared" si="165"/>
        <v>Nextar Bro</v>
      </c>
      <c r="AB642" s="196" t="str">
        <f>IFERROR(VLOOKUP(DAY(B642),'[2]Chuyển đổi mã'!$F$1:$G$32,2,0),0)</f>
        <v>W4</v>
      </c>
      <c r="AC642" s="196" t="str">
        <f t="shared" si="166"/>
        <v>323708</v>
      </c>
      <c r="AD642" s="196" t="str">
        <f t="shared" si="167"/>
        <v>NPP</v>
      </c>
      <c r="AE642" s="196" t="str">
        <f t="shared" si="168"/>
        <v>NPP323708</v>
      </c>
      <c r="AF642" s="196">
        <f t="shared" si="169"/>
        <v>0</v>
      </c>
    </row>
    <row r="643" spans="1:32" ht="12.95" customHeight="1">
      <c r="A643" s="197">
        <v>63074</v>
      </c>
      <c r="B643" s="198">
        <v>43578</v>
      </c>
      <c r="C643" s="197" t="s">
        <v>457</v>
      </c>
      <c r="D643" s="197" t="s">
        <v>664</v>
      </c>
      <c r="E643" s="197" t="s">
        <v>346</v>
      </c>
      <c r="F643" s="197" t="s">
        <v>553</v>
      </c>
      <c r="G643" s="199" t="s">
        <v>554</v>
      </c>
      <c r="H643" s="199" t="s">
        <v>296</v>
      </c>
      <c r="I643" s="199" t="s">
        <v>349</v>
      </c>
      <c r="J643" s="199" t="s">
        <v>350</v>
      </c>
      <c r="K643" s="197" t="s">
        <v>351</v>
      </c>
      <c r="L643" s="197" t="s">
        <v>352</v>
      </c>
      <c r="M643" s="200" t="s">
        <v>353</v>
      </c>
      <c r="N643" s="201">
        <v>10</v>
      </c>
      <c r="O643" s="202">
        <v>115036.7</v>
      </c>
      <c r="P643" s="203">
        <v>1150367</v>
      </c>
      <c r="Q643" s="203">
        <v>115036.7</v>
      </c>
      <c r="R643" s="203">
        <v>1265403.7</v>
      </c>
      <c r="S643" s="199" t="s">
        <v>544</v>
      </c>
      <c r="T643" s="199" t="s">
        <v>545</v>
      </c>
      <c r="U643" s="197">
        <v>60886</v>
      </c>
      <c r="V643" s="197"/>
      <c r="W643" s="196" t="s">
        <v>356</v>
      </c>
      <c r="X643" s="196" t="str">
        <f>+IFERROR(VLOOKUP($F643,'[2]Chuyển đổi mã'!$A$1:$C$91,3,0),$F643)&amp;AC643</f>
        <v>Lotte South320463</v>
      </c>
      <c r="Y643" s="196" t="str">
        <f>IFERROR(VLOOKUP($F643,'[2]Chuyển đổi mã'!$A$1:$C$184,3,0),F643)</f>
        <v>Lotte South</v>
      </c>
      <c r="Z643" s="196" t="str">
        <f>VLOOKUP($G643,'[2]Thông tin NPP'!$B:$D,3,0)</f>
        <v>Lotte South</v>
      </c>
      <c r="AA643" s="196" t="str">
        <f t="shared" si="165"/>
        <v>Na 8,5g</v>
      </c>
      <c r="AB643" s="196" t="str">
        <f>IFERROR(VLOOKUP(DAY(B643),'[2]Chuyển đổi mã'!$F$1:$G$32,2,0),0)</f>
        <v>W4</v>
      </c>
      <c r="AC643" s="196" t="str">
        <f t="shared" si="166"/>
        <v>320463</v>
      </c>
      <c r="AD643" s="196" t="str">
        <f t="shared" si="167"/>
        <v>NPP</v>
      </c>
      <c r="AE643" s="196" t="str">
        <f t="shared" si="168"/>
        <v>NPP320463</v>
      </c>
      <c r="AF643" s="196">
        <f t="shared" si="169"/>
        <v>0</v>
      </c>
    </row>
    <row r="644" spans="1:32" ht="12.95" customHeight="1">
      <c r="A644" s="197">
        <v>63074</v>
      </c>
      <c r="B644" s="198">
        <v>43578</v>
      </c>
      <c r="C644" s="197" t="s">
        <v>457</v>
      </c>
      <c r="D644" s="197" t="s">
        <v>664</v>
      </c>
      <c r="E644" s="197" t="s">
        <v>346</v>
      </c>
      <c r="F644" s="197" t="s">
        <v>553</v>
      </c>
      <c r="G644" s="199" t="s">
        <v>554</v>
      </c>
      <c r="H644" s="199" t="s">
        <v>296</v>
      </c>
      <c r="I644" s="199" t="s">
        <v>349</v>
      </c>
      <c r="J644" s="199" t="s">
        <v>350</v>
      </c>
      <c r="K644" s="197" t="s">
        <v>351</v>
      </c>
      <c r="L644" s="197" t="s">
        <v>381</v>
      </c>
      <c r="M644" s="200" t="s">
        <v>382</v>
      </c>
      <c r="N644" s="201">
        <v>2</v>
      </c>
      <c r="O644" s="202">
        <v>300000</v>
      </c>
      <c r="P644" s="203">
        <v>600000</v>
      </c>
      <c r="Q644" s="203">
        <v>60000</v>
      </c>
      <c r="R644" s="203">
        <v>660000</v>
      </c>
      <c r="S644" s="199"/>
      <c r="T644" s="199" t="s">
        <v>310</v>
      </c>
      <c r="U644" s="197">
        <v>60886</v>
      </c>
      <c r="V644" s="197"/>
      <c r="W644" s="196" t="s">
        <v>356</v>
      </c>
      <c r="X644" s="196" t="str">
        <f>+IFERROR(VLOOKUP($F644,'[2]Chuyển đổi mã'!$A$1:$C$91,3,0),$F644)&amp;AC644</f>
        <v>Lotte South320429</v>
      </c>
      <c r="Y644" s="196" t="str">
        <f>IFERROR(VLOOKUP($F644,'[2]Chuyển đổi mã'!$A$1:$C$184,3,0),F644)</f>
        <v>Lotte South</v>
      </c>
      <c r="Z644" s="196" t="str">
        <f>VLOOKUP($G644,'[2]Thông tin NPP'!$B:$D,3,0)</f>
        <v>Lotte South</v>
      </c>
      <c r="AA644" s="196" t="str">
        <f t="shared" si="165"/>
        <v>Tin Can 35</v>
      </c>
      <c r="AB644" s="196" t="str">
        <f>IFERROR(VLOOKUP(DAY(B644),'[2]Chuyển đổi mã'!$F$1:$G$32,2,0),0)</f>
        <v>W4</v>
      </c>
      <c r="AC644" s="196" t="str">
        <f t="shared" si="166"/>
        <v>320429</v>
      </c>
      <c r="AD644" s="196" t="str">
        <f t="shared" si="167"/>
        <v>NPP</v>
      </c>
      <c r="AE644" s="196" t="str">
        <f t="shared" si="168"/>
        <v>NPP320429</v>
      </c>
      <c r="AF644" s="196">
        <f t="shared" si="169"/>
        <v>0</v>
      </c>
    </row>
    <row r="645" spans="1:32" ht="12.95" customHeight="1">
      <c r="A645" s="197">
        <v>63074</v>
      </c>
      <c r="B645" s="198">
        <v>43578</v>
      </c>
      <c r="C645" s="197" t="s">
        <v>457</v>
      </c>
      <c r="D645" s="197" t="s">
        <v>664</v>
      </c>
      <c r="E645" s="197" t="s">
        <v>346</v>
      </c>
      <c r="F645" s="197" t="s">
        <v>553</v>
      </c>
      <c r="G645" s="199" t="s">
        <v>554</v>
      </c>
      <c r="H645" s="199" t="s">
        <v>296</v>
      </c>
      <c r="I645" s="199" t="s">
        <v>349</v>
      </c>
      <c r="J645" s="199" t="s">
        <v>350</v>
      </c>
      <c r="K645" s="197" t="s">
        <v>351</v>
      </c>
      <c r="L645" s="197" t="s">
        <v>387</v>
      </c>
      <c r="M645" s="200" t="s">
        <v>388</v>
      </c>
      <c r="N645" s="201">
        <v>20</v>
      </c>
      <c r="O645" s="202">
        <v>340000</v>
      </c>
      <c r="P645" s="203">
        <v>6800000</v>
      </c>
      <c r="Q645" s="203">
        <v>680000</v>
      </c>
      <c r="R645" s="203">
        <v>7480000</v>
      </c>
      <c r="S645" s="199"/>
      <c r="T645" s="199" t="s">
        <v>310</v>
      </c>
      <c r="U645" s="197">
        <v>60886</v>
      </c>
      <c r="V645" s="197"/>
      <c r="W645" s="196" t="s">
        <v>356</v>
      </c>
      <c r="X645" s="196" t="str">
        <f>+IFERROR(VLOOKUP($F645,'[2]Chuyển đổi mã'!$A$1:$C$91,3,0),$F645)&amp;AC645</f>
        <v>Lotte South323620</v>
      </c>
      <c r="Y645" s="196" t="str">
        <f>IFERROR(VLOOKUP($F645,'[2]Chuyển đổi mã'!$A$1:$C$184,3,0),F645)</f>
        <v>Lotte South</v>
      </c>
      <c r="Z645" s="196" t="str">
        <f>VLOOKUP($G645,'[2]Thông tin NPP'!$B:$D,3,0)</f>
        <v>Lotte South</v>
      </c>
      <c r="AA645" s="196" t="str">
        <f t="shared" si="165"/>
        <v>Ahh 16g</v>
      </c>
      <c r="AB645" s="196" t="str">
        <f>IFERROR(VLOOKUP(DAY(B645),'[2]Chuyển đổi mã'!$F$1:$G$32,2,0),0)</f>
        <v>W4</v>
      </c>
      <c r="AC645" s="196" t="str">
        <f t="shared" si="166"/>
        <v>323620</v>
      </c>
      <c r="AD645" s="196" t="str">
        <f t="shared" si="167"/>
        <v>NPP</v>
      </c>
      <c r="AE645" s="196" t="str">
        <f t="shared" si="168"/>
        <v>NPP323620</v>
      </c>
      <c r="AF645" s="196">
        <f t="shared" si="169"/>
        <v>0</v>
      </c>
    </row>
    <row r="646" spans="1:32" ht="12.95" customHeight="1">
      <c r="A646" s="197">
        <v>63074</v>
      </c>
      <c r="B646" s="198">
        <v>43578</v>
      </c>
      <c r="C646" s="197" t="s">
        <v>457</v>
      </c>
      <c r="D646" s="197" t="s">
        <v>664</v>
      </c>
      <c r="E646" s="197" t="s">
        <v>346</v>
      </c>
      <c r="F646" s="197" t="s">
        <v>553</v>
      </c>
      <c r="G646" s="199" t="s">
        <v>554</v>
      </c>
      <c r="H646" s="199" t="s">
        <v>296</v>
      </c>
      <c r="I646" s="199" t="s">
        <v>349</v>
      </c>
      <c r="J646" s="199" t="s">
        <v>350</v>
      </c>
      <c r="K646" s="197" t="s">
        <v>351</v>
      </c>
      <c r="L646" s="197" t="s">
        <v>361</v>
      </c>
      <c r="M646" s="200" t="s">
        <v>362</v>
      </c>
      <c r="N646" s="201">
        <v>2</v>
      </c>
      <c r="O646" s="202">
        <v>300000</v>
      </c>
      <c r="P646" s="203">
        <v>600000</v>
      </c>
      <c r="Q646" s="203">
        <v>60000</v>
      </c>
      <c r="R646" s="203">
        <v>660000</v>
      </c>
      <c r="S646" s="199"/>
      <c r="T646" s="199" t="s">
        <v>310</v>
      </c>
      <c r="U646" s="197">
        <v>60886</v>
      </c>
      <c r="V646" s="197"/>
      <c r="W646" s="196" t="s">
        <v>356</v>
      </c>
      <c r="X646" s="196" t="str">
        <f>+IFERROR(VLOOKUP($F646,'[2]Chuyển đổi mã'!$A$1:$C$91,3,0),$F646)&amp;AC646</f>
        <v>Lotte South331017</v>
      </c>
      <c r="Y646" s="196" t="str">
        <f>IFERROR(VLOOKUP($F646,'[2]Chuyển đổi mã'!$A$1:$C$184,3,0),F646)</f>
        <v>Lotte South</v>
      </c>
      <c r="Z646" s="196" t="str">
        <f>VLOOKUP($G646,'[2]Thông tin NPP'!$B:$D,3,0)</f>
        <v>Lotte South</v>
      </c>
      <c r="AA646" s="196" t="str">
        <f t="shared" si="165"/>
        <v>Richoco Wf</v>
      </c>
      <c r="AB646" s="196" t="str">
        <f>IFERROR(VLOOKUP(DAY(B646),'[2]Chuyển đổi mã'!$F$1:$G$32,2,0),0)</f>
        <v>W4</v>
      </c>
      <c r="AC646" s="196" t="str">
        <f t="shared" si="166"/>
        <v>331017</v>
      </c>
      <c r="AD646" s="196" t="str">
        <f t="shared" si="167"/>
        <v>NPP</v>
      </c>
      <c r="AE646" s="196" t="str">
        <f t="shared" si="168"/>
        <v>NPP331017</v>
      </c>
      <c r="AF646" s="196">
        <f t="shared" si="169"/>
        <v>0</v>
      </c>
    </row>
    <row r="647" spans="1:32" ht="12.95" customHeight="1">
      <c r="A647" s="197">
        <v>63079</v>
      </c>
      <c r="B647" s="198">
        <v>43578</v>
      </c>
      <c r="C647" s="197" t="s">
        <v>457</v>
      </c>
      <c r="D647" s="197" t="s">
        <v>665</v>
      </c>
      <c r="E647" s="197" t="s">
        <v>346</v>
      </c>
      <c r="F647" s="197" t="s">
        <v>493</v>
      </c>
      <c r="G647" s="199" t="s">
        <v>494</v>
      </c>
      <c r="H647" s="199" t="s">
        <v>296</v>
      </c>
      <c r="I647" s="199" t="s">
        <v>349</v>
      </c>
      <c r="J647" s="199" t="s">
        <v>350</v>
      </c>
      <c r="K647" s="197" t="s">
        <v>351</v>
      </c>
      <c r="L647" s="197" t="s">
        <v>387</v>
      </c>
      <c r="M647" s="200" t="s">
        <v>388</v>
      </c>
      <c r="N647" s="201">
        <v>20</v>
      </c>
      <c r="O647" s="202">
        <v>340000</v>
      </c>
      <c r="P647" s="203">
        <v>6800000</v>
      </c>
      <c r="Q647" s="203">
        <v>680000</v>
      </c>
      <c r="R647" s="203">
        <v>7480000</v>
      </c>
      <c r="S647" s="199"/>
      <c r="T647" s="199" t="s">
        <v>310</v>
      </c>
      <c r="U647" s="197">
        <v>60906</v>
      </c>
      <c r="V647" s="197"/>
      <c r="W647" s="196" t="s">
        <v>356</v>
      </c>
      <c r="X647" s="196" t="str">
        <f>+IFERROR(VLOOKUP($F647,'[2]Chuyển đổi mã'!$A$1:$C$91,3,0),$F647)&amp;AC647</f>
        <v>SG Coop Miền Tây323620</v>
      </c>
      <c r="Y647" s="196" t="str">
        <f>IFERROR(VLOOKUP($F647,'[2]Chuyển đổi mã'!$A$1:$C$184,3,0),F647)</f>
        <v>SG Coop Miền Tây</v>
      </c>
      <c r="Z647" s="196" t="str">
        <f>VLOOKUP($G647,'[2]Thông tin NPP'!$B:$D,3,0)</f>
        <v>SÀI GÒN CO.OP</v>
      </c>
      <c r="AA647" s="196" t="str">
        <f t="shared" si="165"/>
        <v>Ahh 16g</v>
      </c>
      <c r="AB647" s="196" t="str">
        <f>IFERROR(VLOOKUP(DAY(B647),'[2]Chuyển đổi mã'!$F$1:$G$32,2,0),0)</f>
        <v>W4</v>
      </c>
      <c r="AC647" s="196" t="str">
        <f t="shared" si="166"/>
        <v>323620</v>
      </c>
      <c r="AD647" s="196" t="str">
        <f t="shared" si="167"/>
        <v>NPP</v>
      </c>
      <c r="AE647" s="196" t="str">
        <f t="shared" si="168"/>
        <v>NPP323620</v>
      </c>
      <c r="AF647" s="196">
        <f t="shared" si="169"/>
        <v>0</v>
      </c>
    </row>
    <row r="648" spans="1:32" ht="12.95" customHeight="1">
      <c r="A648" s="197">
        <v>63079</v>
      </c>
      <c r="B648" s="198">
        <v>43578</v>
      </c>
      <c r="C648" s="197" t="s">
        <v>457</v>
      </c>
      <c r="D648" s="197" t="s">
        <v>665</v>
      </c>
      <c r="E648" s="197" t="s">
        <v>346</v>
      </c>
      <c r="F648" s="197" t="s">
        <v>493</v>
      </c>
      <c r="G648" s="199" t="s">
        <v>494</v>
      </c>
      <c r="H648" s="199" t="s">
        <v>296</v>
      </c>
      <c r="I648" s="199" t="s">
        <v>349</v>
      </c>
      <c r="J648" s="199" t="s">
        <v>350</v>
      </c>
      <c r="K648" s="197" t="s">
        <v>351</v>
      </c>
      <c r="L648" s="197" t="s">
        <v>378</v>
      </c>
      <c r="M648" s="200" t="s">
        <v>379</v>
      </c>
      <c r="N648" s="201">
        <v>20</v>
      </c>
      <c r="O648" s="202">
        <v>204000</v>
      </c>
      <c r="P648" s="203">
        <v>4080000</v>
      </c>
      <c r="Q648" s="203">
        <v>408000</v>
      </c>
      <c r="R648" s="203">
        <v>4488000</v>
      </c>
      <c r="S648" s="199"/>
      <c r="T648" s="199" t="s">
        <v>310</v>
      </c>
      <c r="U648" s="197">
        <v>60906</v>
      </c>
      <c r="V648" s="197"/>
      <c r="W648" s="196" t="s">
        <v>356</v>
      </c>
      <c r="X648" s="196" t="str">
        <f>+IFERROR(VLOOKUP($F648,'[2]Chuyển đổi mã'!$A$1:$C$91,3,0),$F648)&amp;AC648</f>
        <v>SG Coop Miền Tây321238</v>
      </c>
      <c r="Y648" s="196" t="str">
        <f>IFERROR(VLOOKUP($F648,'[2]Chuyển đổi mã'!$A$1:$C$184,3,0),F648)</f>
        <v>SG Coop Miền Tây</v>
      </c>
      <c r="Z648" s="196" t="str">
        <f>VLOOKUP($G648,'[2]Thông tin NPP'!$B:$D,3,0)</f>
        <v>SÀI GÒN CO.OP</v>
      </c>
      <c r="AA648" s="196" t="str">
        <f t="shared" si="165"/>
        <v>Richoco Wf</v>
      </c>
      <c r="AB648" s="196" t="str">
        <f>IFERROR(VLOOKUP(DAY(B648),'[2]Chuyển đổi mã'!$F$1:$G$32,2,0),0)</f>
        <v>W4</v>
      </c>
      <c r="AC648" s="196" t="str">
        <f t="shared" si="166"/>
        <v>321238</v>
      </c>
      <c r="AD648" s="196" t="str">
        <f t="shared" si="167"/>
        <v>NPP</v>
      </c>
      <c r="AE648" s="196" t="str">
        <f t="shared" si="168"/>
        <v>NPP321238</v>
      </c>
      <c r="AF648" s="196">
        <f t="shared" si="169"/>
        <v>0</v>
      </c>
    </row>
    <row r="649" spans="1:32" ht="12.95" customHeight="1">
      <c r="A649" s="197">
        <v>63079</v>
      </c>
      <c r="B649" s="198">
        <v>43578</v>
      </c>
      <c r="C649" s="197" t="s">
        <v>457</v>
      </c>
      <c r="D649" s="197" t="s">
        <v>665</v>
      </c>
      <c r="E649" s="197" t="s">
        <v>346</v>
      </c>
      <c r="F649" s="197" t="s">
        <v>493</v>
      </c>
      <c r="G649" s="199" t="s">
        <v>494</v>
      </c>
      <c r="H649" s="199" t="s">
        <v>296</v>
      </c>
      <c r="I649" s="199" t="s">
        <v>349</v>
      </c>
      <c r="J649" s="199" t="s">
        <v>350</v>
      </c>
      <c r="K649" s="197" t="s">
        <v>351</v>
      </c>
      <c r="L649" s="197" t="s">
        <v>357</v>
      </c>
      <c r="M649" s="200" t="s">
        <v>358</v>
      </c>
      <c r="N649" s="201">
        <v>500</v>
      </c>
      <c r="O649" s="202">
        <v>173400</v>
      </c>
      <c r="P649" s="203">
        <v>86700000</v>
      </c>
      <c r="Q649" s="203">
        <v>8670000</v>
      </c>
      <c r="R649" s="203">
        <v>95370000</v>
      </c>
      <c r="S649" s="199" t="s">
        <v>490</v>
      </c>
      <c r="T649" s="199" t="s">
        <v>491</v>
      </c>
      <c r="U649" s="197">
        <v>60906</v>
      </c>
      <c r="V649" s="197"/>
      <c r="W649" s="196" t="s">
        <v>356</v>
      </c>
      <c r="X649" s="196" t="str">
        <f>+IFERROR(VLOOKUP($F649,'[2]Chuyển đổi mã'!$A$1:$C$91,3,0),$F649)&amp;AC649</f>
        <v>SG Coop Miền Tây323555</v>
      </c>
      <c r="Y649" s="196" t="str">
        <f>IFERROR(VLOOKUP($F649,'[2]Chuyển đổi mã'!$A$1:$C$184,3,0),F649)</f>
        <v>SG Coop Miền Tây</v>
      </c>
      <c r="Z649" s="196" t="str">
        <f>VLOOKUP($G649,'[2]Thông tin NPP'!$B:$D,3,0)</f>
        <v>SÀI GÒN CO.OP</v>
      </c>
      <c r="AA649" s="196" t="str">
        <f t="shared" si="165"/>
        <v>Na 17g - M</v>
      </c>
      <c r="AB649" s="196" t="str">
        <f>IFERROR(VLOOKUP(DAY(B649),'[2]Chuyển đổi mã'!$F$1:$G$32,2,0),0)</f>
        <v>W4</v>
      </c>
      <c r="AC649" s="196" t="str">
        <f t="shared" si="166"/>
        <v>323555</v>
      </c>
      <c r="AD649" s="196" t="str">
        <f t="shared" si="167"/>
        <v>NPP</v>
      </c>
      <c r="AE649" s="196" t="str">
        <f t="shared" si="168"/>
        <v>NPP323555</v>
      </c>
      <c r="AF649" s="196">
        <f t="shared" si="169"/>
        <v>0</v>
      </c>
    </row>
    <row r="650" spans="1:32" ht="12.95" customHeight="1">
      <c r="A650" s="197">
        <v>63079</v>
      </c>
      <c r="B650" s="198">
        <v>43578</v>
      </c>
      <c r="C650" s="197" t="s">
        <v>457</v>
      </c>
      <c r="D650" s="197" t="s">
        <v>665</v>
      </c>
      <c r="E650" s="197" t="s">
        <v>346</v>
      </c>
      <c r="F650" s="197" t="s">
        <v>493</v>
      </c>
      <c r="G650" s="199" t="s">
        <v>494</v>
      </c>
      <c r="H650" s="199" t="s">
        <v>296</v>
      </c>
      <c r="I650" s="199" t="s">
        <v>349</v>
      </c>
      <c r="J650" s="199" t="s">
        <v>350</v>
      </c>
      <c r="K650" s="197" t="s">
        <v>351</v>
      </c>
      <c r="L650" s="197" t="s">
        <v>359</v>
      </c>
      <c r="M650" s="200" t="s">
        <v>360</v>
      </c>
      <c r="N650" s="201">
        <v>80</v>
      </c>
      <c r="O650" s="202">
        <v>300000</v>
      </c>
      <c r="P650" s="203">
        <v>24000000</v>
      </c>
      <c r="Q650" s="203">
        <v>2400000</v>
      </c>
      <c r="R650" s="203">
        <v>26400000</v>
      </c>
      <c r="S650" s="199"/>
      <c r="T650" s="199" t="s">
        <v>310</v>
      </c>
      <c r="U650" s="197">
        <v>60906</v>
      </c>
      <c r="V650" s="197"/>
      <c r="W650" s="196" t="s">
        <v>356</v>
      </c>
      <c r="X650" s="196" t="str">
        <f>+IFERROR(VLOOKUP($F650,'[2]Chuyển đổi mã'!$A$1:$C$91,3,0),$F650)&amp;AC650</f>
        <v>SG Coop Miền Tây320445</v>
      </c>
      <c r="Y650" s="196" t="str">
        <f>IFERROR(VLOOKUP($F650,'[2]Chuyển đổi mã'!$A$1:$C$184,3,0),F650)</f>
        <v>SG Coop Miền Tây</v>
      </c>
      <c r="Z650" s="196" t="str">
        <f>VLOOKUP($G650,'[2]Thông tin NPP'!$B:$D,3,0)</f>
        <v>SÀI GÒN CO.OP</v>
      </c>
      <c r="AA650" s="196" t="str">
        <f t="shared" si="165"/>
        <v>Na 58g</v>
      </c>
      <c r="AB650" s="196" t="str">
        <f>IFERROR(VLOOKUP(DAY(B650),'[2]Chuyển đổi mã'!$F$1:$G$32,2,0),0)</f>
        <v>W4</v>
      </c>
      <c r="AC650" s="196" t="str">
        <f t="shared" si="166"/>
        <v>320445</v>
      </c>
      <c r="AD650" s="196" t="str">
        <f t="shared" si="167"/>
        <v>NPP</v>
      </c>
      <c r="AE650" s="196" t="str">
        <f t="shared" si="168"/>
        <v>NPP320445</v>
      </c>
      <c r="AF650" s="196">
        <f t="shared" si="169"/>
        <v>0</v>
      </c>
    </row>
    <row r="651" spans="1:32" ht="12.95" customHeight="1">
      <c r="A651" s="197">
        <v>63079</v>
      </c>
      <c r="B651" s="198">
        <v>43578</v>
      </c>
      <c r="C651" s="197" t="s">
        <v>457</v>
      </c>
      <c r="D651" s="197" t="s">
        <v>665</v>
      </c>
      <c r="E651" s="197" t="s">
        <v>346</v>
      </c>
      <c r="F651" s="197" t="s">
        <v>493</v>
      </c>
      <c r="G651" s="199" t="s">
        <v>494</v>
      </c>
      <c r="H651" s="199" t="s">
        <v>296</v>
      </c>
      <c r="I651" s="199" t="s">
        <v>349</v>
      </c>
      <c r="J651" s="199" t="s">
        <v>350</v>
      </c>
      <c r="K651" s="197" t="s">
        <v>351</v>
      </c>
      <c r="L651" s="197" t="s">
        <v>361</v>
      </c>
      <c r="M651" s="200" t="s">
        <v>362</v>
      </c>
      <c r="N651" s="201">
        <v>30</v>
      </c>
      <c r="O651" s="202">
        <v>300000</v>
      </c>
      <c r="P651" s="203">
        <v>9000000</v>
      </c>
      <c r="Q651" s="203">
        <v>900000</v>
      </c>
      <c r="R651" s="203">
        <v>9900000</v>
      </c>
      <c r="S651" s="199"/>
      <c r="T651" s="199" t="s">
        <v>310</v>
      </c>
      <c r="U651" s="197">
        <v>60906</v>
      </c>
      <c r="V651" s="197"/>
      <c r="W651" s="196" t="s">
        <v>356</v>
      </c>
      <c r="X651" s="196" t="str">
        <f>+IFERROR(VLOOKUP($F651,'[2]Chuyển đổi mã'!$A$1:$C$91,3,0),$F651)&amp;AC651</f>
        <v>SG Coop Miền Tây331017</v>
      </c>
      <c r="Y651" s="196" t="str">
        <f>IFERROR(VLOOKUP($F651,'[2]Chuyển đổi mã'!$A$1:$C$184,3,0),F651)</f>
        <v>SG Coop Miền Tây</v>
      </c>
      <c r="Z651" s="196" t="str">
        <f>VLOOKUP($G651,'[2]Thông tin NPP'!$B:$D,3,0)</f>
        <v>SÀI GÒN CO.OP</v>
      </c>
      <c r="AA651" s="196" t="str">
        <f t="shared" si="165"/>
        <v>Richoco Wf</v>
      </c>
      <c r="AB651" s="196" t="str">
        <f>IFERROR(VLOOKUP(DAY(B651),'[2]Chuyển đổi mã'!$F$1:$G$32,2,0),0)</f>
        <v>W4</v>
      </c>
      <c r="AC651" s="196" t="str">
        <f t="shared" si="166"/>
        <v>331017</v>
      </c>
      <c r="AD651" s="196" t="str">
        <f t="shared" si="167"/>
        <v>NPP</v>
      </c>
      <c r="AE651" s="196" t="str">
        <f t="shared" si="168"/>
        <v>NPP331017</v>
      </c>
      <c r="AF651" s="196">
        <f t="shared" si="169"/>
        <v>0</v>
      </c>
    </row>
    <row r="652" spans="1:32" ht="12.95" customHeight="1">
      <c r="A652" s="197">
        <v>63138</v>
      </c>
      <c r="B652" s="198">
        <v>43579</v>
      </c>
      <c r="C652" s="197" t="s">
        <v>457</v>
      </c>
      <c r="D652" s="197" t="s">
        <v>666</v>
      </c>
      <c r="E652" s="197" t="s">
        <v>346</v>
      </c>
      <c r="F652" s="197" t="s">
        <v>487</v>
      </c>
      <c r="G652" s="199" t="s">
        <v>488</v>
      </c>
      <c r="H652" s="199" t="s">
        <v>296</v>
      </c>
      <c r="I652" s="199" t="s">
        <v>349</v>
      </c>
      <c r="J652" s="199" t="s">
        <v>350</v>
      </c>
      <c r="K652" s="197" t="s">
        <v>351</v>
      </c>
      <c r="L652" s="197" t="s">
        <v>387</v>
      </c>
      <c r="M652" s="200" t="s">
        <v>388</v>
      </c>
      <c r="N652" s="201">
        <v>50</v>
      </c>
      <c r="O652" s="202">
        <v>340000</v>
      </c>
      <c r="P652" s="203">
        <v>17000000</v>
      </c>
      <c r="Q652" s="203">
        <v>1700000</v>
      </c>
      <c r="R652" s="203">
        <v>18700000</v>
      </c>
      <c r="S652" s="199"/>
      <c r="T652" s="199" t="s">
        <v>310</v>
      </c>
      <c r="U652" s="197">
        <v>60972</v>
      </c>
      <c r="V652" s="197"/>
      <c r="W652" s="196" t="s">
        <v>356</v>
      </c>
      <c r="X652" s="196" t="str">
        <f>+IFERROR(VLOOKUP($F652,'[2]Chuyển đổi mã'!$A$1:$C$91,3,0),$F652)&amp;AC652</f>
        <v>SG Coop323620</v>
      </c>
      <c r="Y652" s="196" t="str">
        <f>IFERROR(VLOOKUP($F652,'[2]Chuyển đổi mã'!$A$1:$C$184,3,0),F652)</f>
        <v>SG Coop</v>
      </c>
      <c r="Z652" s="196" t="str">
        <f>VLOOKUP($G652,'[2]Thông tin NPP'!$B:$D,3,0)</f>
        <v>SÀI GÒN CO.OP</v>
      </c>
      <c r="AA652" s="196" t="str">
        <f t="shared" ref="AA652:AA660" si="170">LEFT($M652,10)</f>
        <v>Ahh 16g</v>
      </c>
      <c r="AB652" s="196" t="str">
        <f>IFERROR(VLOOKUP(DAY(B652),'[2]Chuyển đổi mã'!$F$1:$G$32,2,0),0)</f>
        <v>W4</v>
      </c>
      <c r="AC652" s="196" t="str">
        <f t="shared" ref="AC652:AC660" si="171">LEFT(L652,6)</f>
        <v>323620</v>
      </c>
      <c r="AD652" s="196" t="str">
        <f t="shared" ref="AD652:AD660" si="172">LEFT(F652,3)</f>
        <v>NPP</v>
      </c>
      <c r="AE652" s="196" t="str">
        <f t="shared" ref="AE652:AE660" si="173">AD652&amp;AC652</f>
        <v>NPP323620</v>
      </c>
      <c r="AF652" s="196">
        <f t="shared" ref="AF652:AF660" si="174">IF(RIGHT(L652,1)="P","P",0)</f>
        <v>0</v>
      </c>
    </row>
    <row r="653" spans="1:32" ht="12.95" customHeight="1">
      <c r="A653" s="197">
        <v>63138</v>
      </c>
      <c r="B653" s="198">
        <v>43579</v>
      </c>
      <c r="C653" s="197" t="s">
        <v>457</v>
      </c>
      <c r="D653" s="197" t="s">
        <v>666</v>
      </c>
      <c r="E653" s="197" t="s">
        <v>346</v>
      </c>
      <c r="F653" s="197" t="s">
        <v>487</v>
      </c>
      <c r="G653" s="199" t="s">
        <v>488</v>
      </c>
      <c r="H653" s="199" t="s">
        <v>296</v>
      </c>
      <c r="I653" s="199" t="s">
        <v>349</v>
      </c>
      <c r="J653" s="199" t="s">
        <v>350</v>
      </c>
      <c r="K653" s="197" t="s">
        <v>351</v>
      </c>
      <c r="L653" s="197" t="s">
        <v>378</v>
      </c>
      <c r="M653" s="200" t="s">
        <v>379</v>
      </c>
      <c r="N653" s="201">
        <v>50</v>
      </c>
      <c r="O653" s="202">
        <v>204000</v>
      </c>
      <c r="P653" s="203">
        <v>10200000</v>
      </c>
      <c r="Q653" s="203">
        <v>1020000</v>
      </c>
      <c r="R653" s="203">
        <v>11220000</v>
      </c>
      <c r="S653" s="199"/>
      <c r="T653" s="199" t="s">
        <v>310</v>
      </c>
      <c r="U653" s="197">
        <v>60972</v>
      </c>
      <c r="V653" s="197"/>
      <c r="W653" s="196" t="s">
        <v>356</v>
      </c>
      <c r="X653" s="196" t="str">
        <f>+IFERROR(VLOOKUP($F653,'[2]Chuyển đổi mã'!$A$1:$C$91,3,0),$F653)&amp;AC653</f>
        <v>SG Coop321238</v>
      </c>
      <c r="Y653" s="196" t="str">
        <f>IFERROR(VLOOKUP($F653,'[2]Chuyển đổi mã'!$A$1:$C$184,3,0),F653)</f>
        <v>SG Coop</v>
      </c>
      <c r="Z653" s="196" t="str">
        <f>VLOOKUP($G653,'[2]Thông tin NPP'!$B:$D,3,0)</f>
        <v>SÀI GÒN CO.OP</v>
      </c>
      <c r="AA653" s="196" t="str">
        <f t="shared" si="170"/>
        <v>Richoco Wf</v>
      </c>
      <c r="AB653" s="196" t="str">
        <f>IFERROR(VLOOKUP(DAY(B653),'[2]Chuyển đổi mã'!$F$1:$G$32,2,0),0)</f>
        <v>W4</v>
      </c>
      <c r="AC653" s="196" t="str">
        <f t="shared" si="171"/>
        <v>321238</v>
      </c>
      <c r="AD653" s="196" t="str">
        <f t="shared" si="172"/>
        <v>NPP</v>
      </c>
      <c r="AE653" s="196" t="str">
        <f t="shared" si="173"/>
        <v>NPP321238</v>
      </c>
      <c r="AF653" s="196">
        <f t="shared" si="174"/>
        <v>0</v>
      </c>
    </row>
    <row r="654" spans="1:32" ht="12.95" customHeight="1">
      <c r="A654" s="197">
        <v>63138</v>
      </c>
      <c r="B654" s="198">
        <v>43579</v>
      </c>
      <c r="C654" s="197" t="s">
        <v>457</v>
      </c>
      <c r="D654" s="197" t="s">
        <v>666</v>
      </c>
      <c r="E654" s="197" t="s">
        <v>346</v>
      </c>
      <c r="F654" s="197" t="s">
        <v>487</v>
      </c>
      <c r="G654" s="199" t="s">
        <v>488</v>
      </c>
      <c r="H654" s="199" t="s">
        <v>296</v>
      </c>
      <c r="I654" s="199" t="s">
        <v>349</v>
      </c>
      <c r="J654" s="199" t="s">
        <v>350</v>
      </c>
      <c r="K654" s="197" t="s">
        <v>351</v>
      </c>
      <c r="L654" s="197" t="s">
        <v>357</v>
      </c>
      <c r="M654" s="200" t="s">
        <v>358</v>
      </c>
      <c r="N654" s="201">
        <v>600</v>
      </c>
      <c r="O654" s="202">
        <v>173400</v>
      </c>
      <c r="P654" s="203">
        <v>104040000</v>
      </c>
      <c r="Q654" s="203">
        <v>10404000</v>
      </c>
      <c r="R654" s="203">
        <v>114444000</v>
      </c>
      <c r="S654" s="199" t="s">
        <v>490</v>
      </c>
      <c r="T654" s="199" t="s">
        <v>491</v>
      </c>
      <c r="U654" s="197">
        <v>60972</v>
      </c>
      <c r="V654" s="197"/>
      <c r="W654" s="196" t="s">
        <v>356</v>
      </c>
      <c r="X654" s="196" t="str">
        <f>+IFERROR(VLOOKUP($F654,'[2]Chuyển đổi mã'!$A$1:$C$91,3,0),$F654)&amp;AC654</f>
        <v>SG Coop323555</v>
      </c>
      <c r="Y654" s="196" t="str">
        <f>IFERROR(VLOOKUP($F654,'[2]Chuyển đổi mã'!$A$1:$C$184,3,0),F654)</f>
        <v>SG Coop</v>
      </c>
      <c r="Z654" s="196" t="str">
        <f>VLOOKUP($G654,'[2]Thông tin NPP'!$B:$D,3,0)</f>
        <v>SÀI GÒN CO.OP</v>
      </c>
      <c r="AA654" s="196" t="str">
        <f t="shared" si="170"/>
        <v>Na 17g - M</v>
      </c>
      <c r="AB654" s="196" t="str">
        <f>IFERROR(VLOOKUP(DAY(B654),'[2]Chuyển đổi mã'!$F$1:$G$32,2,0),0)</f>
        <v>W4</v>
      </c>
      <c r="AC654" s="196" t="str">
        <f t="shared" si="171"/>
        <v>323555</v>
      </c>
      <c r="AD654" s="196" t="str">
        <f t="shared" si="172"/>
        <v>NPP</v>
      </c>
      <c r="AE654" s="196" t="str">
        <f t="shared" si="173"/>
        <v>NPP323555</v>
      </c>
      <c r="AF654" s="196">
        <f t="shared" si="174"/>
        <v>0</v>
      </c>
    </row>
    <row r="655" spans="1:32" ht="12.95" customHeight="1">
      <c r="A655" s="197">
        <v>63138</v>
      </c>
      <c r="B655" s="198">
        <v>43579</v>
      </c>
      <c r="C655" s="197" t="s">
        <v>457</v>
      </c>
      <c r="D655" s="197" t="s">
        <v>666</v>
      </c>
      <c r="E655" s="197" t="s">
        <v>346</v>
      </c>
      <c r="F655" s="197" t="s">
        <v>487</v>
      </c>
      <c r="G655" s="199" t="s">
        <v>488</v>
      </c>
      <c r="H655" s="199" t="s">
        <v>296</v>
      </c>
      <c r="I655" s="199" t="s">
        <v>349</v>
      </c>
      <c r="J655" s="199" t="s">
        <v>350</v>
      </c>
      <c r="K655" s="197" t="s">
        <v>351</v>
      </c>
      <c r="L655" s="197" t="s">
        <v>359</v>
      </c>
      <c r="M655" s="200" t="s">
        <v>360</v>
      </c>
      <c r="N655" s="201">
        <v>100</v>
      </c>
      <c r="O655" s="202">
        <v>300000</v>
      </c>
      <c r="P655" s="203">
        <v>30000000</v>
      </c>
      <c r="Q655" s="203">
        <v>3000000</v>
      </c>
      <c r="R655" s="203">
        <v>33000000</v>
      </c>
      <c r="S655" s="199"/>
      <c r="T655" s="199" t="s">
        <v>310</v>
      </c>
      <c r="U655" s="197">
        <v>60972</v>
      </c>
      <c r="V655" s="197"/>
      <c r="W655" s="196" t="s">
        <v>356</v>
      </c>
      <c r="X655" s="196" t="str">
        <f>+IFERROR(VLOOKUP($F655,'[2]Chuyển đổi mã'!$A$1:$C$91,3,0),$F655)&amp;AC655</f>
        <v>SG Coop320445</v>
      </c>
      <c r="Y655" s="196" t="str">
        <f>IFERROR(VLOOKUP($F655,'[2]Chuyển đổi mã'!$A$1:$C$184,3,0),F655)</f>
        <v>SG Coop</v>
      </c>
      <c r="Z655" s="196" t="str">
        <f>VLOOKUP($G655,'[2]Thông tin NPP'!$B:$D,3,0)</f>
        <v>SÀI GÒN CO.OP</v>
      </c>
      <c r="AA655" s="196" t="str">
        <f t="shared" si="170"/>
        <v>Na 58g</v>
      </c>
      <c r="AB655" s="196" t="str">
        <f>IFERROR(VLOOKUP(DAY(B655),'[2]Chuyển đổi mã'!$F$1:$G$32,2,0),0)</f>
        <v>W4</v>
      </c>
      <c r="AC655" s="196" t="str">
        <f t="shared" si="171"/>
        <v>320445</v>
      </c>
      <c r="AD655" s="196" t="str">
        <f t="shared" si="172"/>
        <v>NPP</v>
      </c>
      <c r="AE655" s="196" t="str">
        <f t="shared" si="173"/>
        <v>NPP320445</v>
      </c>
      <c r="AF655" s="196">
        <f t="shared" si="174"/>
        <v>0</v>
      </c>
    </row>
    <row r="656" spans="1:32" ht="12.95" customHeight="1">
      <c r="A656" s="197">
        <v>63138</v>
      </c>
      <c r="B656" s="198">
        <v>43579</v>
      </c>
      <c r="C656" s="197" t="s">
        <v>457</v>
      </c>
      <c r="D656" s="197" t="s">
        <v>666</v>
      </c>
      <c r="E656" s="197" t="s">
        <v>346</v>
      </c>
      <c r="F656" s="197" t="s">
        <v>487</v>
      </c>
      <c r="G656" s="199" t="s">
        <v>488</v>
      </c>
      <c r="H656" s="199" t="s">
        <v>296</v>
      </c>
      <c r="I656" s="199" t="s">
        <v>349</v>
      </c>
      <c r="J656" s="199" t="s">
        <v>350</v>
      </c>
      <c r="K656" s="197" t="s">
        <v>351</v>
      </c>
      <c r="L656" s="197" t="s">
        <v>361</v>
      </c>
      <c r="M656" s="200" t="s">
        <v>362</v>
      </c>
      <c r="N656" s="201">
        <v>50</v>
      </c>
      <c r="O656" s="202">
        <v>300000</v>
      </c>
      <c r="P656" s="203">
        <v>15000000</v>
      </c>
      <c r="Q656" s="203">
        <v>1500000</v>
      </c>
      <c r="R656" s="203">
        <v>16500000</v>
      </c>
      <c r="S656" s="199"/>
      <c r="T656" s="199" t="s">
        <v>310</v>
      </c>
      <c r="U656" s="197">
        <v>60972</v>
      </c>
      <c r="V656" s="197"/>
      <c r="W656" s="196" t="s">
        <v>356</v>
      </c>
      <c r="X656" s="196" t="str">
        <f>+IFERROR(VLOOKUP($F656,'[2]Chuyển đổi mã'!$A$1:$C$91,3,0),$F656)&amp;AC656</f>
        <v>SG Coop331017</v>
      </c>
      <c r="Y656" s="196" t="str">
        <f>IFERROR(VLOOKUP($F656,'[2]Chuyển đổi mã'!$A$1:$C$184,3,0),F656)</f>
        <v>SG Coop</v>
      </c>
      <c r="Z656" s="196" t="str">
        <f>VLOOKUP($G656,'[2]Thông tin NPP'!$B:$D,3,0)</f>
        <v>SÀI GÒN CO.OP</v>
      </c>
      <c r="AA656" s="196" t="str">
        <f t="shared" si="170"/>
        <v>Richoco Wf</v>
      </c>
      <c r="AB656" s="196" t="str">
        <f>IFERROR(VLOOKUP(DAY(B656),'[2]Chuyển đổi mã'!$F$1:$G$32,2,0),0)</f>
        <v>W4</v>
      </c>
      <c r="AC656" s="196" t="str">
        <f t="shared" si="171"/>
        <v>331017</v>
      </c>
      <c r="AD656" s="196" t="str">
        <f t="shared" si="172"/>
        <v>NPP</v>
      </c>
      <c r="AE656" s="196" t="str">
        <f t="shared" si="173"/>
        <v>NPP331017</v>
      </c>
      <c r="AF656" s="196">
        <f t="shared" si="174"/>
        <v>0</v>
      </c>
    </row>
    <row r="657" spans="1:32" ht="12.95" customHeight="1">
      <c r="A657" s="197">
        <v>63139</v>
      </c>
      <c r="B657" s="198">
        <v>43579</v>
      </c>
      <c r="C657" s="197" t="s">
        <v>457</v>
      </c>
      <c r="D657" s="197" t="s">
        <v>667</v>
      </c>
      <c r="E657" s="197" t="s">
        <v>346</v>
      </c>
      <c r="F657" s="197" t="s">
        <v>421</v>
      </c>
      <c r="G657" s="199" t="s">
        <v>422</v>
      </c>
      <c r="H657" s="199" t="s">
        <v>296</v>
      </c>
      <c r="I657" s="199" t="s">
        <v>349</v>
      </c>
      <c r="J657" s="199" t="s">
        <v>350</v>
      </c>
      <c r="K657" s="197" t="s">
        <v>351</v>
      </c>
      <c r="L657" s="197" t="s">
        <v>352</v>
      </c>
      <c r="M657" s="200" t="s">
        <v>353</v>
      </c>
      <c r="N657" s="201">
        <v>60</v>
      </c>
      <c r="O657" s="202">
        <v>115036.7</v>
      </c>
      <c r="P657" s="203">
        <v>6902202</v>
      </c>
      <c r="Q657" s="203">
        <v>690220.2</v>
      </c>
      <c r="R657" s="203">
        <v>7592422.2000000002</v>
      </c>
      <c r="S657" s="199" t="s">
        <v>544</v>
      </c>
      <c r="T657" s="199" t="s">
        <v>545</v>
      </c>
      <c r="U657" s="197">
        <v>60975</v>
      </c>
      <c r="V657" s="197"/>
      <c r="W657" s="196" t="s">
        <v>356</v>
      </c>
      <c r="X657" s="196" t="str">
        <f>+IFERROR(VLOOKUP($F657,'[2]Chuyển đổi mã'!$A$1:$C$91,3,0),$F657)&amp;AC657</f>
        <v>Lotte South320463</v>
      </c>
      <c r="Y657" s="196" t="str">
        <f>IFERROR(VLOOKUP($F657,'[2]Chuyển đổi mã'!$A$1:$C$184,3,0),F657)</f>
        <v>Lotte South</v>
      </c>
      <c r="Z657" s="196" t="str">
        <f>VLOOKUP($G657,'[2]Thông tin NPP'!$B:$D,3,0)</f>
        <v>Lotte South</v>
      </c>
      <c r="AA657" s="196" t="str">
        <f t="shared" si="170"/>
        <v>Na 8,5g</v>
      </c>
      <c r="AB657" s="196" t="str">
        <f>IFERROR(VLOOKUP(DAY(B657),'[2]Chuyển đổi mã'!$F$1:$G$32,2,0),0)</f>
        <v>W4</v>
      </c>
      <c r="AC657" s="196" t="str">
        <f t="shared" si="171"/>
        <v>320463</v>
      </c>
      <c r="AD657" s="196" t="str">
        <f t="shared" si="172"/>
        <v>NPP</v>
      </c>
      <c r="AE657" s="196" t="str">
        <f t="shared" si="173"/>
        <v>NPP320463</v>
      </c>
      <c r="AF657" s="196">
        <f t="shared" si="174"/>
        <v>0</v>
      </c>
    </row>
    <row r="658" spans="1:32" ht="12.95" customHeight="1">
      <c r="A658" s="197">
        <v>63139</v>
      </c>
      <c r="B658" s="198">
        <v>43579</v>
      </c>
      <c r="C658" s="197" t="s">
        <v>457</v>
      </c>
      <c r="D658" s="197" t="s">
        <v>667</v>
      </c>
      <c r="E658" s="197" t="s">
        <v>346</v>
      </c>
      <c r="F658" s="197" t="s">
        <v>421</v>
      </c>
      <c r="G658" s="199" t="s">
        <v>422</v>
      </c>
      <c r="H658" s="199" t="s">
        <v>296</v>
      </c>
      <c r="I658" s="199" t="s">
        <v>349</v>
      </c>
      <c r="J658" s="199" t="s">
        <v>350</v>
      </c>
      <c r="K658" s="197" t="s">
        <v>351</v>
      </c>
      <c r="L658" s="197" t="s">
        <v>387</v>
      </c>
      <c r="M658" s="200" t="s">
        <v>388</v>
      </c>
      <c r="N658" s="201">
        <v>5</v>
      </c>
      <c r="O658" s="202">
        <v>340000</v>
      </c>
      <c r="P658" s="203">
        <v>1700000</v>
      </c>
      <c r="Q658" s="203">
        <v>170000</v>
      </c>
      <c r="R658" s="203">
        <v>1870000</v>
      </c>
      <c r="S658" s="199"/>
      <c r="T658" s="199" t="s">
        <v>310</v>
      </c>
      <c r="U658" s="197">
        <v>60975</v>
      </c>
      <c r="V658" s="197"/>
      <c r="W658" s="196" t="s">
        <v>356</v>
      </c>
      <c r="X658" s="196" t="str">
        <f>+IFERROR(VLOOKUP($F658,'[2]Chuyển đổi mã'!$A$1:$C$91,3,0),$F658)&amp;AC658</f>
        <v>Lotte South323620</v>
      </c>
      <c r="Y658" s="196" t="str">
        <f>IFERROR(VLOOKUP($F658,'[2]Chuyển đổi mã'!$A$1:$C$184,3,0),F658)</f>
        <v>Lotte South</v>
      </c>
      <c r="Z658" s="196" t="str">
        <f>VLOOKUP($G658,'[2]Thông tin NPP'!$B:$D,3,0)</f>
        <v>Lotte South</v>
      </c>
      <c r="AA658" s="196" t="str">
        <f t="shared" si="170"/>
        <v>Ahh 16g</v>
      </c>
      <c r="AB658" s="196" t="str">
        <f>IFERROR(VLOOKUP(DAY(B658),'[2]Chuyển đổi mã'!$F$1:$G$32,2,0),0)</f>
        <v>W4</v>
      </c>
      <c r="AC658" s="196" t="str">
        <f t="shared" si="171"/>
        <v>323620</v>
      </c>
      <c r="AD658" s="196" t="str">
        <f t="shared" si="172"/>
        <v>NPP</v>
      </c>
      <c r="AE658" s="196" t="str">
        <f t="shared" si="173"/>
        <v>NPP323620</v>
      </c>
      <c r="AF658" s="196">
        <f t="shared" si="174"/>
        <v>0</v>
      </c>
    </row>
    <row r="659" spans="1:32" ht="12.95" customHeight="1">
      <c r="A659" s="197">
        <v>63139</v>
      </c>
      <c r="B659" s="198">
        <v>43579</v>
      </c>
      <c r="C659" s="197" t="s">
        <v>457</v>
      </c>
      <c r="D659" s="197" t="s">
        <v>667</v>
      </c>
      <c r="E659" s="197" t="s">
        <v>346</v>
      </c>
      <c r="F659" s="197" t="s">
        <v>421</v>
      </c>
      <c r="G659" s="199" t="s">
        <v>422</v>
      </c>
      <c r="H659" s="199" t="s">
        <v>296</v>
      </c>
      <c r="I659" s="199" t="s">
        <v>349</v>
      </c>
      <c r="J659" s="199" t="s">
        <v>350</v>
      </c>
      <c r="K659" s="197" t="s">
        <v>351</v>
      </c>
      <c r="L659" s="197" t="s">
        <v>361</v>
      </c>
      <c r="M659" s="200" t="s">
        <v>362</v>
      </c>
      <c r="N659" s="201">
        <v>2</v>
      </c>
      <c r="O659" s="202">
        <v>300000</v>
      </c>
      <c r="P659" s="203">
        <v>600000</v>
      </c>
      <c r="Q659" s="203">
        <v>60000</v>
      </c>
      <c r="R659" s="203">
        <v>660000</v>
      </c>
      <c r="S659" s="199"/>
      <c r="T659" s="199" t="s">
        <v>310</v>
      </c>
      <c r="U659" s="197">
        <v>60975</v>
      </c>
      <c r="V659" s="197"/>
      <c r="W659" s="196" t="s">
        <v>356</v>
      </c>
      <c r="X659" s="196" t="str">
        <f>+IFERROR(VLOOKUP($F659,'[2]Chuyển đổi mã'!$A$1:$C$91,3,0),$F659)&amp;AC659</f>
        <v>Lotte South331017</v>
      </c>
      <c r="Y659" s="196" t="str">
        <f>IFERROR(VLOOKUP($F659,'[2]Chuyển đổi mã'!$A$1:$C$184,3,0),F659)</f>
        <v>Lotte South</v>
      </c>
      <c r="Z659" s="196" t="str">
        <f>VLOOKUP($G659,'[2]Thông tin NPP'!$B:$D,3,0)</f>
        <v>Lotte South</v>
      </c>
      <c r="AA659" s="196" t="str">
        <f t="shared" si="170"/>
        <v>Richoco Wf</v>
      </c>
      <c r="AB659" s="196" t="str">
        <f>IFERROR(VLOOKUP(DAY(B659),'[2]Chuyển đổi mã'!$F$1:$G$32,2,0),0)</f>
        <v>W4</v>
      </c>
      <c r="AC659" s="196" t="str">
        <f t="shared" si="171"/>
        <v>331017</v>
      </c>
      <c r="AD659" s="196" t="str">
        <f t="shared" si="172"/>
        <v>NPP</v>
      </c>
      <c r="AE659" s="196" t="str">
        <f t="shared" si="173"/>
        <v>NPP331017</v>
      </c>
      <c r="AF659" s="196">
        <f t="shared" si="174"/>
        <v>0</v>
      </c>
    </row>
    <row r="660" spans="1:32" ht="12.95" hidden="1" customHeight="1">
      <c r="A660" s="197">
        <v>63142</v>
      </c>
      <c r="B660" s="198">
        <v>43579</v>
      </c>
      <c r="C660" s="197" t="s">
        <v>457</v>
      </c>
      <c r="D660" s="197" t="s">
        <v>668</v>
      </c>
      <c r="E660" s="197" t="s">
        <v>346</v>
      </c>
      <c r="F660" s="197" t="s">
        <v>414</v>
      </c>
      <c r="G660" s="199" t="s">
        <v>415</v>
      </c>
      <c r="H660" s="199" t="s">
        <v>296</v>
      </c>
      <c r="I660" s="199" t="s">
        <v>416</v>
      </c>
      <c r="J660" s="199" t="s">
        <v>350</v>
      </c>
      <c r="K660" s="197" t="s">
        <v>367</v>
      </c>
      <c r="L660" s="197" t="s">
        <v>378</v>
      </c>
      <c r="M660" s="200" t="s">
        <v>379</v>
      </c>
      <c r="N660" s="201">
        <v>7</v>
      </c>
      <c r="O660" s="202">
        <v>187680</v>
      </c>
      <c r="P660" s="203">
        <v>1313760</v>
      </c>
      <c r="Q660" s="203">
        <v>131376</v>
      </c>
      <c r="R660" s="203">
        <v>1445136</v>
      </c>
      <c r="S660" s="199"/>
      <c r="T660" s="199" t="s">
        <v>310</v>
      </c>
      <c r="U660" s="197">
        <v>61017</v>
      </c>
      <c r="V660" s="197"/>
      <c r="W660" s="196" t="s">
        <v>356</v>
      </c>
      <c r="X660" s="196" t="str">
        <f>+IFERROR(VLOOKUP($F660,'[2]Chuyển đổi mã'!$A$1:$C$91,3,0),$F660)&amp;AC660</f>
        <v>NPP00000119321238</v>
      </c>
      <c r="Y660" s="196" t="str">
        <f>IFERROR(VLOOKUP($F660,'[2]Chuyển đổi mã'!$A$1:$C$184,3,0),F660)</f>
        <v>NPP00000119</v>
      </c>
      <c r="Z660" s="196" t="str">
        <f>VLOOKUP($G660,'[2]Thông tin NPP'!$B:$D,3,0)</f>
        <v>NGUYỄN DUNG</v>
      </c>
      <c r="AA660" s="196" t="str">
        <f t="shared" si="170"/>
        <v>Richoco Wf</v>
      </c>
      <c r="AB660" s="196" t="str">
        <f>IFERROR(VLOOKUP(DAY(B660),'[2]Chuyển đổi mã'!$F$1:$G$32,2,0),0)</f>
        <v>W4</v>
      </c>
      <c r="AC660" s="196" t="str">
        <f t="shared" si="171"/>
        <v>321238</v>
      </c>
      <c r="AD660" s="196" t="str">
        <f t="shared" si="172"/>
        <v>NPP</v>
      </c>
      <c r="AE660" s="196" t="str">
        <f t="shared" si="173"/>
        <v>NPP321238</v>
      </c>
      <c r="AF660" s="196">
        <f t="shared" si="174"/>
        <v>0</v>
      </c>
    </row>
    <row r="661" spans="1:32" ht="12.95" hidden="1" customHeight="1">
      <c r="A661" s="197">
        <v>63142</v>
      </c>
      <c r="B661" s="198">
        <v>43579</v>
      </c>
      <c r="C661" s="197" t="s">
        <v>457</v>
      </c>
      <c r="D661" s="197" t="s">
        <v>668</v>
      </c>
      <c r="E661" s="197" t="s">
        <v>346</v>
      </c>
      <c r="F661" s="197" t="s">
        <v>414</v>
      </c>
      <c r="G661" s="199" t="s">
        <v>415</v>
      </c>
      <c r="H661" s="199" t="s">
        <v>296</v>
      </c>
      <c r="I661" s="199" t="s">
        <v>416</v>
      </c>
      <c r="J661" s="199" t="s">
        <v>350</v>
      </c>
      <c r="K661" s="197" t="s">
        <v>367</v>
      </c>
      <c r="L661" s="197" t="s">
        <v>357</v>
      </c>
      <c r="M661" s="200" t="s">
        <v>358</v>
      </c>
      <c r="N661" s="201">
        <v>205</v>
      </c>
      <c r="O661" s="202">
        <v>187680</v>
      </c>
      <c r="P661" s="203">
        <v>38474400</v>
      </c>
      <c r="Q661" s="203">
        <v>3847440</v>
      </c>
      <c r="R661" s="203">
        <v>42321840</v>
      </c>
      <c r="S661" s="199"/>
      <c r="T661" s="199" t="s">
        <v>310</v>
      </c>
      <c r="U661" s="197">
        <v>61017</v>
      </c>
      <c r="V661" s="197"/>
      <c r="W661" s="196" t="s">
        <v>356</v>
      </c>
      <c r="X661" s="196" t="str">
        <f>+IFERROR(VLOOKUP($F661,'[2]Chuyển đổi mã'!$A$1:$C$91,3,0),$F661)&amp;AC661</f>
        <v>NPP00000119323555</v>
      </c>
      <c r="Y661" s="196" t="str">
        <f>IFERROR(VLOOKUP($F661,'[2]Chuyển đổi mã'!$A$1:$C$184,3,0),F661)</f>
        <v>NPP00000119</v>
      </c>
      <c r="Z661" s="196" t="str">
        <f>VLOOKUP($G661,'[2]Thông tin NPP'!$B:$D,3,0)</f>
        <v>NGUYỄN DUNG</v>
      </c>
      <c r="AA661" s="196" t="str">
        <f t="shared" ref="AA661:AA674" si="175">LEFT($M661,10)</f>
        <v>Na 17g - M</v>
      </c>
      <c r="AB661" s="196" t="str">
        <f>IFERROR(VLOOKUP(DAY(B661),'[2]Chuyển đổi mã'!$F$1:$G$32,2,0),0)</f>
        <v>W4</v>
      </c>
      <c r="AC661" s="196" t="str">
        <f t="shared" ref="AC661:AC674" si="176">LEFT(L661,6)</f>
        <v>323555</v>
      </c>
      <c r="AD661" s="196" t="str">
        <f t="shared" ref="AD661:AD674" si="177">LEFT(F661,3)</f>
        <v>NPP</v>
      </c>
      <c r="AE661" s="196" t="str">
        <f t="shared" ref="AE661:AE674" si="178">AD661&amp;AC661</f>
        <v>NPP323555</v>
      </c>
      <c r="AF661" s="196">
        <f t="shared" ref="AF661:AF674" si="179">IF(RIGHT(L661,1)="P","P",0)</f>
        <v>0</v>
      </c>
    </row>
    <row r="662" spans="1:32" ht="12.95" hidden="1" customHeight="1">
      <c r="A662" s="197">
        <v>63142</v>
      </c>
      <c r="B662" s="198">
        <v>43579</v>
      </c>
      <c r="C662" s="197" t="s">
        <v>457</v>
      </c>
      <c r="D662" s="197" t="s">
        <v>668</v>
      </c>
      <c r="E662" s="197" t="s">
        <v>346</v>
      </c>
      <c r="F662" s="197" t="s">
        <v>414</v>
      </c>
      <c r="G662" s="199" t="s">
        <v>415</v>
      </c>
      <c r="H662" s="199" t="s">
        <v>296</v>
      </c>
      <c r="I662" s="199" t="s">
        <v>416</v>
      </c>
      <c r="J662" s="199" t="s">
        <v>350</v>
      </c>
      <c r="K662" s="197" t="s">
        <v>367</v>
      </c>
      <c r="L662" s="197" t="s">
        <v>359</v>
      </c>
      <c r="M662" s="200" t="s">
        <v>360</v>
      </c>
      <c r="N662" s="201">
        <v>117</v>
      </c>
      <c r="O662" s="202">
        <v>276000</v>
      </c>
      <c r="P662" s="203">
        <v>32292000</v>
      </c>
      <c r="Q662" s="203">
        <v>3229200</v>
      </c>
      <c r="R662" s="203">
        <v>35521200</v>
      </c>
      <c r="S662" s="199"/>
      <c r="T662" s="199" t="s">
        <v>310</v>
      </c>
      <c r="U662" s="197">
        <v>61017</v>
      </c>
      <c r="V662" s="197"/>
      <c r="W662" s="196" t="s">
        <v>356</v>
      </c>
      <c r="X662" s="196" t="str">
        <f>+IFERROR(VLOOKUP($F662,'[2]Chuyển đổi mã'!$A$1:$C$91,3,0),$F662)&amp;AC662</f>
        <v>NPP00000119320445</v>
      </c>
      <c r="Y662" s="196" t="str">
        <f>IFERROR(VLOOKUP($F662,'[2]Chuyển đổi mã'!$A$1:$C$184,3,0),F662)</f>
        <v>NPP00000119</v>
      </c>
      <c r="Z662" s="196" t="str">
        <f>VLOOKUP($G662,'[2]Thông tin NPP'!$B:$D,3,0)</f>
        <v>NGUYỄN DUNG</v>
      </c>
      <c r="AA662" s="196" t="str">
        <f t="shared" si="175"/>
        <v>Na 58g</v>
      </c>
      <c r="AB662" s="196" t="str">
        <f>IFERROR(VLOOKUP(DAY(B662),'[2]Chuyển đổi mã'!$F$1:$G$32,2,0),0)</f>
        <v>W4</v>
      </c>
      <c r="AC662" s="196" t="str">
        <f t="shared" si="176"/>
        <v>320445</v>
      </c>
      <c r="AD662" s="196" t="str">
        <f t="shared" si="177"/>
        <v>NPP</v>
      </c>
      <c r="AE662" s="196" t="str">
        <f t="shared" si="178"/>
        <v>NPP320445</v>
      </c>
      <c r="AF662" s="196">
        <f t="shared" si="179"/>
        <v>0</v>
      </c>
    </row>
    <row r="663" spans="1:32" ht="12.95" hidden="1" customHeight="1">
      <c r="A663" s="197">
        <v>63142</v>
      </c>
      <c r="B663" s="198">
        <v>43579</v>
      </c>
      <c r="C663" s="197" t="s">
        <v>457</v>
      </c>
      <c r="D663" s="197" t="s">
        <v>668</v>
      </c>
      <c r="E663" s="197" t="s">
        <v>346</v>
      </c>
      <c r="F663" s="197" t="s">
        <v>414</v>
      </c>
      <c r="G663" s="199" t="s">
        <v>415</v>
      </c>
      <c r="H663" s="199" t="s">
        <v>296</v>
      </c>
      <c r="I663" s="199" t="s">
        <v>416</v>
      </c>
      <c r="J663" s="199" t="s">
        <v>350</v>
      </c>
      <c r="K663" s="197" t="s">
        <v>367</v>
      </c>
      <c r="L663" s="197" t="s">
        <v>361</v>
      </c>
      <c r="M663" s="200" t="s">
        <v>362</v>
      </c>
      <c r="N663" s="201">
        <v>1</v>
      </c>
      <c r="O663" s="202">
        <v>276000</v>
      </c>
      <c r="P663" s="203">
        <v>276000</v>
      </c>
      <c r="Q663" s="203">
        <v>27600</v>
      </c>
      <c r="R663" s="203">
        <v>303600</v>
      </c>
      <c r="S663" s="199"/>
      <c r="T663" s="199" t="s">
        <v>310</v>
      </c>
      <c r="U663" s="197">
        <v>61017</v>
      </c>
      <c r="V663" s="197"/>
      <c r="W663" s="196" t="s">
        <v>356</v>
      </c>
      <c r="X663" s="196" t="str">
        <f>+IFERROR(VLOOKUP($F663,'[2]Chuyển đổi mã'!$A$1:$C$91,3,0),$F663)&amp;AC663</f>
        <v>NPP00000119331017</v>
      </c>
      <c r="Y663" s="196" t="str">
        <f>IFERROR(VLOOKUP($F663,'[2]Chuyển đổi mã'!$A$1:$C$184,3,0),F663)</f>
        <v>NPP00000119</v>
      </c>
      <c r="Z663" s="196" t="str">
        <f>VLOOKUP($G663,'[2]Thông tin NPP'!$B:$D,3,0)</f>
        <v>NGUYỄN DUNG</v>
      </c>
      <c r="AA663" s="196" t="str">
        <f t="shared" si="175"/>
        <v>Richoco Wf</v>
      </c>
      <c r="AB663" s="196" t="str">
        <f>IFERROR(VLOOKUP(DAY(B663),'[2]Chuyển đổi mã'!$F$1:$G$32,2,0),0)</f>
        <v>W4</v>
      </c>
      <c r="AC663" s="196" t="str">
        <f t="shared" si="176"/>
        <v>331017</v>
      </c>
      <c r="AD663" s="196" t="str">
        <f t="shared" si="177"/>
        <v>NPP</v>
      </c>
      <c r="AE663" s="196" t="str">
        <f t="shared" si="178"/>
        <v>NPP331017</v>
      </c>
      <c r="AF663" s="196">
        <f t="shared" si="179"/>
        <v>0</v>
      </c>
    </row>
    <row r="664" spans="1:32" ht="12.95" customHeight="1">
      <c r="A664" s="197">
        <v>63143</v>
      </c>
      <c r="B664" s="198">
        <v>43579</v>
      </c>
      <c r="C664" s="197" t="s">
        <v>457</v>
      </c>
      <c r="D664" s="197" t="s">
        <v>669</v>
      </c>
      <c r="E664" s="197" t="s">
        <v>346</v>
      </c>
      <c r="F664" s="197" t="s">
        <v>450</v>
      </c>
      <c r="G664" s="199" t="s">
        <v>451</v>
      </c>
      <c r="H664" s="199" t="s">
        <v>296</v>
      </c>
      <c r="I664" s="199" t="s">
        <v>349</v>
      </c>
      <c r="J664" s="199" t="s">
        <v>350</v>
      </c>
      <c r="K664" s="197" t="s">
        <v>351</v>
      </c>
      <c r="L664" s="197" t="s">
        <v>352</v>
      </c>
      <c r="M664" s="200" t="s">
        <v>353</v>
      </c>
      <c r="N664" s="201">
        <v>20</v>
      </c>
      <c r="O664" s="202">
        <v>115036.7</v>
      </c>
      <c r="P664" s="203">
        <v>2300734</v>
      </c>
      <c r="Q664" s="203">
        <v>230073.4</v>
      </c>
      <c r="R664" s="203">
        <v>2530807.4</v>
      </c>
      <c r="S664" s="199" t="s">
        <v>544</v>
      </c>
      <c r="T664" s="199" t="s">
        <v>545</v>
      </c>
      <c r="U664" s="197">
        <v>60974</v>
      </c>
      <c r="V664" s="197"/>
      <c r="W664" s="196" t="s">
        <v>356</v>
      </c>
      <c r="X664" s="196" t="str">
        <f>+IFERROR(VLOOKUP($F664,'[2]Chuyển đổi mã'!$A$1:$C$91,3,0),$F664)&amp;AC664</f>
        <v>Lotte South320463</v>
      </c>
      <c r="Y664" s="196" t="str">
        <f>IFERROR(VLOOKUP($F664,'[2]Chuyển đổi mã'!$A$1:$C$184,3,0),F664)</f>
        <v>Lotte South</v>
      </c>
      <c r="Z664" s="196" t="str">
        <f>VLOOKUP($G664,'[2]Thông tin NPP'!$B:$D,3,0)</f>
        <v>Lotte South</v>
      </c>
      <c r="AA664" s="196" t="str">
        <f t="shared" si="175"/>
        <v>Na 8,5g</v>
      </c>
      <c r="AB664" s="196" t="str">
        <f>IFERROR(VLOOKUP(DAY(B664),'[2]Chuyển đổi mã'!$F$1:$G$32,2,0),0)</f>
        <v>W4</v>
      </c>
      <c r="AC664" s="196" t="str">
        <f t="shared" si="176"/>
        <v>320463</v>
      </c>
      <c r="AD664" s="196" t="str">
        <f t="shared" si="177"/>
        <v>NPP</v>
      </c>
      <c r="AE664" s="196" t="str">
        <f t="shared" si="178"/>
        <v>NPP320463</v>
      </c>
      <c r="AF664" s="196">
        <f t="shared" si="179"/>
        <v>0</v>
      </c>
    </row>
    <row r="665" spans="1:32" ht="12.95" customHeight="1">
      <c r="A665" s="197">
        <v>63143</v>
      </c>
      <c r="B665" s="198">
        <v>43579</v>
      </c>
      <c r="C665" s="197" t="s">
        <v>457</v>
      </c>
      <c r="D665" s="197" t="s">
        <v>669</v>
      </c>
      <c r="E665" s="197" t="s">
        <v>346</v>
      </c>
      <c r="F665" s="197" t="s">
        <v>450</v>
      </c>
      <c r="G665" s="199" t="s">
        <v>451</v>
      </c>
      <c r="H665" s="199" t="s">
        <v>296</v>
      </c>
      <c r="I665" s="199" t="s">
        <v>349</v>
      </c>
      <c r="J665" s="199" t="s">
        <v>350</v>
      </c>
      <c r="K665" s="197" t="s">
        <v>351</v>
      </c>
      <c r="L665" s="197" t="s">
        <v>387</v>
      </c>
      <c r="M665" s="200" t="s">
        <v>388</v>
      </c>
      <c r="N665" s="201">
        <v>2</v>
      </c>
      <c r="O665" s="202">
        <v>340000</v>
      </c>
      <c r="P665" s="203">
        <v>680000</v>
      </c>
      <c r="Q665" s="203">
        <v>68000</v>
      </c>
      <c r="R665" s="203">
        <v>748000</v>
      </c>
      <c r="S665" s="199"/>
      <c r="T665" s="199" t="s">
        <v>310</v>
      </c>
      <c r="U665" s="197">
        <v>60974</v>
      </c>
      <c r="V665" s="197"/>
      <c r="W665" s="196" t="s">
        <v>356</v>
      </c>
      <c r="X665" s="196" t="str">
        <f>+IFERROR(VLOOKUP($F665,'[2]Chuyển đổi mã'!$A$1:$C$91,3,0),$F665)&amp;AC665</f>
        <v>Lotte South323620</v>
      </c>
      <c r="Y665" s="196" t="str">
        <f>IFERROR(VLOOKUP($F665,'[2]Chuyển đổi mã'!$A$1:$C$184,3,0),F665)</f>
        <v>Lotte South</v>
      </c>
      <c r="Z665" s="196" t="str">
        <f>VLOOKUP($G665,'[2]Thông tin NPP'!$B:$D,3,0)</f>
        <v>Lotte South</v>
      </c>
      <c r="AA665" s="196" t="str">
        <f t="shared" si="175"/>
        <v>Ahh 16g</v>
      </c>
      <c r="AB665" s="196" t="str">
        <f>IFERROR(VLOOKUP(DAY(B665),'[2]Chuyển đổi mã'!$F$1:$G$32,2,0),0)</f>
        <v>W4</v>
      </c>
      <c r="AC665" s="196" t="str">
        <f t="shared" si="176"/>
        <v>323620</v>
      </c>
      <c r="AD665" s="196" t="str">
        <f t="shared" si="177"/>
        <v>NPP</v>
      </c>
      <c r="AE665" s="196" t="str">
        <f t="shared" si="178"/>
        <v>NPP323620</v>
      </c>
      <c r="AF665" s="196">
        <f t="shared" si="179"/>
        <v>0</v>
      </c>
    </row>
    <row r="666" spans="1:32" ht="12.95" customHeight="1">
      <c r="A666" s="197">
        <v>63143</v>
      </c>
      <c r="B666" s="198">
        <v>43579</v>
      </c>
      <c r="C666" s="197" t="s">
        <v>457</v>
      </c>
      <c r="D666" s="197" t="s">
        <v>669</v>
      </c>
      <c r="E666" s="197" t="s">
        <v>346</v>
      </c>
      <c r="F666" s="197" t="s">
        <v>450</v>
      </c>
      <c r="G666" s="199" t="s">
        <v>451</v>
      </c>
      <c r="H666" s="199" t="s">
        <v>296</v>
      </c>
      <c r="I666" s="199" t="s">
        <v>349</v>
      </c>
      <c r="J666" s="199" t="s">
        <v>350</v>
      </c>
      <c r="K666" s="197" t="s">
        <v>351</v>
      </c>
      <c r="L666" s="197" t="s">
        <v>361</v>
      </c>
      <c r="M666" s="200" t="s">
        <v>362</v>
      </c>
      <c r="N666" s="201">
        <v>5</v>
      </c>
      <c r="O666" s="202">
        <v>300000</v>
      </c>
      <c r="P666" s="203">
        <v>1500000</v>
      </c>
      <c r="Q666" s="203">
        <v>150000</v>
      </c>
      <c r="R666" s="203">
        <v>1650000</v>
      </c>
      <c r="S666" s="199"/>
      <c r="T666" s="199" t="s">
        <v>310</v>
      </c>
      <c r="U666" s="197">
        <v>60974</v>
      </c>
      <c r="V666" s="197"/>
      <c r="W666" s="196" t="s">
        <v>356</v>
      </c>
      <c r="X666" s="196" t="str">
        <f>+IFERROR(VLOOKUP($F666,'[2]Chuyển đổi mã'!$A$1:$C$91,3,0),$F666)&amp;AC666</f>
        <v>Lotte South331017</v>
      </c>
      <c r="Y666" s="196" t="str">
        <f>IFERROR(VLOOKUP($F666,'[2]Chuyển đổi mã'!$A$1:$C$184,3,0),F666)</f>
        <v>Lotte South</v>
      </c>
      <c r="Z666" s="196" t="str">
        <f>VLOOKUP($G666,'[2]Thông tin NPP'!$B:$D,3,0)</f>
        <v>Lotte South</v>
      </c>
      <c r="AA666" s="196" t="str">
        <f t="shared" si="175"/>
        <v>Richoco Wf</v>
      </c>
      <c r="AB666" s="196" t="str">
        <f>IFERROR(VLOOKUP(DAY(B666),'[2]Chuyển đổi mã'!$F$1:$G$32,2,0),0)</f>
        <v>W4</v>
      </c>
      <c r="AC666" s="196" t="str">
        <f t="shared" si="176"/>
        <v>331017</v>
      </c>
      <c r="AD666" s="196" t="str">
        <f t="shared" si="177"/>
        <v>NPP</v>
      </c>
      <c r="AE666" s="196" t="str">
        <f t="shared" si="178"/>
        <v>NPP331017</v>
      </c>
      <c r="AF666" s="196">
        <f t="shared" si="179"/>
        <v>0</v>
      </c>
    </row>
    <row r="667" spans="1:32" ht="12.95" customHeight="1">
      <c r="A667" s="197">
        <v>63143</v>
      </c>
      <c r="B667" s="198">
        <v>43579</v>
      </c>
      <c r="C667" s="197" t="s">
        <v>457</v>
      </c>
      <c r="D667" s="197" t="s">
        <v>669</v>
      </c>
      <c r="E667" s="197" t="s">
        <v>346</v>
      </c>
      <c r="F667" s="197" t="s">
        <v>450</v>
      </c>
      <c r="G667" s="199" t="s">
        <v>451</v>
      </c>
      <c r="H667" s="199" t="s">
        <v>296</v>
      </c>
      <c r="I667" s="199" t="s">
        <v>349</v>
      </c>
      <c r="J667" s="199" t="s">
        <v>350</v>
      </c>
      <c r="K667" s="197" t="s">
        <v>351</v>
      </c>
      <c r="L667" s="197" t="s">
        <v>357</v>
      </c>
      <c r="M667" s="200" t="s">
        <v>358</v>
      </c>
      <c r="N667" s="201">
        <v>10</v>
      </c>
      <c r="O667" s="202">
        <v>213273</v>
      </c>
      <c r="P667" s="203">
        <v>2132730</v>
      </c>
      <c r="Q667" s="203">
        <v>213273</v>
      </c>
      <c r="R667" s="203">
        <v>2346003</v>
      </c>
      <c r="S667" s="199"/>
      <c r="T667" s="199" t="s">
        <v>310</v>
      </c>
      <c r="U667" s="197">
        <v>60974</v>
      </c>
      <c r="V667" s="197"/>
      <c r="W667" s="196" t="s">
        <v>356</v>
      </c>
      <c r="X667" s="196" t="str">
        <f>+IFERROR(VLOOKUP($F667,'[2]Chuyển đổi mã'!$A$1:$C$91,3,0),$F667)&amp;AC667</f>
        <v>Lotte South323555</v>
      </c>
      <c r="Y667" s="196" t="str">
        <f>IFERROR(VLOOKUP($F667,'[2]Chuyển đổi mã'!$A$1:$C$184,3,0),F667)</f>
        <v>Lotte South</v>
      </c>
      <c r="Z667" s="196" t="str">
        <f>VLOOKUP($G667,'[2]Thông tin NPP'!$B:$D,3,0)</f>
        <v>Lotte South</v>
      </c>
      <c r="AA667" s="196" t="str">
        <f t="shared" si="175"/>
        <v>Na 17g - M</v>
      </c>
      <c r="AB667" s="196" t="str">
        <f>IFERROR(VLOOKUP(DAY(B667),'[2]Chuyển đổi mã'!$F$1:$G$32,2,0),0)</f>
        <v>W4</v>
      </c>
      <c r="AC667" s="196" t="str">
        <f t="shared" si="176"/>
        <v>323555</v>
      </c>
      <c r="AD667" s="196" t="str">
        <f t="shared" si="177"/>
        <v>NPP</v>
      </c>
      <c r="AE667" s="196" t="str">
        <f t="shared" si="178"/>
        <v>NPP323555</v>
      </c>
      <c r="AF667" s="196">
        <f t="shared" si="179"/>
        <v>0</v>
      </c>
    </row>
    <row r="668" spans="1:32" ht="12.95" customHeight="1">
      <c r="A668" s="197">
        <v>63144</v>
      </c>
      <c r="B668" s="198">
        <v>43579</v>
      </c>
      <c r="C668" s="197" t="s">
        <v>457</v>
      </c>
      <c r="D668" s="197" t="s">
        <v>670</v>
      </c>
      <c r="E668" s="197" t="s">
        <v>346</v>
      </c>
      <c r="F668" s="197" t="s">
        <v>487</v>
      </c>
      <c r="G668" s="199" t="s">
        <v>488</v>
      </c>
      <c r="H668" s="199" t="s">
        <v>296</v>
      </c>
      <c r="I668" s="199" t="s">
        <v>349</v>
      </c>
      <c r="J668" s="199" t="s">
        <v>350</v>
      </c>
      <c r="K668" s="197" t="s">
        <v>351</v>
      </c>
      <c r="L668" s="197" t="s">
        <v>357</v>
      </c>
      <c r="M668" s="200" t="s">
        <v>358</v>
      </c>
      <c r="N668" s="201">
        <v>900</v>
      </c>
      <c r="O668" s="202">
        <v>173400</v>
      </c>
      <c r="P668" s="203">
        <v>156060000</v>
      </c>
      <c r="Q668" s="203">
        <v>15606000</v>
      </c>
      <c r="R668" s="203">
        <v>171666000</v>
      </c>
      <c r="S668" s="199" t="s">
        <v>490</v>
      </c>
      <c r="T668" s="199" t="s">
        <v>491</v>
      </c>
      <c r="U668" s="197">
        <v>60973</v>
      </c>
      <c r="V668" s="197"/>
      <c r="W668" s="196" t="s">
        <v>356</v>
      </c>
      <c r="X668" s="196" t="str">
        <f>+IFERROR(VLOOKUP($F668,'[2]Chuyển đổi mã'!$A$1:$C$91,3,0),$F668)&amp;AC668</f>
        <v>SG Coop323555</v>
      </c>
      <c r="Y668" s="196" t="str">
        <f>IFERROR(VLOOKUP($F668,'[2]Chuyển đổi mã'!$A$1:$C$184,3,0),F668)</f>
        <v>SG Coop</v>
      </c>
      <c r="Z668" s="196" t="str">
        <f>VLOOKUP($G668,'[2]Thông tin NPP'!$B:$D,3,0)</f>
        <v>SÀI GÒN CO.OP</v>
      </c>
      <c r="AA668" s="196" t="str">
        <f t="shared" si="175"/>
        <v>Na 17g - M</v>
      </c>
      <c r="AB668" s="196" t="str">
        <f>IFERROR(VLOOKUP(DAY(B668),'[2]Chuyển đổi mã'!$F$1:$G$32,2,0),0)</f>
        <v>W4</v>
      </c>
      <c r="AC668" s="196" t="str">
        <f t="shared" si="176"/>
        <v>323555</v>
      </c>
      <c r="AD668" s="196" t="str">
        <f t="shared" si="177"/>
        <v>NPP</v>
      </c>
      <c r="AE668" s="196" t="str">
        <f t="shared" si="178"/>
        <v>NPP323555</v>
      </c>
      <c r="AF668" s="196">
        <f t="shared" si="179"/>
        <v>0</v>
      </c>
    </row>
    <row r="669" spans="1:32" ht="12.95" hidden="1" customHeight="1">
      <c r="A669" s="197">
        <v>63145</v>
      </c>
      <c r="B669" s="198">
        <v>43579</v>
      </c>
      <c r="C669" s="197" t="s">
        <v>457</v>
      </c>
      <c r="D669" s="197" t="s">
        <v>671</v>
      </c>
      <c r="E669" s="197" t="s">
        <v>346</v>
      </c>
      <c r="F669" s="197" t="s">
        <v>414</v>
      </c>
      <c r="G669" s="199" t="s">
        <v>415</v>
      </c>
      <c r="H669" s="199" t="s">
        <v>296</v>
      </c>
      <c r="I669" s="199" t="s">
        <v>416</v>
      </c>
      <c r="J669" s="199" t="s">
        <v>350</v>
      </c>
      <c r="K669" s="197" t="s">
        <v>367</v>
      </c>
      <c r="L669" s="197" t="s">
        <v>387</v>
      </c>
      <c r="M669" s="200" t="s">
        <v>388</v>
      </c>
      <c r="N669" s="201">
        <v>50</v>
      </c>
      <c r="O669" s="202">
        <v>312800</v>
      </c>
      <c r="P669" s="203">
        <v>15640000</v>
      </c>
      <c r="Q669" s="203">
        <v>1564000</v>
      </c>
      <c r="R669" s="203">
        <v>17204000</v>
      </c>
      <c r="S669" s="199"/>
      <c r="T669" s="199" t="s">
        <v>310</v>
      </c>
      <c r="U669" s="197">
        <v>61020</v>
      </c>
      <c r="V669" s="197"/>
      <c r="W669" s="196" t="s">
        <v>356</v>
      </c>
      <c r="X669" s="196" t="str">
        <f>+IFERROR(VLOOKUP($F669,'[2]Chuyển đổi mã'!$A$1:$C$91,3,0),$F669)&amp;AC669</f>
        <v>NPP00000119323620</v>
      </c>
      <c r="Y669" s="196" t="str">
        <f>IFERROR(VLOOKUP($F669,'[2]Chuyển đổi mã'!$A$1:$C$184,3,0),F669)</f>
        <v>NPP00000119</v>
      </c>
      <c r="Z669" s="196" t="str">
        <f>VLOOKUP($G669,'[2]Thông tin NPP'!$B:$D,3,0)</f>
        <v>NGUYỄN DUNG</v>
      </c>
      <c r="AA669" s="196" t="str">
        <f t="shared" si="175"/>
        <v>Ahh 16g</v>
      </c>
      <c r="AB669" s="196" t="str">
        <f>IFERROR(VLOOKUP(DAY(B669),'[2]Chuyển đổi mã'!$F$1:$G$32,2,0),0)</f>
        <v>W4</v>
      </c>
      <c r="AC669" s="196" t="str">
        <f t="shared" si="176"/>
        <v>323620</v>
      </c>
      <c r="AD669" s="196" t="str">
        <f t="shared" si="177"/>
        <v>NPP</v>
      </c>
      <c r="AE669" s="196" t="str">
        <f t="shared" si="178"/>
        <v>NPP323620</v>
      </c>
      <c r="AF669" s="196">
        <f t="shared" si="179"/>
        <v>0</v>
      </c>
    </row>
    <row r="670" spans="1:32" ht="12.95" hidden="1" customHeight="1">
      <c r="A670" s="197">
        <v>63145</v>
      </c>
      <c r="B670" s="198">
        <v>43579</v>
      </c>
      <c r="C670" s="197" t="s">
        <v>457</v>
      </c>
      <c r="D670" s="197" t="s">
        <v>671</v>
      </c>
      <c r="E670" s="197" t="s">
        <v>346</v>
      </c>
      <c r="F670" s="197" t="s">
        <v>414</v>
      </c>
      <c r="G670" s="199" t="s">
        <v>415</v>
      </c>
      <c r="H670" s="199" t="s">
        <v>296</v>
      </c>
      <c r="I670" s="199" t="s">
        <v>416</v>
      </c>
      <c r="J670" s="199" t="s">
        <v>350</v>
      </c>
      <c r="K670" s="197" t="s">
        <v>367</v>
      </c>
      <c r="L670" s="197" t="s">
        <v>378</v>
      </c>
      <c r="M670" s="200" t="s">
        <v>379</v>
      </c>
      <c r="N670" s="201">
        <v>30</v>
      </c>
      <c r="O670" s="202">
        <v>187680</v>
      </c>
      <c r="P670" s="203">
        <v>5630400</v>
      </c>
      <c r="Q670" s="203">
        <v>563040</v>
      </c>
      <c r="R670" s="203">
        <v>6193440</v>
      </c>
      <c r="S670" s="199"/>
      <c r="T670" s="199" t="s">
        <v>310</v>
      </c>
      <c r="U670" s="197">
        <v>61020</v>
      </c>
      <c r="V670" s="197"/>
      <c r="W670" s="196" t="s">
        <v>356</v>
      </c>
      <c r="X670" s="196" t="str">
        <f>+IFERROR(VLOOKUP($F670,'[2]Chuyển đổi mã'!$A$1:$C$91,3,0),$F670)&amp;AC670</f>
        <v>NPP00000119321238</v>
      </c>
      <c r="Y670" s="196" t="str">
        <f>IFERROR(VLOOKUP($F670,'[2]Chuyển đổi mã'!$A$1:$C$184,3,0),F670)</f>
        <v>NPP00000119</v>
      </c>
      <c r="Z670" s="196" t="str">
        <f>VLOOKUP($G670,'[2]Thông tin NPP'!$B:$D,3,0)</f>
        <v>NGUYỄN DUNG</v>
      </c>
      <c r="AA670" s="196" t="str">
        <f t="shared" si="175"/>
        <v>Richoco Wf</v>
      </c>
      <c r="AB670" s="196" t="str">
        <f>IFERROR(VLOOKUP(DAY(B670),'[2]Chuyển đổi mã'!$F$1:$G$32,2,0),0)</f>
        <v>W4</v>
      </c>
      <c r="AC670" s="196" t="str">
        <f t="shared" si="176"/>
        <v>321238</v>
      </c>
      <c r="AD670" s="196" t="str">
        <f t="shared" si="177"/>
        <v>NPP</v>
      </c>
      <c r="AE670" s="196" t="str">
        <f t="shared" si="178"/>
        <v>NPP321238</v>
      </c>
      <c r="AF670" s="196">
        <f t="shared" si="179"/>
        <v>0</v>
      </c>
    </row>
    <row r="671" spans="1:32" ht="12.95" hidden="1" customHeight="1">
      <c r="A671" s="197">
        <v>63145</v>
      </c>
      <c r="B671" s="198">
        <v>43579</v>
      </c>
      <c r="C671" s="197" t="s">
        <v>457</v>
      </c>
      <c r="D671" s="197" t="s">
        <v>671</v>
      </c>
      <c r="E671" s="197" t="s">
        <v>346</v>
      </c>
      <c r="F671" s="197" t="s">
        <v>414</v>
      </c>
      <c r="G671" s="199" t="s">
        <v>415</v>
      </c>
      <c r="H671" s="199" t="s">
        <v>296</v>
      </c>
      <c r="I671" s="199" t="s">
        <v>416</v>
      </c>
      <c r="J671" s="199" t="s">
        <v>350</v>
      </c>
      <c r="K671" s="197" t="s">
        <v>367</v>
      </c>
      <c r="L671" s="197" t="s">
        <v>408</v>
      </c>
      <c r="M671" s="200" t="s">
        <v>409</v>
      </c>
      <c r="N671" s="201">
        <v>50</v>
      </c>
      <c r="O671" s="202">
        <v>176640</v>
      </c>
      <c r="P671" s="203">
        <v>8832000</v>
      </c>
      <c r="Q671" s="203">
        <v>883200</v>
      </c>
      <c r="R671" s="203">
        <v>9715200</v>
      </c>
      <c r="S671" s="199"/>
      <c r="T671" s="199" t="s">
        <v>310</v>
      </c>
      <c r="U671" s="197">
        <v>61020</v>
      </c>
      <c r="V671" s="197"/>
      <c r="W671" s="196" t="s">
        <v>356</v>
      </c>
      <c r="X671" s="196" t="str">
        <f>+IFERROR(VLOOKUP($F671,'[2]Chuyển đổi mã'!$A$1:$C$91,3,0),$F671)&amp;AC671</f>
        <v>NPP00000119324136</v>
      </c>
      <c r="Y671" s="196" t="str">
        <f>IFERROR(VLOOKUP($F671,'[2]Chuyển đổi mã'!$A$1:$C$184,3,0),F671)</f>
        <v>NPP00000119</v>
      </c>
      <c r="Z671" s="196" t="str">
        <f>VLOOKUP($G671,'[2]Thông tin NPP'!$B:$D,3,0)</f>
        <v>NGUYỄN DUNG</v>
      </c>
      <c r="AA671" s="196" t="str">
        <f t="shared" si="175"/>
        <v>Na 145g</v>
      </c>
      <c r="AB671" s="196" t="str">
        <f>IFERROR(VLOOKUP(DAY(B671),'[2]Chuyển đổi mã'!$F$1:$G$32,2,0),0)</f>
        <v>W4</v>
      </c>
      <c r="AC671" s="196" t="str">
        <f t="shared" si="176"/>
        <v>324136</v>
      </c>
      <c r="AD671" s="196" t="str">
        <f t="shared" si="177"/>
        <v>NPP</v>
      </c>
      <c r="AE671" s="196" t="str">
        <f t="shared" si="178"/>
        <v>NPP324136</v>
      </c>
      <c r="AF671" s="196">
        <f t="shared" si="179"/>
        <v>0</v>
      </c>
    </row>
    <row r="672" spans="1:32" ht="12.95" hidden="1" customHeight="1">
      <c r="A672" s="197">
        <v>63145</v>
      </c>
      <c r="B672" s="198">
        <v>43579</v>
      </c>
      <c r="C672" s="197" t="s">
        <v>457</v>
      </c>
      <c r="D672" s="197" t="s">
        <v>671</v>
      </c>
      <c r="E672" s="197" t="s">
        <v>346</v>
      </c>
      <c r="F672" s="197" t="s">
        <v>414</v>
      </c>
      <c r="G672" s="199" t="s">
        <v>415</v>
      </c>
      <c r="H672" s="199" t="s">
        <v>296</v>
      </c>
      <c r="I672" s="199" t="s">
        <v>416</v>
      </c>
      <c r="J672" s="199" t="s">
        <v>350</v>
      </c>
      <c r="K672" s="197" t="s">
        <v>367</v>
      </c>
      <c r="L672" s="197" t="s">
        <v>357</v>
      </c>
      <c r="M672" s="200" t="s">
        <v>358</v>
      </c>
      <c r="N672" s="201">
        <v>135</v>
      </c>
      <c r="O672" s="202">
        <v>187680</v>
      </c>
      <c r="P672" s="203">
        <v>25336800</v>
      </c>
      <c r="Q672" s="203">
        <v>2533680</v>
      </c>
      <c r="R672" s="203">
        <v>27870480</v>
      </c>
      <c r="S672" s="199"/>
      <c r="T672" s="199" t="s">
        <v>310</v>
      </c>
      <c r="U672" s="197">
        <v>61020</v>
      </c>
      <c r="V672" s="197"/>
      <c r="W672" s="196" t="s">
        <v>356</v>
      </c>
      <c r="X672" s="196" t="str">
        <f>+IFERROR(VLOOKUP($F672,'[2]Chuyển đổi mã'!$A$1:$C$91,3,0),$F672)&amp;AC672</f>
        <v>NPP00000119323555</v>
      </c>
      <c r="Y672" s="196" t="str">
        <f>IFERROR(VLOOKUP($F672,'[2]Chuyển đổi mã'!$A$1:$C$184,3,0),F672)</f>
        <v>NPP00000119</v>
      </c>
      <c r="Z672" s="196" t="str">
        <f>VLOOKUP($G672,'[2]Thông tin NPP'!$B:$D,3,0)</f>
        <v>NGUYỄN DUNG</v>
      </c>
      <c r="AA672" s="196" t="str">
        <f t="shared" si="175"/>
        <v>Na 17g - M</v>
      </c>
      <c r="AB672" s="196" t="str">
        <f>IFERROR(VLOOKUP(DAY(B672),'[2]Chuyển đổi mã'!$F$1:$G$32,2,0),0)</f>
        <v>W4</v>
      </c>
      <c r="AC672" s="196" t="str">
        <f t="shared" si="176"/>
        <v>323555</v>
      </c>
      <c r="AD672" s="196" t="str">
        <f t="shared" si="177"/>
        <v>NPP</v>
      </c>
      <c r="AE672" s="196" t="str">
        <f t="shared" si="178"/>
        <v>NPP323555</v>
      </c>
      <c r="AF672" s="196">
        <f t="shared" si="179"/>
        <v>0</v>
      </c>
    </row>
    <row r="673" spans="1:32" ht="12.95" hidden="1" customHeight="1">
      <c r="A673" s="197">
        <v>63145</v>
      </c>
      <c r="B673" s="198">
        <v>43579</v>
      </c>
      <c r="C673" s="197" t="s">
        <v>457</v>
      </c>
      <c r="D673" s="197" t="s">
        <v>671</v>
      </c>
      <c r="E673" s="197" t="s">
        <v>346</v>
      </c>
      <c r="F673" s="197" t="s">
        <v>414</v>
      </c>
      <c r="G673" s="199" t="s">
        <v>415</v>
      </c>
      <c r="H673" s="199" t="s">
        <v>296</v>
      </c>
      <c r="I673" s="199" t="s">
        <v>416</v>
      </c>
      <c r="J673" s="199" t="s">
        <v>350</v>
      </c>
      <c r="K673" s="197" t="s">
        <v>367</v>
      </c>
      <c r="L673" s="197" t="s">
        <v>359</v>
      </c>
      <c r="M673" s="200" t="s">
        <v>360</v>
      </c>
      <c r="N673" s="201">
        <v>50</v>
      </c>
      <c r="O673" s="202">
        <v>276000</v>
      </c>
      <c r="P673" s="203">
        <v>13800000</v>
      </c>
      <c r="Q673" s="203">
        <v>1380000</v>
      </c>
      <c r="R673" s="203">
        <v>15180000</v>
      </c>
      <c r="S673" s="199"/>
      <c r="T673" s="199" t="s">
        <v>310</v>
      </c>
      <c r="U673" s="197">
        <v>61020</v>
      </c>
      <c r="V673" s="197"/>
      <c r="W673" s="196" t="s">
        <v>356</v>
      </c>
      <c r="X673" s="196" t="str">
        <f>+IFERROR(VLOOKUP($F673,'[2]Chuyển đổi mã'!$A$1:$C$91,3,0),$F673)&amp;AC673</f>
        <v>NPP00000119320445</v>
      </c>
      <c r="Y673" s="196" t="str">
        <f>IFERROR(VLOOKUP($F673,'[2]Chuyển đổi mã'!$A$1:$C$184,3,0),F673)</f>
        <v>NPP00000119</v>
      </c>
      <c r="Z673" s="196" t="str">
        <f>VLOOKUP($G673,'[2]Thông tin NPP'!$B:$D,3,0)</f>
        <v>NGUYỄN DUNG</v>
      </c>
      <c r="AA673" s="196" t="str">
        <f t="shared" si="175"/>
        <v>Na 58g</v>
      </c>
      <c r="AB673" s="196" t="str">
        <f>IFERROR(VLOOKUP(DAY(B673),'[2]Chuyển đổi mã'!$F$1:$G$32,2,0),0)</f>
        <v>W4</v>
      </c>
      <c r="AC673" s="196" t="str">
        <f t="shared" si="176"/>
        <v>320445</v>
      </c>
      <c r="AD673" s="196" t="str">
        <f t="shared" si="177"/>
        <v>NPP</v>
      </c>
      <c r="AE673" s="196" t="str">
        <f t="shared" si="178"/>
        <v>NPP320445</v>
      </c>
      <c r="AF673" s="196">
        <f t="shared" si="179"/>
        <v>0</v>
      </c>
    </row>
    <row r="674" spans="1:32" ht="12.95" hidden="1" customHeight="1">
      <c r="A674" s="197">
        <v>63145</v>
      </c>
      <c r="B674" s="198">
        <v>43579</v>
      </c>
      <c r="C674" s="197" t="s">
        <v>457</v>
      </c>
      <c r="D674" s="197" t="s">
        <v>671</v>
      </c>
      <c r="E674" s="197" t="s">
        <v>346</v>
      </c>
      <c r="F674" s="197" t="s">
        <v>414</v>
      </c>
      <c r="G674" s="199" t="s">
        <v>415</v>
      </c>
      <c r="H674" s="199" t="s">
        <v>296</v>
      </c>
      <c r="I674" s="199" t="s">
        <v>416</v>
      </c>
      <c r="J674" s="199" t="s">
        <v>350</v>
      </c>
      <c r="K674" s="197" t="s">
        <v>367</v>
      </c>
      <c r="L674" s="197" t="s">
        <v>361</v>
      </c>
      <c r="M674" s="200" t="s">
        <v>362</v>
      </c>
      <c r="N674" s="201">
        <v>20</v>
      </c>
      <c r="O674" s="202">
        <v>276000</v>
      </c>
      <c r="P674" s="203">
        <v>5520000</v>
      </c>
      <c r="Q674" s="203">
        <v>552000</v>
      </c>
      <c r="R674" s="203">
        <v>6072000</v>
      </c>
      <c r="S674" s="199"/>
      <c r="T674" s="199" t="s">
        <v>310</v>
      </c>
      <c r="U674" s="197">
        <v>61020</v>
      </c>
      <c r="V674" s="197"/>
      <c r="W674" s="196" t="s">
        <v>356</v>
      </c>
      <c r="X674" s="196" t="str">
        <f>+IFERROR(VLOOKUP($F674,'[2]Chuyển đổi mã'!$A$1:$C$91,3,0),$F674)&amp;AC674</f>
        <v>NPP00000119331017</v>
      </c>
      <c r="Y674" s="196" t="str">
        <f>IFERROR(VLOOKUP($F674,'[2]Chuyển đổi mã'!$A$1:$C$184,3,0),F674)</f>
        <v>NPP00000119</v>
      </c>
      <c r="Z674" s="196" t="str">
        <f>VLOOKUP($G674,'[2]Thông tin NPP'!$B:$D,3,0)</f>
        <v>NGUYỄN DUNG</v>
      </c>
      <c r="AA674" s="196" t="str">
        <f t="shared" si="175"/>
        <v>Richoco Wf</v>
      </c>
      <c r="AB674" s="196" t="str">
        <f>IFERROR(VLOOKUP(DAY(B674),'[2]Chuyển đổi mã'!$F$1:$G$32,2,0),0)</f>
        <v>W4</v>
      </c>
      <c r="AC674" s="196" t="str">
        <f t="shared" si="176"/>
        <v>331017</v>
      </c>
      <c r="AD674" s="196" t="str">
        <f t="shared" si="177"/>
        <v>NPP</v>
      </c>
      <c r="AE674" s="196" t="str">
        <f t="shared" si="178"/>
        <v>NPP331017</v>
      </c>
      <c r="AF674" s="196">
        <f t="shared" si="179"/>
        <v>0</v>
      </c>
    </row>
    <row r="675" spans="1:32" ht="12.95" hidden="1" customHeight="1">
      <c r="A675" s="197">
        <v>63308</v>
      </c>
      <c r="B675" s="198">
        <v>43580</v>
      </c>
      <c r="C675" s="197" t="s">
        <v>457</v>
      </c>
      <c r="D675" s="197" t="s">
        <v>672</v>
      </c>
      <c r="E675" s="197" t="s">
        <v>346</v>
      </c>
      <c r="F675" s="197" t="s">
        <v>414</v>
      </c>
      <c r="G675" s="199" t="s">
        <v>415</v>
      </c>
      <c r="H675" s="199" t="s">
        <v>296</v>
      </c>
      <c r="I675" s="199" t="s">
        <v>416</v>
      </c>
      <c r="J675" s="199" t="s">
        <v>350</v>
      </c>
      <c r="K675" s="197" t="s">
        <v>367</v>
      </c>
      <c r="L675" s="197" t="s">
        <v>352</v>
      </c>
      <c r="M675" s="200" t="s">
        <v>353</v>
      </c>
      <c r="N675" s="201">
        <v>50</v>
      </c>
      <c r="O675" s="202">
        <v>107728</v>
      </c>
      <c r="P675" s="203">
        <v>5386400</v>
      </c>
      <c r="Q675" s="203">
        <v>538640</v>
      </c>
      <c r="R675" s="203">
        <v>5925040</v>
      </c>
      <c r="S675" s="199"/>
      <c r="T675" s="199" t="s">
        <v>310</v>
      </c>
      <c r="U675" s="197">
        <v>61019</v>
      </c>
      <c r="V675" s="197"/>
      <c r="W675" s="196" t="s">
        <v>356</v>
      </c>
      <c r="X675" s="196" t="str">
        <f>+IFERROR(VLOOKUP($F675,'[2]Chuyển đổi mã'!$A$1:$C$91,3,0),$F675)&amp;AC675</f>
        <v>NPP00000119320463</v>
      </c>
      <c r="Y675" s="196" t="str">
        <f>IFERROR(VLOOKUP($F675,'[2]Chuyển đổi mã'!$A$1:$C$184,3,0),F675)</f>
        <v>NPP00000119</v>
      </c>
      <c r="Z675" s="196" t="str">
        <f>VLOOKUP($G675,'[2]Thông tin NPP'!$B:$D,3,0)</f>
        <v>NGUYỄN DUNG</v>
      </c>
      <c r="AA675" s="196" t="str">
        <f t="shared" ref="AA675:AA678" si="180">LEFT($M675,10)</f>
        <v>Na 8,5g</v>
      </c>
      <c r="AB675" s="196" t="str">
        <f>IFERROR(VLOOKUP(DAY(B675),'[2]Chuyển đổi mã'!$F$1:$G$32,2,0),0)</f>
        <v>W4</v>
      </c>
      <c r="AC675" s="196" t="str">
        <f t="shared" ref="AC675:AC678" si="181">LEFT(L675,6)</f>
        <v>320463</v>
      </c>
      <c r="AD675" s="196" t="str">
        <f t="shared" ref="AD675:AD678" si="182">LEFT(F675,3)</f>
        <v>NPP</v>
      </c>
      <c r="AE675" s="196" t="str">
        <f t="shared" ref="AE675:AE678" si="183">AD675&amp;AC675</f>
        <v>NPP320463</v>
      </c>
      <c r="AF675" s="196">
        <f t="shared" ref="AF675:AF678" si="184">IF(RIGHT(L675,1)="P","P",0)</f>
        <v>0</v>
      </c>
    </row>
    <row r="676" spans="1:32" ht="12.95" hidden="1" customHeight="1">
      <c r="A676" s="197">
        <v>63311</v>
      </c>
      <c r="B676" s="198">
        <v>43580</v>
      </c>
      <c r="C676" s="197" t="s">
        <v>457</v>
      </c>
      <c r="D676" s="197" t="s">
        <v>673</v>
      </c>
      <c r="E676" s="197" t="s">
        <v>346</v>
      </c>
      <c r="F676" s="197" t="s">
        <v>414</v>
      </c>
      <c r="G676" s="199" t="s">
        <v>415</v>
      </c>
      <c r="H676" s="199" t="s">
        <v>296</v>
      </c>
      <c r="I676" s="199" t="s">
        <v>416</v>
      </c>
      <c r="J676" s="199" t="s">
        <v>350</v>
      </c>
      <c r="K676" s="197" t="s">
        <v>367</v>
      </c>
      <c r="L676" s="197" t="s">
        <v>352</v>
      </c>
      <c r="M676" s="200" t="s">
        <v>353</v>
      </c>
      <c r="N676" s="201">
        <v>220</v>
      </c>
      <c r="O676" s="202">
        <v>107728</v>
      </c>
      <c r="P676" s="203">
        <v>23700160</v>
      </c>
      <c r="Q676" s="203">
        <v>2370016</v>
      </c>
      <c r="R676" s="203">
        <v>26070176</v>
      </c>
      <c r="S676" s="199"/>
      <c r="T676" s="199" t="s">
        <v>310</v>
      </c>
      <c r="U676" s="197">
        <v>61022</v>
      </c>
      <c r="V676" s="197" t="s">
        <v>310</v>
      </c>
      <c r="W676" s="196" t="s">
        <v>356</v>
      </c>
      <c r="X676" s="196" t="str">
        <f>+IFERROR(VLOOKUP($F676,'[2]Chuyển đổi mã'!$A$1:$C$91,3,0),$F676)&amp;AC676</f>
        <v>NPP00000119320463</v>
      </c>
      <c r="Y676" s="196" t="str">
        <f>IFERROR(VLOOKUP($F676,'[2]Chuyển đổi mã'!$A$1:$C$184,3,0),F676)</f>
        <v>NPP00000119</v>
      </c>
      <c r="Z676" s="196" t="str">
        <f>VLOOKUP($G676,'[2]Thông tin NPP'!$B:$D,3,0)</f>
        <v>NGUYỄN DUNG</v>
      </c>
      <c r="AA676" s="196" t="str">
        <f t="shared" si="180"/>
        <v>Na 8,5g</v>
      </c>
      <c r="AB676" s="196" t="str">
        <f>IFERROR(VLOOKUP(DAY(B676),'[2]Chuyển đổi mã'!$F$1:$G$32,2,0),0)</f>
        <v>W4</v>
      </c>
      <c r="AC676" s="196" t="str">
        <f t="shared" si="181"/>
        <v>320463</v>
      </c>
      <c r="AD676" s="196" t="str">
        <f t="shared" si="182"/>
        <v>NPP</v>
      </c>
      <c r="AE676" s="196" t="str">
        <f t="shared" si="183"/>
        <v>NPP320463</v>
      </c>
      <c r="AF676" s="196">
        <f t="shared" si="184"/>
        <v>0</v>
      </c>
    </row>
    <row r="677" spans="1:32" ht="12.95" hidden="1" customHeight="1">
      <c r="A677" s="197">
        <v>63311</v>
      </c>
      <c r="B677" s="198">
        <v>43580</v>
      </c>
      <c r="C677" s="197" t="s">
        <v>457</v>
      </c>
      <c r="D677" s="197" t="s">
        <v>673</v>
      </c>
      <c r="E677" s="197" t="s">
        <v>346</v>
      </c>
      <c r="F677" s="197" t="s">
        <v>414</v>
      </c>
      <c r="G677" s="199" t="s">
        <v>415</v>
      </c>
      <c r="H677" s="199" t="s">
        <v>296</v>
      </c>
      <c r="I677" s="199" t="s">
        <v>416</v>
      </c>
      <c r="J677" s="199" t="s">
        <v>350</v>
      </c>
      <c r="K677" s="197" t="s">
        <v>367</v>
      </c>
      <c r="L677" s="197" t="s">
        <v>387</v>
      </c>
      <c r="M677" s="200" t="s">
        <v>388</v>
      </c>
      <c r="N677" s="201">
        <v>40</v>
      </c>
      <c r="O677" s="202">
        <v>312800</v>
      </c>
      <c r="P677" s="203">
        <v>12512000</v>
      </c>
      <c r="Q677" s="203">
        <v>1251200</v>
      </c>
      <c r="R677" s="203">
        <v>13763200</v>
      </c>
      <c r="S677" s="199"/>
      <c r="T677" s="199" t="s">
        <v>310</v>
      </c>
      <c r="U677" s="197">
        <v>61022</v>
      </c>
      <c r="V677" s="197" t="s">
        <v>310</v>
      </c>
      <c r="W677" s="196" t="s">
        <v>356</v>
      </c>
      <c r="X677" s="196" t="str">
        <f>+IFERROR(VLOOKUP($F677,'[2]Chuyển đổi mã'!$A$1:$C$91,3,0),$F677)&amp;AC677</f>
        <v>NPP00000119323620</v>
      </c>
      <c r="Y677" s="196" t="str">
        <f>IFERROR(VLOOKUP($F677,'[2]Chuyển đổi mã'!$A$1:$C$184,3,0),F677)</f>
        <v>NPP00000119</v>
      </c>
      <c r="Z677" s="196" t="str">
        <f>VLOOKUP($G677,'[2]Thông tin NPP'!$B:$D,3,0)</f>
        <v>NGUYỄN DUNG</v>
      </c>
      <c r="AA677" s="196" t="str">
        <f t="shared" si="180"/>
        <v>Ahh 16g</v>
      </c>
      <c r="AB677" s="196" t="str">
        <f>IFERROR(VLOOKUP(DAY(B677),'[2]Chuyển đổi mã'!$F$1:$G$32,2,0),0)</f>
        <v>W4</v>
      </c>
      <c r="AC677" s="196" t="str">
        <f t="shared" si="181"/>
        <v>323620</v>
      </c>
      <c r="AD677" s="196" t="str">
        <f t="shared" si="182"/>
        <v>NPP</v>
      </c>
      <c r="AE677" s="196" t="str">
        <f t="shared" si="183"/>
        <v>NPP323620</v>
      </c>
      <c r="AF677" s="196">
        <f t="shared" si="184"/>
        <v>0</v>
      </c>
    </row>
    <row r="678" spans="1:32" ht="12.95" hidden="1" customHeight="1">
      <c r="A678" s="197">
        <v>63311</v>
      </c>
      <c r="B678" s="198">
        <v>43580</v>
      </c>
      <c r="C678" s="197" t="s">
        <v>457</v>
      </c>
      <c r="D678" s="197" t="s">
        <v>673</v>
      </c>
      <c r="E678" s="197" t="s">
        <v>346</v>
      </c>
      <c r="F678" s="197" t="s">
        <v>414</v>
      </c>
      <c r="G678" s="199" t="s">
        <v>415</v>
      </c>
      <c r="H678" s="199" t="s">
        <v>296</v>
      </c>
      <c r="I678" s="199" t="s">
        <v>416</v>
      </c>
      <c r="J678" s="199" t="s">
        <v>350</v>
      </c>
      <c r="K678" s="197" t="s">
        <v>367</v>
      </c>
      <c r="L678" s="197" t="s">
        <v>357</v>
      </c>
      <c r="M678" s="200" t="s">
        <v>358</v>
      </c>
      <c r="N678" s="201">
        <v>100</v>
      </c>
      <c r="O678" s="202">
        <v>187680</v>
      </c>
      <c r="P678" s="203">
        <v>18768000</v>
      </c>
      <c r="Q678" s="203">
        <v>1876800</v>
      </c>
      <c r="R678" s="203">
        <v>20644800</v>
      </c>
      <c r="S678" s="199"/>
      <c r="T678" s="199" t="s">
        <v>310</v>
      </c>
      <c r="U678" s="197">
        <v>61022</v>
      </c>
      <c r="V678" s="197" t="s">
        <v>310</v>
      </c>
      <c r="W678" s="196" t="s">
        <v>356</v>
      </c>
      <c r="X678" s="196" t="str">
        <f>+IFERROR(VLOOKUP($F678,'[2]Chuyển đổi mã'!$A$1:$C$91,3,0),$F678)&amp;AC678</f>
        <v>NPP00000119323555</v>
      </c>
      <c r="Y678" s="196" t="str">
        <f>IFERROR(VLOOKUP($F678,'[2]Chuyển đổi mã'!$A$1:$C$184,3,0),F678)</f>
        <v>NPP00000119</v>
      </c>
      <c r="Z678" s="196" t="str">
        <f>VLOOKUP($G678,'[2]Thông tin NPP'!$B:$D,3,0)</f>
        <v>NGUYỄN DUNG</v>
      </c>
      <c r="AA678" s="196" t="str">
        <f t="shared" si="180"/>
        <v>Na 17g - M</v>
      </c>
      <c r="AB678" s="196" t="str">
        <f>IFERROR(VLOOKUP(DAY(B678),'[2]Chuyển đổi mã'!$F$1:$G$32,2,0),0)</f>
        <v>W4</v>
      </c>
      <c r="AC678" s="196" t="str">
        <f t="shared" si="181"/>
        <v>323555</v>
      </c>
      <c r="AD678" s="196" t="str">
        <f t="shared" si="182"/>
        <v>NPP</v>
      </c>
      <c r="AE678" s="196" t="str">
        <f t="shared" si="183"/>
        <v>NPP323555</v>
      </c>
      <c r="AF678" s="196">
        <f t="shared" si="184"/>
        <v>0</v>
      </c>
    </row>
    <row r="679" spans="1:32" ht="12.95" hidden="1" customHeight="1">
      <c r="A679" s="197">
        <v>63325</v>
      </c>
      <c r="B679" s="198">
        <v>43580</v>
      </c>
      <c r="C679" s="197" t="s">
        <v>457</v>
      </c>
      <c r="D679" s="197" t="s">
        <v>674</v>
      </c>
      <c r="E679" s="197" t="s">
        <v>346</v>
      </c>
      <c r="F679" s="197" t="s">
        <v>503</v>
      </c>
      <c r="G679" s="199" t="s">
        <v>504</v>
      </c>
      <c r="H679" s="199" t="s">
        <v>296</v>
      </c>
      <c r="I679" s="199" t="s">
        <v>395</v>
      </c>
      <c r="J679" s="199" t="s">
        <v>350</v>
      </c>
      <c r="K679" s="197" t="s">
        <v>351</v>
      </c>
      <c r="L679" s="197" t="s">
        <v>352</v>
      </c>
      <c r="M679" s="200" t="s">
        <v>353</v>
      </c>
      <c r="N679" s="201">
        <v>6</v>
      </c>
      <c r="O679" s="202">
        <v>155455</v>
      </c>
      <c r="P679" s="203">
        <v>932730</v>
      </c>
      <c r="Q679" s="203">
        <v>93273</v>
      </c>
      <c r="R679" s="203">
        <v>1026003</v>
      </c>
      <c r="S679" s="199"/>
      <c r="T679" s="199" t="s">
        <v>310</v>
      </c>
      <c r="U679" s="197">
        <v>61122</v>
      </c>
      <c r="V679" s="197"/>
      <c r="W679" s="196" t="s">
        <v>356</v>
      </c>
      <c r="X679" s="196" t="str">
        <f>+IFERROR(VLOOKUP($F679,'[2]Chuyển đổi mã'!$A$1:$C$91,3,0),$F679)&amp;AC679</f>
        <v>Big C North320463</v>
      </c>
      <c r="Y679" s="196" t="str">
        <f>IFERROR(VLOOKUP($F679,'[2]Chuyển đổi mã'!$A$1:$C$184,3,0),F679)</f>
        <v>Big C North</v>
      </c>
      <c r="Z679" s="196" t="str">
        <f>VLOOKUP($G679,'[2]Thông tin NPP'!$B:$D,3,0)</f>
        <v>BIG C North</v>
      </c>
      <c r="AA679" s="196" t="str">
        <f t="shared" ref="AA679:AA710" si="185">LEFT($M679,10)</f>
        <v>Na 8,5g</v>
      </c>
      <c r="AB679" s="196" t="str">
        <f>IFERROR(VLOOKUP(DAY(B679),'[2]Chuyển đổi mã'!$F$1:$G$32,2,0),0)</f>
        <v>W4</v>
      </c>
      <c r="AC679" s="196" t="str">
        <f t="shared" ref="AC679:AC710" si="186">LEFT(L679,6)</f>
        <v>320463</v>
      </c>
      <c r="AD679" s="196" t="str">
        <f t="shared" ref="AD679:AD710" si="187">LEFT(F679,3)</f>
        <v>NPP</v>
      </c>
      <c r="AE679" s="196" t="str">
        <f t="shared" ref="AE679:AE710" si="188">AD679&amp;AC679</f>
        <v>NPP320463</v>
      </c>
      <c r="AF679" s="196">
        <f t="shared" ref="AF679:AF710" si="189">IF(RIGHT(L679,1)="P","P",0)</f>
        <v>0</v>
      </c>
    </row>
    <row r="680" spans="1:32" ht="12.95" hidden="1" customHeight="1">
      <c r="A680" s="197">
        <v>63325</v>
      </c>
      <c r="B680" s="198">
        <v>43580</v>
      </c>
      <c r="C680" s="197" t="s">
        <v>457</v>
      </c>
      <c r="D680" s="197" t="s">
        <v>674</v>
      </c>
      <c r="E680" s="197" t="s">
        <v>346</v>
      </c>
      <c r="F680" s="197" t="s">
        <v>503</v>
      </c>
      <c r="G680" s="199" t="s">
        <v>504</v>
      </c>
      <c r="H680" s="199" t="s">
        <v>296</v>
      </c>
      <c r="I680" s="199" t="s">
        <v>395</v>
      </c>
      <c r="J680" s="199" t="s">
        <v>350</v>
      </c>
      <c r="K680" s="197" t="s">
        <v>351</v>
      </c>
      <c r="L680" s="197" t="s">
        <v>357</v>
      </c>
      <c r="M680" s="200" t="s">
        <v>358</v>
      </c>
      <c r="N680" s="201">
        <v>5</v>
      </c>
      <c r="O680" s="202">
        <v>213273</v>
      </c>
      <c r="P680" s="203">
        <v>1066365</v>
      </c>
      <c r="Q680" s="203">
        <v>106636.5</v>
      </c>
      <c r="R680" s="203">
        <v>1173001.5</v>
      </c>
      <c r="S680" s="199"/>
      <c r="T680" s="199" t="s">
        <v>310</v>
      </c>
      <c r="U680" s="197">
        <v>61122</v>
      </c>
      <c r="V680" s="197"/>
      <c r="W680" s="196" t="s">
        <v>356</v>
      </c>
      <c r="X680" s="196" t="str">
        <f>+IFERROR(VLOOKUP($F680,'[2]Chuyển đổi mã'!$A$1:$C$91,3,0),$F680)&amp;AC680</f>
        <v>Big C North323555</v>
      </c>
      <c r="Y680" s="196" t="str">
        <f>IFERROR(VLOOKUP($F680,'[2]Chuyển đổi mã'!$A$1:$C$184,3,0),F680)</f>
        <v>Big C North</v>
      </c>
      <c r="Z680" s="196" t="str">
        <f>VLOOKUP($G680,'[2]Thông tin NPP'!$B:$D,3,0)</f>
        <v>BIG C North</v>
      </c>
      <c r="AA680" s="196" t="str">
        <f t="shared" si="185"/>
        <v>Na 17g - M</v>
      </c>
      <c r="AB680" s="196" t="str">
        <f>IFERROR(VLOOKUP(DAY(B680),'[2]Chuyển đổi mã'!$F$1:$G$32,2,0),0)</f>
        <v>W4</v>
      </c>
      <c r="AC680" s="196" t="str">
        <f t="shared" si="186"/>
        <v>323555</v>
      </c>
      <c r="AD680" s="196" t="str">
        <f t="shared" si="187"/>
        <v>NPP</v>
      </c>
      <c r="AE680" s="196" t="str">
        <f t="shared" si="188"/>
        <v>NPP323555</v>
      </c>
      <c r="AF680" s="196">
        <f t="shared" si="189"/>
        <v>0</v>
      </c>
    </row>
    <row r="681" spans="1:32" ht="12.95" hidden="1" customHeight="1">
      <c r="A681" s="197">
        <v>63328</v>
      </c>
      <c r="B681" s="198">
        <v>43580</v>
      </c>
      <c r="C681" s="197" t="s">
        <v>457</v>
      </c>
      <c r="D681" s="197" t="s">
        <v>675</v>
      </c>
      <c r="E681" s="197" t="s">
        <v>346</v>
      </c>
      <c r="F681" s="197" t="s">
        <v>509</v>
      </c>
      <c r="G681" s="199" t="s">
        <v>510</v>
      </c>
      <c r="H681" s="199" t="s">
        <v>296</v>
      </c>
      <c r="I681" s="199" t="s">
        <v>443</v>
      </c>
      <c r="J681" s="199" t="s">
        <v>350</v>
      </c>
      <c r="K681" s="197" t="s">
        <v>351</v>
      </c>
      <c r="L681" s="197" t="s">
        <v>352</v>
      </c>
      <c r="M681" s="200" t="s">
        <v>353</v>
      </c>
      <c r="N681" s="201">
        <v>3</v>
      </c>
      <c r="O681" s="202">
        <v>155455</v>
      </c>
      <c r="P681" s="203">
        <v>466365</v>
      </c>
      <c r="Q681" s="203">
        <v>46636.5</v>
      </c>
      <c r="R681" s="203">
        <v>513001.5</v>
      </c>
      <c r="S681" s="199"/>
      <c r="T681" s="199" t="s">
        <v>310</v>
      </c>
      <c r="U681" s="197">
        <v>61123</v>
      </c>
      <c r="V681" s="197"/>
      <c r="W681" s="196" t="s">
        <v>356</v>
      </c>
      <c r="X681" s="196" t="str">
        <f>+IFERROR(VLOOKUP($F681,'[2]Chuyển đổi mã'!$A$1:$C$91,3,0),$F681)&amp;AC681</f>
        <v>Big C Central320463</v>
      </c>
      <c r="Y681" s="196" t="str">
        <f>IFERROR(VLOOKUP($F681,'[2]Chuyển đổi mã'!$A$1:$C$184,3,0),F681)</f>
        <v>Big C Central</v>
      </c>
      <c r="Z681" s="196" t="str">
        <f>VLOOKUP($G681,'[2]Thông tin NPP'!$B:$D,3,0)</f>
        <v>BIG C Central</v>
      </c>
      <c r="AA681" s="196" t="str">
        <f t="shared" si="185"/>
        <v>Na 8,5g</v>
      </c>
      <c r="AB681" s="196" t="str">
        <f>IFERROR(VLOOKUP(DAY(B681),'[2]Chuyển đổi mã'!$F$1:$G$32,2,0),0)</f>
        <v>W4</v>
      </c>
      <c r="AC681" s="196" t="str">
        <f t="shared" si="186"/>
        <v>320463</v>
      </c>
      <c r="AD681" s="196" t="str">
        <f t="shared" si="187"/>
        <v>NPP</v>
      </c>
      <c r="AE681" s="196" t="str">
        <f t="shared" si="188"/>
        <v>NPP320463</v>
      </c>
      <c r="AF681" s="196">
        <f t="shared" si="189"/>
        <v>0</v>
      </c>
    </row>
    <row r="682" spans="1:32" ht="12.95" hidden="1" customHeight="1">
      <c r="A682" s="197">
        <v>63328</v>
      </c>
      <c r="B682" s="198">
        <v>43580</v>
      </c>
      <c r="C682" s="197" t="s">
        <v>457</v>
      </c>
      <c r="D682" s="197" t="s">
        <v>675</v>
      </c>
      <c r="E682" s="197" t="s">
        <v>346</v>
      </c>
      <c r="F682" s="197" t="s">
        <v>509</v>
      </c>
      <c r="G682" s="199" t="s">
        <v>510</v>
      </c>
      <c r="H682" s="199" t="s">
        <v>296</v>
      </c>
      <c r="I682" s="199" t="s">
        <v>443</v>
      </c>
      <c r="J682" s="199" t="s">
        <v>350</v>
      </c>
      <c r="K682" s="197" t="s">
        <v>351</v>
      </c>
      <c r="L682" s="197" t="s">
        <v>387</v>
      </c>
      <c r="M682" s="200" t="s">
        <v>388</v>
      </c>
      <c r="N682" s="201">
        <v>1</v>
      </c>
      <c r="O682" s="202">
        <v>355455</v>
      </c>
      <c r="P682" s="203">
        <v>355455</v>
      </c>
      <c r="Q682" s="203">
        <v>35545.5</v>
      </c>
      <c r="R682" s="203">
        <v>391000.5</v>
      </c>
      <c r="S682" s="199"/>
      <c r="T682" s="199" t="s">
        <v>310</v>
      </c>
      <c r="U682" s="197">
        <v>61123</v>
      </c>
      <c r="V682" s="197"/>
      <c r="W682" s="196" t="s">
        <v>356</v>
      </c>
      <c r="X682" s="196" t="str">
        <f>+IFERROR(VLOOKUP($F682,'[2]Chuyển đổi mã'!$A$1:$C$91,3,0),$F682)&amp;AC682</f>
        <v>Big C Central323620</v>
      </c>
      <c r="Y682" s="196" t="str">
        <f>IFERROR(VLOOKUP($F682,'[2]Chuyển đổi mã'!$A$1:$C$184,3,0),F682)</f>
        <v>Big C Central</v>
      </c>
      <c r="Z682" s="196" t="str">
        <f>VLOOKUP($G682,'[2]Thông tin NPP'!$B:$D,3,0)</f>
        <v>BIG C Central</v>
      </c>
      <c r="AA682" s="196" t="str">
        <f t="shared" si="185"/>
        <v>Ahh 16g</v>
      </c>
      <c r="AB682" s="196" t="str">
        <f>IFERROR(VLOOKUP(DAY(B682),'[2]Chuyển đổi mã'!$F$1:$G$32,2,0),0)</f>
        <v>W4</v>
      </c>
      <c r="AC682" s="196" t="str">
        <f t="shared" si="186"/>
        <v>323620</v>
      </c>
      <c r="AD682" s="196" t="str">
        <f t="shared" si="187"/>
        <v>NPP</v>
      </c>
      <c r="AE682" s="196" t="str">
        <f t="shared" si="188"/>
        <v>NPP323620</v>
      </c>
      <c r="AF682" s="196">
        <f t="shared" si="189"/>
        <v>0</v>
      </c>
    </row>
    <row r="683" spans="1:32" ht="12.95" hidden="1" customHeight="1">
      <c r="A683" s="197">
        <v>63328</v>
      </c>
      <c r="B683" s="198">
        <v>43580</v>
      </c>
      <c r="C683" s="197" t="s">
        <v>457</v>
      </c>
      <c r="D683" s="197" t="s">
        <v>675</v>
      </c>
      <c r="E683" s="197" t="s">
        <v>346</v>
      </c>
      <c r="F683" s="197" t="s">
        <v>509</v>
      </c>
      <c r="G683" s="199" t="s">
        <v>510</v>
      </c>
      <c r="H683" s="199" t="s">
        <v>296</v>
      </c>
      <c r="I683" s="199" t="s">
        <v>443</v>
      </c>
      <c r="J683" s="199" t="s">
        <v>350</v>
      </c>
      <c r="K683" s="197" t="s">
        <v>351</v>
      </c>
      <c r="L683" s="197" t="s">
        <v>359</v>
      </c>
      <c r="M683" s="200" t="s">
        <v>360</v>
      </c>
      <c r="N683" s="201">
        <v>3</v>
      </c>
      <c r="O683" s="202">
        <v>313636</v>
      </c>
      <c r="P683" s="203">
        <v>940908</v>
      </c>
      <c r="Q683" s="203">
        <v>94090.8</v>
      </c>
      <c r="R683" s="203">
        <v>1034998.8</v>
      </c>
      <c r="S683" s="199"/>
      <c r="T683" s="199" t="s">
        <v>310</v>
      </c>
      <c r="U683" s="197">
        <v>61123</v>
      </c>
      <c r="V683" s="197"/>
      <c r="W683" s="196" t="s">
        <v>356</v>
      </c>
      <c r="X683" s="196" t="str">
        <f>+IFERROR(VLOOKUP($F683,'[2]Chuyển đổi mã'!$A$1:$C$91,3,0),$F683)&amp;AC683</f>
        <v>Big C Central320445</v>
      </c>
      <c r="Y683" s="196" t="str">
        <f>IFERROR(VLOOKUP($F683,'[2]Chuyển đổi mã'!$A$1:$C$184,3,0),F683)</f>
        <v>Big C Central</v>
      </c>
      <c r="Z683" s="196" t="str">
        <f>VLOOKUP($G683,'[2]Thông tin NPP'!$B:$D,3,0)</f>
        <v>BIG C Central</v>
      </c>
      <c r="AA683" s="196" t="str">
        <f t="shared" si="185"/>
        <v>Na 58g</v>
      </c>
      <c r="AB683" s="196" t="str">
        <f>IFERROR(VLOOKUP(DAY(B683),'[2]Chuyển đổi mã'!$F$1:$G$32,2,0),0)</f>
        <v>W4</v>
      </c>
      <c r="AC683" s="196" t="str">
        <f t="shared" si="186"/>
        <v>320445</v>
      </c>
      <c r="AD683" s="196" t="str">
        <f t="shared" si="187"/>
        <v>NPP</v>
      </c>
      <c r="AE683" s="196" t="str">
        <f t="shared" si="188"/>
        <v>NPP320445</v>
      </c>
      <c r="AF683" s="196">
        <f t="shared" si="189"/>
        <v>0</v>
      </c>
    </row>
    <row r="684" spans="1:32" ht="12.95" hidden="1" customHeight="1">
      <c r="A684" s="197">
        <v>63328</v>
      </c>
      <c r="B684" s="198">
        <v>43580</v>
      </c>
      <c r="C684" s="197" t="s">
        <v>457</v>
      </c>
      <c r="D684" s="197" t="s">
        <v>675</v>
      </c>
      <c r="E684" s="197" t="s">
        <v>346</v>
      </c>
      <c r="F684" s="197" t="s">
        <v>509</v>
      </c>
      <c r="G684" s="199" t="s">
        <v>510</v>
      </c>
      <c r="H684" s="199" t="s">
        <v>296</v>
      </c>
      <c r="I684" s="199" t="s">
        <v>443</v>
      </c>
      <c r="J684" s="199" t="s">
        <v>350</v>
      </c>
      <c r="K684" s="197" t="s">
        <v>351</v>
      </c>
      <c r="L684" s="197" t="s">
        <v>361</v>
      </c>
      <c r="M684" s="200" t="s">
        <v>362</v>
      </c>
      <c r="N684" s="201">
        <v>1</v>
      </c>
      <c r="O684" s="202">
        <v>313636</v>
      </c>
      <c r="P684" s="203">
        <v>313636</v>
      </c>
      <c r="Q684" s="203">
        <v>31363.599999999999</v>
      </c>
      <c r="R684" s="203">
        <v>344999.6</v>
      </c>
      <c r="S684" s="199"/>
      <c r="T684" s="199" t="s">
        <v>310</v>
      </c>
      <c r="U684" s="197">
        <v>61123</v>
      </c>
      <c r="V684" s="197"/>
      <c r="W684" s="196" t="s">
        <v>356</v>
      </c>
      <c r="X684" s="196" t="str">
        <f>+IFERROR(VLOOKUP($F684,'[2]Chuyển đổi mã'!$A$1:$C$91,3,0),$F684)&amp;AC684</f>
        <v>Big C Central331017</v>
      </c>
      <c r="Y684" s="196" t="str">
        <f>IFERROR(VLOOKUP($F684,'[2]Chuyển đổi mã'!$A$1:$C$184,3,0),F684)</f>
        <v>Big C Central</v>
      </c>
      <c r="Z684" s="196" t="str">
        <f>VLOOKUP($G684,'[2]Thông tin NPP'!$B:$D,3,0)</f>
        <v>BIG C Central</v>
      </c>
      <c r="AA684" s="196" t="str">
        <f t="shared" si="185"/>
        <v>Richoco Wf</v>
      </c>
      <c r="AB684" s="196" t="str">
        <f>IFERROR(VLOOKUP(DAY(B684),'[2]Chuyển đổi mã'!$F$1:$G$32,2,0),0)</f>
        <v>W4</v>
      </c>
      <c r="AC684" s="196" t="str">
        <f t="shared" si="186"/>
        <v>331017</v>
      </c>
      <c r="AD684" s="196" t="str">
        <f t="shared" si="187"/>
        <v>NPP</v>
      </c>
      <c r="AE684" s="196" t="str">
        <f t="shared" si="188"/>
        <v>NPP331017</v>
      </c>
      <c r="AF684" s="196">
        <f t="shared" si="189"/>
        <v>0</v>
      </c>
    </row>
    <row r="685" spans="1:32" ht="12.95" hidden="1" customHeight="1">
      <c r="A685" s="197">
        <v>63328</v>
      </c>
      <c r="B685" s="198">
        <v>43580</v>
      </c>
      <c r="C685" s="197" t="s">
        <v>457</v>
      </c>
      <c r="D685" s="197" t="s">
        <v>675</v>
      </c>
      <c r="E685" s="197" t="s">
        <v>346</v>
      </c>
      <c r="F685" s="197" t="s">
        <v>509</v>
      </c>
      <c r="G685" s="199" t="s">
        <v>510</v>
      </c>
      <c r="H685" s="199" t="s">
        <v>296</v>
      </c>
      <c r="I685" s="199" t="s">
        <v>443</v>
      </c>
      <c r="J685" s="199" t="s">
        <v>350</v>
      </c>
      <c r="K685" s="197" t="s">
        <v>351</v>
      </c>
      <c r="L685" s="197" t="s">
        <v>363</v>
      </c>
      <c r="M685" s="200" t="s">
        <v>364</v>
      </c>
      <c r="N685" s="201">
        <v>2</v>
      </c>
      <c r="O685" s="202">
        <v>334545</v>
      </c>
      <c r="P685" s="203">
        <v>669090</v>
      </c>
      <c r="Q685" s="203">
        <v>66909</v>
      </c>
      <c r="R685" s="203">
        <v>735999</v>
      </c>
      <c r="S685" s="199"/>
      <c r="T685" s="199" t="s">
        <v>310</v>
      </c>
      <c r="U685" s="197">
        <v>61123</v>
      </c>
      <c r="V685" s="197"/>
      <c r="W685" s="196" t="s">
        <v>356</v>
      </c>
      <c r="X685" s="196" t="str">
        <f>+IFERROR(VLOOKUP($F685,'[2]Chuyển đổi mã'!$A$1:$C$91,3,0),$F685)&amp;AC685</f>
        <v>Big C Central323708</v>
      </c>
      <c r="Y685" s="196" t="str">
        <f>IFERROR(VLOOKUP($F685,'[2]Chuyển đổi mã'!$A$1:$C$184,3,0),F685)</f>
        <v>Big C Central</v>
      </c>
      <c r="Z685" s="196" t="str">
        <f>VLOOKUP($G685,'[2]Thông tin NPP'!$B:$D,3,0)</f>
        <v>BIG C Central</v>
      </c>
      <c r="AA685" s="196" t="str">
        <f t="shared" si="185"/>
        <v>Nextar Bro</v>
      </c>
      <c r="AB685" s="196" t="str">
        <f>IFERROR(VLOOKUP(DAY(B685),'[2]Chuyển đổi mã'!$F$1:$G$32,2,0),0)</f>
        <v>W4</v>
      </c>
      <c r="AC685" s="196" t="str">
        <f t="shared" si="186"/>
        <v>323708</v>
      </c>
      <c r="AD685" s="196" t="str">
        <f t="shared" si="187"/>
        <v>NPP</v>
      </c>
      <c r="AE685" s="196" t="str">
        <f t="shared" si="188"/>
        <v>NPP323708</v>
      </c>
      <c r="AF685" s="196">
        <f t="shared" si="189"/>
        <v>0</v>
      </c>
    </row>
    <row r="686" spans="1:32" ht="12.95" hidden="1" customHeight="1">
      <c r="A686" s="197">
        <v>63330</v>
      </c>
      <c r="B686" s="198">
        <v>43580</v>
      </c>
      <c r="C686" s="197" t="s">
        <v>457</v>
      </c>
      <c r="D686" s="197" t="s">
        <v>676</v>
      </c>
      <c r="E686" s="197" t="s">
        <v>346</v>
      </c>
      <c r="F686" s="197" t="s">
        <v>576</v>
      </c>
      <c r="G686" s="199" t="s">
        <v>577</v>
      </c>
      <c r="H686" s="199" t="s">
        <v>296</v>
      </c>
      <c r="I686" s="199" t="s">
        <v>443</v>
      </c>
      <c r="J686" s="199" t="s">
        <v>350</v>
      </c>
      <c r="K686" s="197" t="s">
        <v>351</v>
      </c>
      <c r="L686" s="197" t="s">
        <v>352</v>
      </c>
      <c r="M686" s="200" t="s">
        <v>353</v>
      </c>
      <c r="N686" s="201">
        <v>6</v>
      </c>
      <c r="O686" s="202">
        <v>155455</v>
      </c>
      <c r="P686" s="203">
        <v>932730</v>
      </c>
      <c r="Q686" s="203">
        <v>93273</v>
      </c>
      <c r="R686" s="203">
        <v>1026003</v>
      </c>
      <c r="S686" s="199"/>
      <c r="T686" s="199" t="s">
        <v>310</v>
      </c>
      <c r="U686" s="197">
        <v>61125</v>
      </c>
      <c r="V686" s="197"/>
      <c r="W686" s="196" t="s">
        <v>356</v>
      </c>
      <c r="X686" s="196" t="str">
        <f>+IFERROR(VLOOKUP($F686,'[2]Chuyển đổi mã'!$A$1:$C$91,3,0),$F686)&amp;AC686</f>
        <v>Big C Central320463</v>
      </c>
      <c r="Y686" s="196" t="str">
        <f>IFERROR(VLOOKUP($F686,'[2]Chuyển đổi mã'!$A$1:$C$184,3,0),F686)</f>
        <v>Big C Central</v>
      </c>
      <c r="Z686" s="196" t="str">
        <f>VLOOKUP($G686,'[2]Thông tin NPP'!$B:$D,3,0)</f>
        <v>BIG C Central</v>
      </c>
      <c r="AA686" s="196" t="str">
        <f t="shared" si="185"/>
        <v>Na 8,5g</v>
      </c>
      <c r="AB686" s="196" t="str">
        <f>IFERROR(VLOOKUP(DAY(B686),'[2]Chuyển đổi mã'!$F$1:$G$32,2,0),0)</f>
        <v>W4</v>
      </c>
      <c r="AC686" s="196" t="str">
        <f t="shared" si="186"/>
        <v>320463</v>
      </c>
      <c r="AD686" s="196" t="str">
        <f t="shared" si="187"/>
        <v>NPP</v>
      </c>
      <c r="AE686" s="196" t="str">
        <f t="shared" si="188"/>
        <v>NPP320463</v>
      </c>
      <c r="AF686" s="196">
        <f t="shared" si="189"/>
        <v>0</v>
      </c>
    </row>
    <row r="687" spans="1:32" ht="12.95" hidden="1" customHeight="1">
      <c r="A687" s="197">
        <v>63330</v>
      </c>
      <c r="B687" s="198">
        <v>43580</v>
      </c>
      <c r="C687" s="197" t="s">
        <v>457</v>
      </c>
      <c r="D687" s="197" t="s">
        <v>676</v>
      </c>
      <c r="E687" s="197" t="s">
        <v>346</v>
      </c>
      <c r="F687" s="197" t="s">
        <v>576</v>
      </c>
      <c r="G687" s="199" t="s">
        <v>577</v>
      </c>
      <c r="H687" s="199" t="s">
        <v>296</v>
      </c>
      <c r="I687" s="199" t="s">
        <v>443</v>
      </c>
      <c r="J687" s="199" t="s">
        <v>350</v>
      </c>
      <c r="K687" s="197" t="s">
        <v>351</v>
      </c>
      <c r="L687" s="197" t="s">
        <v>387</v>
      </c>
      <c r="M687" s="200" t="s">
        <v>388</v>
      </c>
      <c r="N687" s="201">
        <v>1</v>
      </c>
      <c r="O687" s="202">
        <v>355455</v>
      </c>
      <c r="P687" s="203">
        <v>355455</v>
      </c>
      <c r="Q687" s="203">
        <v>35545.5</v>
      </c>
      <c r="R687" s="203">
        <v>391000.5</v>
      </c>
      <c r="S687" s="199"/>
      <c r="T687" s="199" t="s">
        <v>310</v>
      </c>
      <c r="U687" s="197">
        <v>61125</v>
      </c>
      <c r="V687" s="197"/>
      <c r="W687" s="196" t="s">
        <v>356</v>
      </c>
      <c r="X687" s="196" t="str">
        <f>+IFERROR(VLOOKUP($F687,'[2]Chuyển đổi mã'!$A$1:$C$91,3,0),$F687)&amp;AC687</f>
        <v>Big C Central323620</v>
      </c>
      <c r="Y687" s="196" t="str">
        <f>IFERROR(VLOOKUP($F687,'[2]Chuyển đổi mã'!$A$1:$C$184,3,0),F687)</f>
        <v>Big C Central</v>
      </c>
      <c r="Z687" s="196" t="str">
        <f>VLOOKUP($G687,'[2]Thông tin NPP'!$B:$D,3,0)</f>
        <v>BIG C Central</v>
      </c>
      <c r="AA687" s="196" t="str">
        <f t="shared" si="185"/>
        <v>Ahh 16g</v>
      </c>
      <c r="AB687" s="196" t="str">
        <f>IFERROR(VLOOKUP(DAY(B687),'[2]Chuyển đổi mã'!$F$1:$G$32,2,0),0)</f>
        <v>W4</v>
      </c>
      <c r="AC687" s="196" t="str">
        <f t="shared" si="186"/>
        <v>323620</v>
      </c>
      <c r="AD687" s="196" t="str">
        <f t="shared" si="187"/>
        <v>NPP</v>
      </c>
      <c r="AE687" s="196" t="str">
        <f t="shared" si="188"/>
        <v>NPP323620</v>
      </c>
      <c r="AF687" s="196">
        <f t="shared" si="189"/>
        <v>0</v>
      </c>
    </row>
    <row r="688" spans="1:32" ht="12.95" hidden="1" customHeight="1">
      <c r="A688" s="197">
        <v>63330</v>
      </c>
      <c r="B688" s="198">
        <v>43580</v>
      </c>
      <c r="C688" s="197" t="s">
        <v>457</v>
      </c>
      <c r="D688" s="197" t="s">
        <v>676</v>
      </c>
      <c r="E688" s="197" t="s">
        <v>346</v>
      </c>
      <c r="F688" s="197" t="s">
        <v>576</v>
      </c>
      <c r="G688" s="199" t="s">
        <v>577</v>
      </c>
      <c r="H688" s="199" t="s">
        <v>296</v>
      </c>
      <c r="I688" s="199" t="s">
        <v>443</v>
      </c>
      <c r="J688" s="199" t="s">
        <v>350</v>
      </c>
      <c r="K688" s="197" t="s">
        <v>351</v>
      </c>
      <c r="L688" s="197" t="s">
        <v>357</v>
      </c>
      <c r="M688" s="200" t="s">
        <v>358</v>
      </c>
      <c r="N688" s="201">
        <v>3</v>
      </c>
      <c r="O688" s="202">
        <v>213273</v>
      </c>
      <c r="P688" s="203">
        <v>639819</v>
      </c>
      <c r="Q688" s="203">
        <v>63981.9</v>
      </c>
      <c r="R688" s="203">
        <v>703800.9</v>
      </c>
      <c r="S688" s="199"/>
      <c r="T688" s="199" t="s">
        <v>310</v>
      </c>
      <c r="U688" s="197">
        <v>61125</v>
      </c>
      <c r="V688" s="197"/>
      <c r="W688" s="196" t="s">
        <v>356</v>
      </c>
      <c r="X688" s="196" t="str">
        <f>+IFERROR(VLOOKUP($F688,'[2]Chuyển đổi mã'!$A$1:$C$91,3,0),$F688)&amp;AC688</f>
        <v>Big C Central323555</v>
      </c>
      <c r="Y688" s="196" t="str">
        <f>IFERROR(VLOOKUP($F688,'[2]Chuyển đổi mã'!$A$1:$C$184,3,0),F688)</f>
        <v>Big C Central</v>
      </c>
      <c r="Z688" s="196" t="str">
        <f>VLOOKUP($G688,'[2]Thông tin NPP'!$B:$D,3,0)</f>
        <v>BIG C Central</v>
      </c>
      <c r="AA688" s="196" t="str">
        <f t="shared" si="185"/>
        <v>Na 17g - M</v>
      </c>
      <c r="AB688" s="196" t="str">
        <f>IFERROR(VLOOKUP(DAY(B688),'[2]Chuyển đổi mã'!$F$1:$G$32,2,0),0)</f>
        <v>W4</v>
      </c>
      <c r="AC688" s="196" t="str">
        <f t="shared" si="186"/>
        <v>323555</v>
      </c>
      <c r="AD688" s="196" t="str">
        <f t="shared" si="187"/>
        <v>NPP</v>
      </c>
      <c r="AE688" s="196" t="str">
        <f t="shared" si="188"/>
        <v>NPP323555</v>
      </c>
      <c r="AF688" s="196">
        <f t="shared" si="189"/>
        <v>0</v>
      </c>
    </row>
    <row r="689" spans="1:32" ht="12.95" hidden="1" customHeight="1">
      <c r="A689" s="197">
        <v>63330</v>
      </c>
      <c r="B689" s="198">
        <v>43580</v>
      </c>
      <c r="C689" s="197" t="s">
        <v>457</v>
      </c>
      <c r="D689" s="197" t="s">
        <v>676</v>
      </c>
      <c r="E689" s="197" t="s">
        <v>346</v>
      </c>
      <c r="F689" s="197" t="s">
        <v>576</v>
      </c>
      <c r="G689" s="199" t="s">
        <v>577</v>
      </c>
      <c r="H689" s="199" t="s">
        <v>296</v>
      </c>
      <c r="I689" s="199" t="s">
        <v>443</v>
      </c>
      <c r="J689" s="199" t="s">
        <v>350</v>
      </c>
      <c r="K689" s="197" t="s">
        <v>351</v>
      </c>
      <c r="L689" s="197" t="s">
        <v>363</v>
      </c>
      <c r="M689" s="200" t="s">
        <v>364</v>
      </c>
      <c r="N689" s="201">
        <v>5</v>
      </c>
      <c r="O689" s="202">
        <v>334545</v>
      </c>
      <c r="P689" s="203">
        <v>1672725</v>
      </c>
      <c r="Q689" s="203">
        <v>167272.5</v>
      </c>
      <c r="R689" s="203">
        <v>1839997.5</v>
      </c>
      <c r="S689" s="199"/>
      <c r="T689" s="199" t="s">
        <v>310</v>
      </c>
      <c r="U689" s="197">
        <v>61125</v>
      </c>
      <c r="V689" s="197"/>
      <c r="W689" s="196" t="s">
        <v>356</v>
      </c>
      <c r="X689" s="196" t="str">
        <f>+IFERROR(VLOOKUP($F689,'[2]Chuyển đổi mã'!$A$1:$C$91,3,0),$F689)&amp;AC689</f>
        <v>Big C Central323708</v>
      </c>
      <c r="Y689" s="196" t="str">
        <f>IFERROR(VLOOKUP($F689,'[2]Chuyển đổi mã'!$A$1:$C$184,3,0),F689)</f>
        <v>Big C Central</v>
      </c>
      <c r="Z689" s="196" t="str">
        <f>VLOOKUP($G689,'[2]Thông tin NPP'!$B:$D,3,0)</f>
        <v>BIG C Central</v>
      </c>
      <c r="AA689" s="196" t="str">
        <f t="shared" si="185"/>
        <v>Nextar Bro</v>
      </c>
      <c r="AB689" s="196" t="str">
        <f>IFERROR(VLOOKUP(DAY(B689),'[2]Chuyển đổi mã'!$F$1:$G$32,2,0),0)</f>
        <v>W4</v>
      </c>
      <c r="AC689" s="196" t="str">
        <f t="shared" si="186"/>
        <v>323708</v>
      </c>
      <c r="AD689" s="196" t="str">
        <f t="shared" si="187"/>
        <v>NPP</v>
      </c>
      <c r="AE689" s="196" t="str">
        <f t="shared" si="188"/>
        <v>NPP323708</v>
      </c>
      <c r="AF689" s="196">
        <f t="shared" si="189"/>
        <v>0</v>
      </c>
    </row>
    <row r="690" spans="1:32" ht="12.95" hidden="1" customHeight="1">
      <c r="A690" s="197">
        <v>63331</v>
      </c>
      <c r="B690" s="198">
        <v>43580</v>
      </c>
      <c r="C690" s="197" t="s">
        <v>457</v>
      </c>
      <c r="D690" s="197" t="s">
        <v>677</v>
      </c>
      <c r="E690" s="197" t="s">
        <v>346</v>
      </c>
      <c r="F690" s="197" t="s">
        <v>576</v>
      </c>
      <c r="G690" s="199" t="s">
        <v>577</v>
      </c>
      <c r="H690" s="199" t="s">
        <v>296</v>
      </c>
      <c r="I690" s="199" t="s">
        <v>443</v>
      </c>
      <c r="J690" s="199" t="s">
        <v>350</v>
      </c>
      <c r="K690" s="197" t="s">
        <v>351</v>
      </c>
      <c r="L690" s="197" t="s">
        <v>352</v>
      </c>
      <c r="M690" s="200" t="s">
        <v>353</v>
      </c>
      <c r="N690" s="201">
        <v>1</v>
      </c>
      <c r="O690" s="202">
        <v>155455</v>
      </c>
      <c r="P690" s="203">
        <v>155455</v>
      </c>
      <c r="Q690" s="203">
        <v>15545.5</v>
      </c>
      <c r="R690" s="203">
        <v>171000.5</v>
      </c>
      <c r="S690" s="199"/>
      <c r="T690" s="199" t="s">
        <v>310</v>
      </c>
      <c r="U690" s="197">
        <v>61126</v>
      </c>
      <c r="V690" s="197"/>
      <c r="W690" s="196" t="s">
        <v>356</v>
      </c>
      <c r="X690" s="196" t="str">
        <f>+IFERROR(VLOOKUP($F690,'[2]Chuyển đổi mã'!$A$1:$C$91,3,0),$F690)&amp;AC690</f>
        <v>Big C Central320463</v>
      </c>
      <c r="Y690" s="196" t="str">
        <f>IFERROR(VLOOKUP($F690,'[2]Chuyển đổi mã'!$A$1:$C$184,3,0),F690)</f>
        <v>Big C Central</v>
      </c>
      <c r="Z690" s="196" t="str">
        <f>VLOOKUP($G690,'[2]Thông tin NPP'!$B:$D,3,0)</f>
        <v>BIG C Central</v>
      </c>
      <c r="AA690" s="196" t="str">
        <f t="shared" si="185"/>
        <v>Na 8,5g</v>
      </c>
      <c r="AB690" s="196" t="str">
        <f>IFERROR(VLOOKUP(DAY(B690),'[2]Chuyển đổi mã'!$F$1:$G$32,2,0),0)</f>
        <v>W4</v>
      </c>
      <c r="AC690" s="196" t="str">
        <f t="shared" si="186"/>
        <v>320463</v>
      </c>
      <c r="AD690" s="196" t="str">
        <f t="shared" si="187"/>
        <v>NPP</v>
      </c>
      <c r="AE690" s="196" t="str">
        <f t="shared" si="188"/>
        <v>NPP320463</v>
      </c>
      <c r="AF690" s="196">
        <f t="shared" si="189"/>
        <v>0</v>
      </c>
    </row>
    <row r="691" spans="1:32" ht="12.95" hidden="1" customHeight="1">
      <c r="A691" s="197">
        <v>63331</v>
      </c>
      <c r="B691" s="198">
        <v>43580</v>
      </c>
      <c r="C691" s="197" t="s">
        <v>457</v>
      </c>
      <c r="D691" s="197" t="s">
        <v>677</v>
      </c>
      <c r="E691" s="197" t="s">
        <v>346</v>
      </c>
      <c r="F691" s="197" t="s">
        <v>576</v>
      </c>
      <c r="G691" s="199" t="s">
        <v>577</v>
      </c>
      <c r="H691" s="199" t="s">
        <v>296</v>
      </c>
      <c r="I691" s="199" t="s">
        <v>443</v>
      </c>
      <c r="J691" s="199" t="s">
        <v>350</v>
      </c>
      <c r="K691" s="197" t="s">
        <v>351</v>
      </c>
      <c r="L691" s="197" t="s">
        <v>363</v>
      </c>
      <c r="M691" s="200" t="s">
        <v>364</v>
      </c>
      <c r="N691" s="201">
        <v>1</v>
      </c>
      <c r="O691" s="202">
        <v>334545</v>
      </c>
      <c r="P691" s="203">
        <v>334545</v>
      </c>
      <c r="Q691" s="203">
        <v>33454.5</v>
      </c>
      <c r="R691" s="203">
        <v>367999.5</v>
      </c>
      <c r="S691" s="199"/>
      <c r="T691" s="199" t="s">
        <v>310</v>
      </c>
      <c r="U691" s="197">
        <v>61126</v>
      </c>
      <c r="V691" s="197"/>
      <c r="W691" s="196" t="s">
        <v>356</v>
      </c>
      <c r="X691" s="196" t="str">
        <f>+IFERROR(VLOOKUP($F691,'[2]Chuyển đổi mã'!$A$1:$C$91,3,0),$F691)&amp;AC691</f>
        <v>Big C Central323708</v>
      </c>
      <c r="Y691" s="196" t="str">
        <f>IFERROR(VLOOKUP($F691,'[2]Chuyển đổi mã'!$A$1:$C$184,3,0),F691)</f>
        <v>Big C Central</v>
      </c>
      <c r="Z691" s="196" t="str">
        <f>VLOOKUP($G691,'[2]Thông tin NPP'!$B:$D,3,0)</f>
        <v>BIG C Central</v>
      </c>
      <c r="AA691" s="196" t="str">
        <f t="shared" si="185"/>
        <v>Nextar Bro</v>
      </c>
      <c r="AB691" s="196" t="str">
        <f>IFERROR(VLOOKUP(DAY(B691),'[2]Chuyển đổi mã'!$F$1:$G$32,2,0),0)</f>
        <v>W4</v>
      </c>
      <c r="AC691" s="196" t="str">
        <f t="shared" si="186"/>
        <v>323708</v>
      </c>
      <c r="AD691" s="196" t="str">
        <f t="shared" si="187"/>
        <v>NPP</v>
      </c>
      <c r="AE691" s="196" t="str">
        <f t="shared" si="188"/>
        <v>NPP323708</v>
      </c>
      <c r="AF691" s="196">
        <f t="shared" si="189"/>
        <v>0</v>
      </c>
    </row>
    <row r="692" spans="1:32" ht="12.95" customHeight="1">
      <c r="A692" s="197">
        <v>63332</v>
      </c>
      <c r="B692" s="198">
        <v>43580</v>
      </c>
      <c r="C692" s="197" t="s">
        <v>457</v>
      </c>
      <c r="D692" s="197" t="s">
        <v>678</v>
      </c>
      <c r="E692" s="197" t="s">
        <v>346</v>
      </c>
      <c r="F692" s="197" t="s">
        <v>499</v>
      </c>
      <c r="G692" s="199" t="s">
        <v>500</v>
      </c>
      <c r="H692" s="199" t="s">
        <v>296</v>
      </c>
      <c r="I692" s="199" t="s">
        <v>349</v>
      </c>
      <c r="J692" s="199" t="s">
        <v>350</v>
      </c>
      <c r="K692" s="197" t="s">
        <v>351</v>
      </c>
      <c r="L692" s="197" t="s">
        <v>359</v>
      </c>
      <c r="M692" s="200" t="s">
        <v>360</v>
      </c>
      <c r="N692" s="201">
        <v>4</v>
      </c>
      <c r="O692" s="202">
        <v>313636</v>
      </c>
      <c r="P692" s="203">
        <v>1254544</v>
      </c>
      <c r="Q692" s="203">
        <v>125454.39999999999</v>
      </c>
      <c r="R692" s="203">
        <v>1379998.4</v>
      </c>
      <c r="S692" s="199"/>
      <c r="T692" s="199" t="s">
        <v>310</v>
      </c>
      <c r="U692" s="197">
        <v>61127</v>
      </c>
      <c r="V692" s="197"/>
      <c r="W692" s="196" t="s">
        <v>356</v>
      </c>
      <c r="X692" s="196" t="str">
        <f>+IFERROR(VLOOKUP($F692,'[2]Chuyển đổi mã'!$A$1:$C$91,3,0),$F692)&amp;AC692</f>
        <v>Big C South320445</v>
      </c>
      <c r="Y692" s="196" t="str">
        <f>IFERROR(VLOOKUP($F692,'[2]Chuyển đổi mã'!$A$1:$C$184,3,0),F692)</f>
        <v>Big C South</v>
      </c>
      <c r="Z692" s="196" t="str">
        <f>VLOOKUP($G692,'[2]Thông tin NPP'!$B:$D,3,0)</f>
        <v>Big C South</v>
      </c>
      <c r="AA692" s="196" t="str">
        <f t="shared" si="185"/>
        <v>Na 58g</v>
      </c>
      <c r="AB692" s="196" t="str">
        <f>IFERROR(VLOOKUP(DAY(B692),'[2]Chuyển đổi mã'!$F$1:$G$32,2,0),0)</f>
        <v>W4</v>
      </c>
      <c r="AC692" s="196" t="str">
        <f t="shared" si="186"/>
        <v>320445</v>
      </c>
      <c r="AD692" s="196" t="str">
        <f t="shared" si="187"/>
        <v>NPP</v>
      </c>
      <c r="AE692" s="196" t="str">
        <f t="shared" si="188"/>
        <v>NPP320445</v>
      </c>
      <c r="AF692" s="196">
        <f t="shared" si="189"/>
        <v>0</v>
      </c>
    </row>
    <row r="693" spans="1:32" ht="12.95" customHeight="1">
      <c r="A693" s="197">
        <v>63334</v>
      </c>
      <c r="B693" s="198">
        <v>43580</v>
      </c>
      <c r="C693" s="197" t="s">
        <v>457</v>
      </c>
      <c r="D693" s="197" t="s">
        <v>679</v>
      </c>
      <c r="E693" s="197" t="s">
        <v>346</v>
      </c>
      <c r="F693" s="197" t="s">
        <v>499</v>
      </c>
      <c r="G693" s="199" t="s">
        <v>500</v>
      </c>
      <c r="H693" s="199" t="s">
        <v>296</v>
      </c>
      <c r="I693" s="199" t="s">
        <v>349</v>
      </c>
      <c r="J693" s="199" t="s">
        <v>350</v>
      </c>
      <c r="K693" s="197" t="s">
        <v>351</v>
      </c>
      <c r="L693" s="197" t="s">
        <v>387</v>
      </c>
      <c r="M693" s="200" t="s">
        <v>388</v>
      </c>
      <c r="N693" s="201">
        <v>3</v>
      </c>
      <c r="O693" s="202">
        <v>355455</v>
      </c>
      <c r="P693" s="203">
        <v>1066365</v>
      </c>
      <c r="Q693" s="203">
        <v>106636.5</v>
      </c>
      <c r="R693" s="203">
        <v>1173001.5</v>
      </c>
      <c r="S693" s="199"/>
      <c r="T693" s="199" t="s">
        <v>310</v>
      </c>
      <c r="U693" s="197">
        <v>61130</v>
      </c>
      <c r="V693" s="197"/>
      <c r="W693" s="196" t="s">
        <v>356</v>
      </c>
      <c r="X693" s="196" t="str">
        <f>+IFERROR(VLOOKUP($F693,'[2]Chuyển đổi mã'!$A$1:$C$91,3,0),$F693)&amp;AC693</f>
        <v>Big C South323620</v>
      </c>
      <c r="Y693" s="196" t="str">
        <f>IFERROR(VLOOKUP($F693,'[2]Chuyển đổi mã'!$A$1:$C$184,3,0),F693)</f>
        <v>Big C South</v>
      </c>
      <c r="Z693" s="196" t="str">
        <f>VLOOKUP($G693,'[2]Thông tin NPP'!$B:$D,3,0)</f>
        <v>Big C South</v>
      </c>
      <c r="AA693" s="196" t="str">
        <f t="shared" si="185"/>
        <v>Ahh 16g</v>
      </c>
      <c r="AB693" s="196" t="str">
        <f>IFERROR(VLOOKUP(DAY(B693),'[2]Chuyển đổi mã'!$F$1:$G$32,2,0),0)</f>
        <v>W4</v>
      </c>
      <c r="AC693" s="196" t="str">
        <f t="shared" si="186"/>
        <v>323620</v>
      </c>
      <c r="AD693" s="196" t="str">
        <f t="shared" si="187"/>
        <v>NPP</v>
      </c>
      <c r="AE693" s="196" t="str">
        <f t="shared" si="188"/>
        <v>NPP323620</v>
      </c>
      <c r="AF693" s="196">
        <f t="shared" si="189"/>
        <v>0</v>
      </c>
    </row>
    <row r="694" spans="1:32" ht="12.95" customHeight="1">
      <c r="A694" s="197">
        <v>63334</v>
      </c>
      <c r="B694" s="198">
        <v>43580</v>
      </c>
      <c r="C694" s="197" t="s">
        <v>457</v>
      </c>
      <c r="D694" s="197" t="s">
        <v>679</v>
      </c>
      <c r="E694" s="197" t="s">
        <v>346</v>
      </c>
      <c r="F694" s="197" t="s">
        <v>499</v>
      </c>
      <c r="G694" s="199" t="s">
        <v>500</v>
      </c>
      <c r="H694" s="199" t="s">
        <v>296</v>
      </c>
      <c r="I694" s="199" t="s">
        <v>349</v>
      </c>
      <c r="J694" s="199" t="s">
        <v>350</v>
      </c>
      <c r="K694" s="197" t="s">
        <v>351</v>
      </c>
      <c r="L694" s="197" t="s">
        <v>357</v>
      </c>
      <c r="M694" s="200" t="s">
        <v>358</v>
      </c>
      <c r="N694" s="201">
        <v>5</v>
      </c>
      <c r="O694" s="202">
        <v>213273</v>
      </c>
      <c r="P694" s="203">
        <v>1066365</v>
      </c>
      <c r="Q694" s="203">
        <v>106636.5</v>
      </c>
      <c r="R694" s="203">
        <v>1173001.5</v>
      </c>
      <c r="S694" s="199"/>
      <c r="T694" s="199" t="s">
        <v>310</v>
      </c>
      <c r="U694" s="197">
        <v>61130</v>
      </c>
      <c r="V694" s="197"/>
      <c r="W694" s="196" t="s">
        <v>356</v>
      </c>
      <c r="X694" s="196" t="str">
        <f>+IFERROR(VLOOKUP($F694,'[2]Chuyển đổi mã'!$A$1:$C$91,3,0),$F694)&amp;AC694</f>
        <v>Big C South323555</v>
      </c>
      <c r="Y694" s="196" t="str">
        <f>IFERROR(VLOOKUP($F694,'[2]Chuyển đổi mã'!$A$1:$C$184,3,0),F694)</f>
        <v>Big C South</v>
      </c>
      <c r="Z694" s="196" t="str">
        <f>VLOOKUP($G694,'[2]Thông tin NPP'!$B:$D,3,0)</f>
        <v>Big C South</v>
      </c>
      <c r="AA694" s="196" t="str">
        <f t="shared" si="185"/>
        <v>Na 17g - M</v>
      </c>
      <c r="AB694" s="196" t="str">
        <f>IFERROR(VLOOKUP(DAY(B694),'[2]Chuyển đổi mã'!$F$1:$G$32,2,0),0)</f>
        <v>W4</v>
      </c>
      <c r="AC694" s="196" t="str">
        <f t="shared" si="186"/>
        <v>323555</v>
      </c>
      <c r="AD694" s="196" t="str">
        <f t="shared" si="187"/>
        <v>NPP</v>
      </c>
      <c r="AE694" s="196" t="str">
        <f t="shared" si="188"/>
        <v>NPP323555</v>
      </c>
      <c r="AF694" s="196">
        <f t="shared" si="189"/>
        <v>0</v>
      </c>
    </row>
    <row r="695" spans="1:32" ht="12.95" customHeight="1">
      <c r="A695" s="197">
        <v>63334</v>
      </c>
      <c r="B695" s="198">
        <v>43580</v>
      </c>
      <c r="C695" s="197" t="s">
        <v>457</v>
      </c>
      <c r="D695" s="197" t="s">
        <v>679</v>
      </c>
      <c r="E695" s="197" t="s">
        <v>346</v>
      </c>
      <c r="F695" s="197" t="s">
        <v>499</v>
      </c>
      <c r="G695" s="199" t="s">
        <v>500</v>
      </c>
      <c r="H695" s="199" t="s">
        <v>296</v>
      </c>
      <c r="I695" s="199" t="s">
        <v>349</v>
      </c>
      <c r="J695" s="199" t="s">
        <v>350</v>
      </c>
      <c r="K695" s="197" t="s">
        <v>351</v>
      </c>
      <c r="L695" s="197" t="s">
        <v>359</v>
      </c>
      <c r="M695" s="200" t="s">
        <v>360</v>
      </c>
      <c r="N695" s="201">
        <v>5</v>
      </c>
      <c r="O695" s="202">
        <v>313636</v>
      </c>
      <c r="P695" s="203">
        <v>1568180</v>
      </c>
      <c r="Q695" s="203">
        <v>156818</v>
      </c>
      <c r="R695" s="203">
        <v>1724998</v>
      </c>
      <c r="S695" s="199"/>
      <c r="T695" s="199" t="s">
        <v>310</v>
      </c>
      <c r="U695" s="197">
        <v>61130</v>
      </c>
      <c r="V695" s="197"/>
      <c r="W695" s="196" t="s">
        <v>356</v>
      </c>
      <c r="X695" s="196" t="str">
        <f>+IFERROR(VLOOKUP($F695,'[2]Chuyển đổi mã'!$A$1:$C$91,3,0),$F695)&amp;AC695</f>
        <v>Big C South320445</v>
      </c>
      <c r="Y695" s="196" t="str">
        <f>IFERROR(VLOOKUP($F695,'[2]Chuyển đổi mã'!$A$1:$C$184,3,0),F695)</f>
        <v>Big C South</v>
      </c>
      <c r="Z695" s="196" t="str">
        <f>VLOOKUP($G695,'[2]Thông tin NPP'!$B:$D,3,0)</f>
        <v>Big C South</v>
      </c>
      <c r="AA695" s="196" t="str">
        <f t="shared" si="185"/>
        <v>Na 58g</v>
      </c>
      <c r="AB695" s="196" t="str">
        <f>IFERROR(VLOOKUP(DAY(B695),'[2]Chuyển đổi mã'!$F$1:$G$32,2,0),0)</f>
        <v>W4</v>
      </c>
      <c r="AC695" s="196" t="str">
        <f t="shared" si="186"/>
        <v>320445</v>
      </c>
      <c r="AD695" s="196" t="str">
        <f t="shared" si="187"/>
        <v>NPP</v>
      </c>
      <c r="AE695" s="196" t="str">
        <f t="shared" si="188"/>
        <v>NPP320445</v>
      </c>
      <c r="AF695" s="196">
        <f t="shared" si="189"/>
        <v>0</v>
      </c>
    </row>
    <row r="696" spans="1:32" ht="12.95" customHeight="1">
      <c r="A696" s="197">
        <v>63334</v>
      </c>
      <c r="B696" s="198">
        <v>43580</v>
      </c>
      <c r="C696" s="197" t="s">
        <v>457</v>
      </c>
      <c r="D696" s="197" t="s">
        <v>679</v>
      </c>
      <c r="E696" s="197" t="s">
        <v>346</v>
      </c>
      <c r="F696" s="197" t="s">
        <v>499</v>
      </c>
      <c r="G696" s="199" t="s">
        <v>500</v>
      </c>
      <c r="H696" s="199" t="s">
        <v>296</v>
      </c>
      <c r="I696" s="199" t="s">
        <v>349</v>
      </c>
      <c r="J696" s="199" t="s">
        <v>350</v>
      </c>
      <c r="K696" s="197" t="s">
        <v>351</v>
      </c>
      <c r="L696" s="197" t="s">
        <v>361</v>
      </c>
      <c r="M696" s="200" t="s">
        <v>362</v>
      </c>
      <c r="N696" s="201">
        <v>3</v>
      </c>
      <c r="O696" s="202">
        <v>313636</v>
      </c>
      <c r="P696" s="203">
        <v>940908</v>
      </c>
      <c r="Q696" s="203">
        <v>94090.8</v>
      </c>
      <c r="R696" s="203">
        <v>1034998.8</v>
      </c>
      <c r="S696" s="199"/>
      <c r="T696" s="199" t="s">
        <v>310</v>
      </c>
      <c r="U696" s="197">
        <v>61130</v>
      </c>
      <c r="V696" s="197"/>
      <c r="W696" s="196" t="s">
        <v>356</v>
      </c>
      <c r="X696" s="196" t="str">
        <f>+IFERROR(VLOOKUP($F696,'[2]Chuyển đổi mã'!$A$1:$C$91,3,0),$F696)&amp;AC696</f>
        <v>Big C South331017</v>
      </c>
      <c r="Y696" s="196" t="str">
        <f>IFERROR(VLOOKUP($F696,'[2]Chuyển đổi mã'!$A$1:$C$184,3,0),F696)</f>
        <v>Big C South</v>
      </c>
      <c r="Z696" s="196" t="str">
        <f>VLOOKUP($G696,'[2]Thông tin NPP'!$B:$D,3,0)</f>
        <v>Big C South</v>
      </c>
      <c r="AA696" s="196" t="str">
        <f t="shared" si="185"/>
        <v>Richoco Wf</v>
      </c>
      <c r="AB696" s="196" t="str">
        <f>IFERROR(VLOOKUP(DAY(B696),'[2]Chuyển đổi mã'!$F$1:$G$32,2,0),0)</f>
        <v>W4</v>
      </c>
      <c r="AC696" s="196" t="str">
        <f t="shared" si="186"/>
        <v>331017</v>
      </c>
      <c r="AD696" s="196" t="str">
        <f t="shared" si="187"/>
        <v>NPP</v>
      </c>
      <c r="AE696" s="196" t="str">
        <f t="shared" si="188"/>
        <v>NPP331017</v>
      </c>
      <c r="AF696" s="196">
        <f t="shared" si="189"/>
        <v>0</v>
      </c>
    </row>
    <row r="697" spans="1:32" ht="12.95" hidden="1" customHeight="1">
      <c r="A697" s="197">
        <v>63335</v>
      </c>
      <c r="B697" s="198">
        <v>43580</v>
      </c>
      <c r="C697" s="197" t="s">
        <v>457</v>
      </c>
      <c r="D697" s="197" t="s">
        <v>680</v>
      </c>
      <c r="E697" s="197" t="s">
        <v>346</v>
      </c>
      <c r="F697" s="197" t="s">
        <v>534</v>
      </c>
      <c r="G697" s="199" t="s">
        <v>535</v>
      </c>
      <c r="H697" s="199" t="s">
        <v>296</v>
      </c>
      <c r="I697" s="199" t="s">
        <v>395</v>
      </c>
      <c r="J697" s="199" t="s">
        <v>350</v>
      </c>
      <c r="K697" s="197" t="s">
        <v>351</v>
      </c>
      <c r="L697" s="197" t="s">
        <v>352</v>
      </c>
      <c r="M697" s="200" t="s">
        <v>353</v>
      </c>
      <c r="N697" s="201">
        <v>10</v>
      </c>
      <c r="O697" s="202">
        <v>155455</v>
      </c>
      <c r="P697" s="203">
        <v>1554550</v>
      </c>
      <c r="Q697" s="203">
        <v>155455</v>
      </c>
      <c r="R697" s="203">
        <v>1710005</v>
      </c>
      <c r="S697" s="199"/>
      <c r="T697" s="199" t="s">
        <v>310</v>
      </c>
      <c r="U697" s="197">
        <v>61132</v>
      </c>
      <c r="V697" s="197"/>
      <c r="W697" s="196" t="s">
        <v>356</v>
      </c>
      <c r="X697" s="196" t="str">
        <f>+IFERROR(VLOOKUP($F697,'[2]Chuyển đổi mã'!$A$1:$C$91,3,0),$F697)&amp;AC697</f>
        <v>Big C North320463</v>
      </c>
      <c r="Y697" s="196" t="str">
        <f>IFERROR(VLOOKUP($F697,'[2]Chuyển đổi mã'!$A$1:$C$184,3,0),F697)</f>
        <v>Big C North</v>
      </c>
      <c r="Z697" s="196" t="str">
        <f>VLOOKUP($G697,'[2]Thông tin NPP'!$B:$D,3,0)</f>
        <v>BIG C North</v>
      </c>
      <c r="AA697" s="196" t="str">
        <f t="shared" si="185"/>
        <v>Na 8,5g</v>
      </c>
      <c r="AB697" s="196" t="str">
        <f>IFERROR(VLOOKUP(DAY(B697),'[2]Chuyển đổi mã'!$F$1:$G$32,2,0),0)</f>
        <v>W4</v>
      </c>
      <c r="AC697" s="196" t="str">
        <f t="shared" si="186"/>
        <v>320463</v>
      </c>
      <c r="AD697" s="196" t="str">
        <f t="shared" si="187"/>
        <v>NPP</v>
      </c>
      <c r="AE697" s="196" t="str">
        <f t="shared" si="188"/>
        <v>NPP320463</v>
      </c>
      <c r="AF697" s="196">
        <f t="shared" si="189"/>
        <v>0</v>
      </c>
    </row>
    <row r="698" spans="1:32" ht="12.95" hidden="1" customHeight="1">
      <c r="A698" s="197">
        <v>63335</v>
      </c>
      <c r="B698" s="198">
        <v>43580</v>
      </c>
      <c r="C698" s="197" t="s">
        <v>457</v>
      </c>
      <c r="D698" s="197" t="s">
        <v>680</v>
      </c>
      <c r="E698" s="197" t="s">
        <v>346</v>
      </c>
      <c r="F698" s="197" t="s">
        <v>534</v>
      </c>
      <c r="G698" s="199" t="s">
        <v>535</v>
      </c>
      <c r="H698" s="199" t="s">
        <v>296</v>
      </c>
      <c r="I698" s="199" t="s">
        <v>395</v>
      </c>
      <c r="J698" s="199" t="s">
        <v>350</v>
      </c>
      <c r="K698" s="197" t="s">
        <v>351</v>
      </c>
      <c r="L698" s="197" t="s">
        <v>387</v>
      </c>
      <c r="M698" s="200" t="s">
        <v>388</v>
      </c>
      <c r="N698" s="201">
        <v>2</v>
      </c>
      <c r="O698" s="202">
        <v>355455</v>
      </c>
      <c r="P698" s="203">
        <v>710910</v>
      </c>
      <c r="Q698" s="203">
        <v>71091</v>
      </c>
      <c r="R698" s="203">
        <v>782001</v>
      </c>
      <c r="S698" s="199"/>
      <c r="T698" s="199" t="s">
        <v>310</v>
      </c>
      <c r="U698" s="197">
        <v>61132</v>
      </c>
      <c r="V698" s="197"/>
      <c r="W698" s="196" t="s">
        <v>356</v>
      </c>
      <c r="X698" s="196" t="str">
        <f>+IFERROR(VLOOKUP($F698,'[2]Chuyển đổi mã'!$A$1:$C$91,3,0),$F698)&amp;AC698</f>
        <v>Big C North323620</v>
      </c>
      <c r="Y698" s="196" t="str">
        <f>IFERROR(VLOOKUP($F698,'[2]Chuyển đổi mã'!$A$1:$C$184,3,0),F698)</f>
        <v>Big C North</v>
      </c>
      <c r="Z698" s="196" t="str">
        <f>VLOOKUP($G698,'[2]Thông tin NPP'!$B:$D,3,0)</f>
        <v>BIG C North</v>
      </c>
      <c r="AA698" s="196" t="str">
        <f t="shared" si="185"/>
        <v>Ahh 16g</v>
      </c>
      <c r="AB698" s="196" t="str">
        <f>IFERROR(VLOOKUP(DAY(B698),'[2]Chuyển đổi mã'!$F$1:$G$32,2,0),0)</f>
        <v>W4</v>
      </c>
      <c r="AC698" s="196" t="str">
        <f t="shared" si="186"/>
        <v>323620</v>
      </c>
      <c r="AD698" s="196" t="str">
        <f t="shared" si="187"/>
        <v>NPP</v>
      </c>
      <c r="AE698" s="196" t="str">
        <f t="shared" si="188"/>
        <v>NPP323620</v>
      </c>
      <c r="AF698" s="196">
        <f t="shared" si="189"/>
        <v>0</v>
      </c>
    </row>
    <row r="699" spans="1:32" ht="12.95" hidden="1" customHeight="1">
      <c r="A699" s="197">
        <v>63335</v>
      </c>
      <c r="B699" s="198">
        <v>43580</v>
      </c>
      <c r="C699" s="197" t="s">
        <v>457</v>
      </c>
      <c r="D699" s="197" t="s">
        <v>680</v>
      </c>
      <c r="E699" s="197" t="s">
        <v>346</v>
      </c>
      <c r="F699" s="197" t="s">
        <v>534</v>
      </c>
      <c r="G699" s="199" t="s">
        <v>535</v>
      </c>
      <c r="H699" s="199" t="s">
        <v>296</v>
      </c>
      <c r="I699" s="199" t="s">
        <v>395</v>
      </c>
      <c r="J699" s="199" t="s">
        <v>350</v>
      </c>
      <c r="K699" s="197" t="s">
        <v>351</v>
      </c>
      <c r="L699" s="197" t="s">
        <v>359</v>
      </c>
      <c r="M699" s="200" t="s">
        <v>360</v>
      </c>
      <c r="N699" s="201">
        <v>2</v>
      </c>
      <c r="O699" s="202">
        <v>313636</v>
      </c>
      <c r="P699" s="203">
        <v>627272</v>
      </c>
      <c r="Q699" s="203">
        <v>62727.199999999997</v>
      </c>
      <c r="R699" s="203">
        <v>689999.2</v>
      </c>
      <c r="S699" s="199"/>
      <c r="T699" s="199" t="s">
        <v>310</v>
      </c>
      <c r="U699" s="197">
        <v>61132</v>
      </c>
      <c r="V699" s="197"/>
      <c r="W699" s="196" t="s">
        <v>356</v>
      </c>
      <c r="X699" s="196" t="str">
        <f>+IFERROR(VLOOKUP($F699,'[2]Chuyển đổi mã'!$A$1:$C$91,3,0),$F699)&amp;AC699</f>
        <v>Big C North320445</v>
      </c>
      <c r="Y699" s="196" t="str">
        <f>IFERROR(VLOOKUP($F699,'[2]Chuyển đổi mã'!$A$1:$C$184,3,0),F699)</f>
        <v>Big C North</v>
      </c>
      <c r="Z699" s="196" t="str">
        <f>VLOOKUP($G699,'[2]Thông tin NPP'!$B:$D,3,0)</f>
        <v>BIG C North</v>
      </c>
      <c r="AA699" s="196" t="str">
        <f t="shared" si="185"/>
        <v>Na 58g</v>
      </c>
      <c r="AB699" s="196" t="str">
        <f>IFERROR(VLOOKUP(DAY(B699),'[2]Chuyển đổi mã'!$F$1:$G$32,2,0),0)</f>
        <v>W4</v>
      </c>
      <c r="AC699" s="196" t="str">
        <f t="shared" si="186"/>
        <v>320445</v>
      </c>
      <c r="AD699" s="196" t="str">
        <f t="shared" si="187"/>
        <v>NPP</v>
      </c>
      <c r="AE699" s="196" t="str">
        <f t="shared" si="188"/>
        <v>NPP320445</v>
      </c>
      <c r="AF699" s="196">
        <f t="shared" si="189"/>
        <v>0</v>
      </c>
    </row>
    <row r="700" spans="1:32" ht="12.95" hidden="1" customHeight="1">
      <c r="A700" s="197">
        <v>63335</v>
      </c>
      <c r="B700" s="198">
        <v>43580</v>
      </c>
      <c r="C700" s="197" t="s">
        <v>457</v>
      </c>
      <c r="D700" s="197" t="s">
        <v>680</v>
      </c>
      <c r="E700" s="197" t="s">
        <v>346</v>
      </c>
      <c r="F700" s="197" t="s">
        <v>534</v>
      </c>
      <c r="G700" s="199" t="s">
        <v>535</v>
      </c>
      <c r="H700" s="199" t="s">
        <v>296</v>
      </c>
      <c r="I700" s="199" t="s">
        <v>395</v>
      </c>
      <c r="J700" s="199" t="s">
        <v>350</v>
      </c>
      <c r="K700" s="197" t="s">
        <v>351</v>
      </c>
      <c r="L700" s="197" t="s">
        <v>361</v>
      </c>
      <c r="M700" s="200" t="s">
        <v>362</v>
      </c>
      <c r="N700" s="201">
        <v>2</v>
      </c>
      <c r="O700" s="202">
        <v>313636</v>
      </c>
      <c r="P700" s="203">
        <v>627272</v>
      </c>
      <c r="Q700" s="203">
        <v>62727.199999999997</v>
      </c>
      <c r="R700" s="203">
        <v>689999.2</v>
      </c>
      <c r="S700" s="199"/>
      <c r="T700" s="199" t="s">
        <v>310</v>
      </c>
      <c r="U700" s="197">
        <v>61132</v>
      </c>
      <c r="V700" s="197"/>
      <c r="W700" s="196" t="s">
        <v>356</v>
      </c>
      <c r="X700" s="196" t="str">
        <f>+IFERROR(VLOOKUP($F700,'[2]Chuyển đổi mã'!$A$1:$C$91,3,0),$F700)&amp;AC700</f>
        <v>Big C North331017</v>
      </c>
      <c r="Y700" s="196" t="str">
        <f>IFERROR(VLOOKUP($F700,'[2]Chuyển đổi mã'!$A$1:$C$184,3,0),F700)</f>
        <v>Big C North</v>
      </c>
      <c r="Z700" s="196" t="str">
        <f>VLOOKUP($G700,'[2]Thông tin NPP'!$B:$D,3,0)</f>
        <v>BIG C North</v>
      </c>
      <c r="AA700" s="196" t="str">
        <f t="shared" si="185"/>
        <v>Richoco Wf</v>
      </c>
      <c r="AB700" s="196" t="str">
        <f>IFERROR(VLOOKUP(DAY(B700),'[2]Chuyển đổi mã'!$F$1:$G$32,2,0),0)</f>
        <v>W4</v>
      </c>
      <c r="AC700" s="196" t="str">
        <f t="shared" si="186"/>
        <v>331017</v>
      </c>
      <c r="AD700" s="196" t="str">
        <f t="shared" si="187"/>
        <v>NPP</v>
      </c>
      <c r="AE700" s="196" t="str">
        <f t="shared" si="188"/>
        <v>NPP331017</v>
      </c>
      <c r="AF700" s="196">
        <f t="shared" si="189"/>
        <v>0</v>
      </c>
    </row>
    <row r="701" spans="1:32" ht="12.95" hidden="1" customHeight="1">
      <c r="A701" s="197">
        <v>63335</v>
      </c>
      <c r="B701" s="198">
        <v>43580</v>
      </c>
      <c r="C701" s="197" t="s">
        <v>457</v>
      </c>
      <c r="D701" s="197" t="s">
        <v>680</v>
      </c>
      <c r="E701" s="197" t="s">
        <v>346</v>
      </c>
      <c r="F701" s="197" t="s">
        <v>534</v>
      </c>
      <c r="G701" s="199" t="s">
        <v>535</v>
      </c>
      <c r="H701" s="199" t="s">
        <v>296</v>
      </c>
      <c r="I701" s="199" t="s">
        <v>395</v>
      </c>
      <c r="J701" s="199" t="s">
        <v>350</v>
      </c>
      <c r="K701" s="197" t="s">
        <v>351</v>
      </c>
      <c r="L701" s="197" t="s">
        <v>363</v>
      </c>
      <c r="M701" s="200" t="s">
        <v>364</v>
      </c>
      <c r="N701" s="201">
        <v>4</v>
      </c>
      <c r="O701" s="202">
        <v>334545</v>
      </c>
      <c r="P701" s="203">
        <v>1338180</v>
      </c>
      <c r="Q701" s="203">
        <v>133818</v>
      </c>
      <c r="R701" s="203">
        <v>1471998</v>
      </c>
      <c r="S701" s="199"/>
      <c r="T701" s="199" t="s">
        <v>310</v>
      </c>
      <c r="U701" s="197">
        <v>61132</v>
      </c>
      <c r="V701" s="197"/>
      <c r="W701" s="196" t="s">
        <v>356</v>
      </c>
      <c r="X701" s="196" t="str">
        <f>+IFERROR(VLOOKUP($F701,'[2]Chuyển đổi mã'!$A$1:$C$91,3,0),$F701)&amp;AC701</f>
        <v>Big C North323708</v>
      </c>
      <c r="Y701" s="196" t="str">
        <f>IFERROR(VLOOKUP($F701,'[2]Chuyển đổi mã'!$A$1:$C$184,3,0),F701)</f>
        <v>Big C North</v>
      </c>
      <c r="Z701" s="196" t="str">
        <f>VLOOKUP($G701,'[2]Thông tin NPP'!$B:$D,3,0)</f>
        <v>BIG C North</v>
      </c>
      <c r="AA701" s="196" t="str">
        <f t="shared" si="185"/>
        <v>Nextar Bro</v>
      </c>
      <c r="AB701" s="196" t="str">
        <f>IFERROR(VLOOKUP(DAY(B701),'[2]Chuyển đổi mã'!$F$1:$G$32,2,0),0)</f>
        <v>W4</v>
      </c>
      <c r="AC701" s="196" t="str">
        <f t="shared" si="186"/>
        <v>323708</v>
      </c>
      <c r="AD701" s="196" t="str">
        <f t="shared" si="187"/>
        <v>NPP</v>
      </c>
      <c r="AE701" s="196" t="str">
        <f t="shared" si="188"/>
        <v>NPP323708</v>
      </c>
      <c r="AF701" s="196">
        <f t="shared" si="189"/>
        <v>0</v>
      </c>
    </row>
    <row r="702" spans="1:32" ht="12.95" hidden="1" customHeight="1">
      <c r="A702" s="197">
        <v>63337</v>
      </c>
      <c r="B702" s="198">
        <v>43580</v>
      </c>
      <c r="C702" s="197" t="s">
        <v>457</v>
      </c>
      <c r="D702" s="197" t="s">
        <v>681</v>
      </c>
      <c r="E702" s="197" t="s">
        <v>346</v>
      </c>
      <c r="F702" s="197" t="s">
        <v>682</v>
      </c>
      <c r="G702" s="199" t="s">
        <v>683</v>
      </c>
      <c r="H702" s="199" t="s">
        <v>296</v>
      </c>
      <c r="I702" s="199" t="s">
        <v>395</v>
      </c>
      <c r="J702" s="199" t="s">
        <v>350</v>
      </c>
      <c r="K702" s="197" t="s">
        <v>351</v>
      </c>
      <c r="L702" s="197" t="s">
        <v>352</v>
      </c>
      <c r="M702" s="200" t="s">
        <v>353</v>
      </c>
      <c r="N702" s="201">
        <v>1</v>
      </c>
      <c r="O702" s="202">
        <v>155455</v>
      </c>
      <c r="P702" s="203">
        <v>155455</v>
      </c>
      <c r="Q702" s="203">
        <v>15545.5</v>
      </c>
      <c r="R702" s="203">
        <v>171000.5</v>
      </c>
      <c r="S702" s="199"/>
      <c r="T702" s="199" t="s">
        <v>310</v>
      </c>
      <c r="U702" s="197">
        <v>61131</v>
      </c>
      <c r="V702" s="197"/>
      <c r="W702" s="196" t="s">
        <v>356</v>
      </c>
      <c r="X702" s="196" t="str">
        <f>+IFERROR(VLOOKUP($F702,'[2]Chuyển đổi mã'!$A$1:$C$91,3,0),$F702)&amp;AC702</f>
        <v>Big C North320463</v>
      </c>
      <c r="Y702" s="196" t="str">
        <f>IFERROR(VLOOKUP($F702,'[2]Chuyển đổi mã'!$A$1:$C$184,3,0),F702)</f>
        <v>Big C North</v>
      </c>
      <c r="Z702" s="196" t="str">
        <f>VLOOKUP($G702,'[2]Thông tin NPP'!$B:$D,3,0)</f>
        <v>BIG C North</v>
      </c>
      <c r="AA702" s="196" t="str">
        <f t="shared" si="185"/>
        <v>Na 8,5g</v>
      </c>
      <c r="AB702" s="196" t="str">
        <f>IFERROR(VLOOKUP(DAY(B702),'[2]Chuyển đổi mã'!$F$1:$G$32,2,0),0)</f>
        <v>W4</v>
      </c>
      <c r="AC702" s="196" t="str">
        <f t="shared" si="186"/>
        <v>320463</v>
      </c>
      <c r="AD702" s="196" t="str">
        <f t="shared" si="187"/>
        <v>NPP</v>
      </c>
      <c r="AE702" s="196" t="str">
        <f t="shared" si="188"/>
        <v>NPP320463</v>
      </c>
      <c r="AF702" s="196">
        <f t="shared" si="189"/>
        <v>0</v>
      </c>
    </row>
    <row r="703" spans="1:32" ht="12.95" hidden="1" customHeight="1">
      <c r="A703" s="197">
        <v>63337</v>
      </c>
      <c r="B703" s="198">
        <v>43580</v>
      </c>
      <c r="C703" s="197" t="s">
        <v>457</v>
      </c>
      <c r="D703" s="197" t="s">
        <v>681</v>
      </c>
      <c r="E703" s="197" t="s">
        <v>346</v>
      </c>
      <c r="F703" s="197" t="s">
        <v>682</v>
      </c>
      <c r="G703" s="199" t="s">
        <v>683</v>
      </c>
      <c r="H703" s="199" t="s">
        <v>296</v>
      </c>
      <c r="I703" s="199" t="s">
        <v>395</v>
      </c>
      <c r="J703" s="199" t="s">
        <v>350</v>
      </c>
      <c r="K703" s="197" t="s">
        <v>351</v>
      </c>
      <c r="L703" s="197" t="s">
        <v>387</v>
      </c>
      <c r="M703" s="200" t="s">
        <v>388</v>
      </c>
      <c r="N703" s="201">
        <v>2</v>
      </c>
      <c r="O703" s="202">
        <v>355455</v>
      </c>
      <c r="P703" s="203">
        <v>710910</v>
      </c>
      <c r="Q703" s="203">
        <v>71091</v>
      </c>
      <c r="R703" s="203">
        <v>782001</v>
      </c>
      <c r="S703" s="199"/>
      <c r="T703" s="199" t="s">
        <v>310</v>
      </c>
      <c r="U703" s="197">
        <v>61131</v>
      </c>
      <c r="V703" s="197"/>
      <c r="W703" s="196" t="s">
        <v>356</v>
      </c>
      <c r="X703" s="196" t="str">
        <f>+IFERROR(VLOOKUP($F703,'[2]Chuyển đổi mã'!$A$1:$C$91,3,0),$F703)&amp;AC703</f>
        <v>Big C North323620</v>
      </c>
      <c r="Y703" s="196" t="str">
        <f>IFERROR(VLOOKUP($F703,'[2]Chuyển đổi mã'!$A$1:$C$184,3,0),F703)</f>
        <v>Big C North</v>
      </c>
      <c r="Z703" s="196" t="str">
        <f>VLOOKUP($G703,'[2]Thông tin NPP'!$B:$D,3,0)</f>
        <v>BIG C North</v>
      </c>
      <c r="AA703" s="196" t="str">
        <f t="shared" si="185"/>
        <v>Ahh 16g</v>
      </c>
      <c r="AB703" s="196" t="str">
        <f>IFERROR(VLOOKUP(DAY(B703),'[2]Chuyển đổi mã'!$F$1:$G$32,2,0),0)</f>
        <v>W4</v>
      </c>
      <c r="AC703" s="196" t="str">
        <f t="shared" si="186"/>
        <v>323620</v>
      </c>
      <c r="AD703" s="196" t="str">
        <f t="shared" si="187"/>
        <v>NPP</v>
      </c>
      <c r="AE703" s="196" t="str">
        <f t="shared" si="188"/>
        <v>NPP323620</v>
      </c>
      <c r="AF703" s="196">
        <f t="shared" si="189"/>
        <v>0</v>
      </c>
    </row>
    <row r="704" spans="1:32" ht="12.95" hidden="1" customHeight="1">
      <c r="A704" s="197">
        <v>63337</v>
      </c>
      <c r="B704" s="198">
        <v>43580</v>
      </c>
      <c r="C704" s="197" t="s">
        <v>457</v>
      </c>
      <c r="D704" s="197" t="s">
        <v>681</v>
      </c>
      <c r="E704" s="197" t="s">
        <v>346</v>
      </c>
      <c r="F704" s="197" t="s">
        <v>682</v>
      </c>
      <c r="G704" s="199" t="s">
        <v>683</v>
      </c>
      <c r="H704" s="199" t="s">
        <v>296</v>
      </c>
      <c r="I704" s="199" t="s">
        <v>395</v>
      </c>
      <c r="J704" s="199" t="s">
        <v>350</v>
      </c>
      <c r="K704" s="197" t="s">
        <v>351</v>
      </c>
      <c r="L704" s="197" t="s">
        <v>357</v>
      </c>
      <c r="M704" s="200" t="s">
        <v>358</v>
      </c>
      <c r="N704" s="201">
        <v>2</v>
      </c>
      <c r="O704" s="202">
        <v>213273</v>
      </c>
      <c r="P704" s="203">
        <v>426546</v>
      </c>
      <c r="Q704" s="203">
        <v>42654.6</v>
      </c>
      <c r="R704" s="203">
        <v>469200.6</v>
      </c>
      <c r="S704" s="199"/>
      <c r="T704" s="199" t="s">
        <v>310</v>
      </c>
      <c r="U704" s="197">
        <v>61131</v>
      </c>
      <c r="V704" s="197"/>
      <c r="W704" s="196" t="s">
        <v>356</v>
      </c>
      <c r="X704" s="196" t="str">
        <f>+IFERROR(VLOOKUP($F704,'[2]Chuyển đổi mã'!$A$1:$C$91,3,0),$F704)&amp;AC704</f>
        <v>Big C North323555</v>
      </c>
      <c r="Y704" s="196" t="str">
        <f>IFERROR(VLOOKUP($F704,'[2]Chuyển đổi mã'!$A$1:$C$184,3,0),F704)</f>
        <v>Big C North</v>
      </c>
      <c r="Z704" s="196" t="str">
        <f>VLOOKUP($G704,'[2]Thông tin NPP'!$B:$D,3,0)</f>
        <v>BIG C North</v>
      </c>
      <c r="AA704" s="196" t="str">
        <f t="shared" si="185"/>
        <v>Na 17g - M</v>
      </c>
      <c r="AB704" s="196" t="str">
        <f>IFERROR(VLOOKUP(DAY(B704),'[2]Chuyển đổi mã'!$F$1:$G$32,2,0),0)</f>
        <v>W4</v>
      </c>
      <c r="AC704" s="196" t="str">
        <f t="shared" si="186"/>
        <v>323555</v>
      </c>
      <c r="AD704" s="196" t="str">
        <f t="shared" si="187"/>
        <v>NPP</v>
      </c>
      <c r="AE704" s="196" t="str">
        <f t="shared" si="188"/>
        <v>NPP323555</v>
      </c>
      <c r="AF704" s="196">
        <f t="shared" si="189"/>
        <v>0</v>
      </c>
    </row>
    <row r="705" spans="1:32" ht="12.95" hidden="1" customHeight="1">
      <c r="A705" s="197">
        <v>63337</v>
      </c>
      <c r="B705" s="198">
        <v>43580</v>
      </c>
      <c r="C705" s="197" t="s">
        <v>457</v>
      </c>
      <c r="D705" s="197" t="s">
        <v>681</v>
      </c>
      <c r="E705" s="197" t="s">
        <v>346</v>
      </c>
      <c r="F705" s="197" t="s">
        <v>682</v>
      </c>
      <c r="G705" s="199" t="s">
        <v>683</v>
      </c>
      <c r="H705" s="199" t="s">
        <v>296</v>
      </c>
      <c r="I705" s="199" t="s">
        <v>395</v>
      </c>
      <c r="J705" s="199" t="s">
        <v>350</v>
      </c>
      <c r="K705" s="197" t="s">
        <v>351</v>
      </c>
      <c r="L705" s="197" t="s">
        <v>359</v>
      </c>
      <c r="M705" s="200" t="s">
        <v>360</v>
      </c>
      <c r="N705" s="201">
        <v>5</v>
      </c>
      <c r="O705" s="202">
        <v>313636</v>
      </c>
      <c r="P705" s="203">
        <v>1568180</v>
      </c>
      <c r="Q705" s="203">
        <v>156818</v>
      </c>
      <c r="R705" s="203">
        <v>1724998</v>
      </c>
      <c r="S705" s="199"/>
      <c r="T705" s="199" t="s">
        <v>310</v>
      </c>
      <c r="U705" s="197">
        <v>61131</v>
      </c>
      <c r="V705" s="197"/>
      <c r="W705" s="196" t="s">
        <v>356</v>
      </c>
      <c r="X705" s="196" t="str">
        <f>+IFERROR(VLOOKUP($F705,'[2]Chuyển đổi mã'!$A$1:$C$91,3,0),$F705)&amp;AC705</f>
        <v>Big C North320445</v>
      </c>
      <c r="Y705" s="196" t="str">
        <f>IFERROR(VLOOKUP($F705,'[2]Chuyển đổi mã'!$A$1:$C$184,3,0),F705)</f>
        <v>Big C North</v>
      </c>
      <c r="Z705" s="196" t="str">
        <f>VLOOKUP($G705,'[2]Thông tin NPP'!$B:$D,3,0)</f>
        <v>BIG C North</v>
      </c>
      <c r="AA705" s="196" t="str">
        <f t="shared" si="185"/>
        <v>Na 58g</v>
      </c>
      <c r="AB705" s="196" t="str">
        <f>IFERROR(VLOOKUP(DAY(B705),'[2]Chuyển đổi mã'!$F$1:$G$32,2,0),0)</f>
        <v>W4</v>
      </c>
      <c r="AC705" s="196" t="str">
        <f t="shared" si="186"/>
        <v>320445</v>
      </c>
      <c r="AD705" s="196" t="str">
        <f t="shared" si="187"/>
        <v>NPP</v>
      </c>
      <c r="AE705" s="196" t="str">
        <f t="shared" si="188"/>
        <v>NPP320445</v>
      </c>
      <c r="AF705" s="196">
        <f t="shared" si="189"/>
        <v>0</v>
      </c>
    </row>
    <row r="706" spans="1:32" ht="12.95" hidden="1" customHeight="1">
      <c r="A706" s="197">
        <v>63337</v>
      </c>
      <c r="B706" s="198">
        <v>43580</v>
      </c>
      <c r="C706" s="197" t="s">
        <v>457</v>
      </c>
      <c r="D706" s="197" t="s">
        <v>681</v>
      </c>
      <c r="E706" s="197" t="s">
        <v>346</v>
      </c>
      <c r="F706" s="197" t="s">
        <v>682</v>
      </c>
      <c r="G706" s="199" t="s">
        <v>683</v>
      </c>
      <c r="H706" s="199" t="s">
        <v>296</v>
      </c>
      <c r="I706" s="199" t="s">
        <v>395</v>
      </c>
      <c r="J706" s="199" t="s">
        <v>350</v>
      </c>
      <c r="K706" s="197" t="s">
        <v>351</v>
      </c>
      <c r="L706" s="197" t="s">
        <v>361</v>
      </c>
      <c r="M706" s="200" t="s">
        <v>362</v>
      </c>
      <c r="N706" s="201">
        <v>4</v>
      </c>
      <c r="O706" s="202">
        <v>313636</v>
      </c>
      <c r="P706" s="203">
        <v>1254544</v>
      </c>
      <c r="Q706" s="203">
        <v>125454.39999999999</v>
      </c>
      <c r="R706" s="203">
        <v>1379998.4</v>
      </c>
      <c r="S706" s="199"/>
      <c r="T706" s="199" t="s">
        <v>310</v>
      </c>
      <c r="U706" s="197">
        <v>61131</v>
      </c>
      <c r="V706" s="197"/>
      <c r="W706" s="196" t="s">
        <v>356</v>
      </c>
      <c r="X706" s="196" t="str">
        <f>+IFERROR(VLOOKUP($F706,'[2]Chuyển đổi mã'!$A$1:$C$91,3,0),$F706)&amp;AC706</f>
        <v>Big C North331017</v>
      </c>
      <c r="Y706" s="196" t="str">
        <f>IFERROR(VLOOKUP($F706,'[2]Chuyển đổi mã'!$A$1:$C$184,3,0),F706)</f>
        <v>Big C North</v>
      </c>
      <c r="Z706" s="196" t="str">
        <f>VLOOKUP($G706,'[2]Thông tin NPP'!$B:$D,3,0)</f>
        <v>BIG C North</v>
      </c>
      <c r="AA706" s="196" t="str">
        <f t="shared" si="185"/>
        <v>Richoco Wf</v>
      </c>
      <c r="AB706" s="196" t="str">
        <f>IFERROR(VLOOKUP(DAY(B706),'[2]Chuyển đổi mã'!$F$1:$G$32,2,0),0)</f>
        <v>W4</v>
      </c>
      <c r="AC706" s="196" t="str">
        <f t="shared" si="186"/>
        <v>331017</v>
      </c>
      <c r="AD706" s="196" t="str">
        <f t="shared" si="187"/>
        <v>NPP</v>
      </c>
      <c r="AE706" s="196" t="str">
        <f t="shared" si="188"/>
        <v>NPP331017</v>
      </c>
      <c r="AF706" s="196">
        <f t="shared" si="189"/>
        <v>0</v>
      </c>
    </row>
    <row r="707" spans="1:32" ht="12.95" hidden="1" customHeight="1">
      <c r="A707" s="197">
        <v>63337</v>
      </c>
      <c r="B707" s="198">
        <v>43580</v>
      </c>
      <c r="C707" s="197" t="s">
        <v>457</v>
      </c>
      <c r="D707" s="197" t="s">
        <v>681</v>
      </c>
      <c r="E707" s="197" t="s">
        <v>346</v>
      </c>
      <c r="F707" s="197" t="s">
        <v>682</v>
      </c>
      <c r="G707" s="199" t="s">
        <v>683</v>
      </c>
      <c r="H707" s="199" t="s">
        <v>296</v>
      </c>
      <c r="I707" s="199" t="s">
        <v>395</v>
      </c>
      <c r="J707" s="199" t="s">
        <v>350</v>
      </c>
      <c r="K707" s="197" t="s">
        <v>351</v>
      </c>
      <c r="L707" s="197" t="s">
        <v>363</v>
      </c>
      <c r="M707" s="200" t="s">
        <v>364</v>
      </c>
      <c r="N707" s="201">
        <v>2</v>
      </c>
      <c r="O707" s="202">
        <v>334545</v>
      </c>
      <c r="P707" s="203">
        <v>669090</v>
      </c>
      <c r="Q707" s="203">
        <v>66909</v>
      </c>
      <c r="R707" s="203">
        <v>735999</v>
      </c>
      <c r="S707" s="199"/>
      <c r="T707" s="199" t="s">
        <v>310</v>
      </c>
      <c r="U707" s="197">
        <v>61131</v>
      </c>
      <c r="V707" s="197"/>
      <c r="W707" s="196" t="s">
        <v>356</v>
      </c>
      <c r="X707" s="196" t="str">
        <f>+IFERROR(VLOOKUP($F707,'[2]Chuyển đổi mã'!$A$1:$C$91,3,0),$F707)&amp;AC707</f>
        <v>Big C North323708</v>
      </c>
      <c r="Y707" s="196" t="str">
        <f>IFERROR(VLOOKUP($F707,'[2]Chuyển đổi mã'!$A$1:$C$184,3,0),F707)</f>
        <v>Big C North</v>
      </c>
      <c r="Z707" s="196" t="str">
        <f>VLOOKUP($G707,'[2]Thông tin NPP'!$B:$D,3,0)</f>
        <v>BIG C North</v>
      </c>
      <c r="AA707" s="196" t="str">
        <f t="shared" si="185"/>
        <v>Nextar Bro</v>
      </c>
      <c r="AB707" s="196" t="str">
        <f>IFERROR(VLOOKUP(DAY(B707),'[2]Chuyển đổi mã'!$F$1:$G$32,2,0),0)</f>
        <v>W4</v>
      </c>
      <c r="AC707" s="196" t="str">
        <f t="shared" si="186"/>
        <v>323708</v>
      </c>
      <c r="AD707" s="196" t="str">
        <f t="shared" si="187"/>
        <v>NPP</v>
      </c>
      <c r="AE707" s="196" t="str">
        <f t="shared" si="188"/>
        <v>NPP323708</v>
      </c>
      <c r="AF707" s="196">
        <f t="shared" si="189"/>
        <v>0</v>
      </c>
    </row>
    <row r="708" spans="1:32" ht="12.95" hidden="1" customHeight="1">
      <c r="A708" s="197">
        <v>63340</v>
      </c>
      <c r="B708" s="198">
        <v>43580</v>
      </c>
      <c r="C708" s="197" t="s">
        <v>457</v>
      </c>
      <c r="D708" s="197" t="s">
        <v>684</v>
      </c>
      <c r="E708" s="197" t="s">
        <v>346</v>
      </c>
      <c r="F708" s="197" t="s">
        <v>389</v>
      </c>
      <c r="G708" s="199" t="s">
        <v>390</v>
      </c>
      <c r="H708" s="199" t="s">
        <v>296</v>
      </c>
      <c r="I708" s="199" t="s">
        <v>391</v>
      </c>
      <c r="J708" s="199" t="s">
        <v>350</v>
      </c>
      <c r="K708" s="197" t="s">
        <v>351</v>
      </c>
      <c r="L708" s="197" t="s">
        <v>352</v>
      </c>
      <c r="M708" s="200" t="s">
        <v>353</v>
      </c>
      <c r="N708" s="201">
        <v>300</v>
      </c>
      <c r="O708" s="202">
        <v>138982</v>
      </c>
      <c r="P708" s="203">
        <v>41694600</v>
      </c>
      <c r="Q708" s="203">
        <v>4169460</v>
      </c>
      <c r="R708" s="203">
        <v>45864060</v>
      </c>
      <c r="S708" s="199"/>
      <c r="T708" s="199" t="s">
        <v>310</v>
      </c>
      <c r="U708" s="197">
        <v>61119</v>
      </c>
      <c r="V708" s="197"/>
      <c r="W708" s="196" t="s">
        <v>356</v>
      </c>
      <c r="X708" s="196" t="str">
        <f>+IFERROR(VLOOKUP($F708,'[2]Chuyển đổi mã'!$A$1:$C$91,3,0),$F708)&amp;AC708</f>
        <v>NPP00000468320463</v>
      </c>
      <c r="Y708" s="196" t="str">
        <f>IFERROR(VLOOKUP($F708,'[2]Chuyển đổi mã'!$A$1:$C$184,3,0),F708)</f>
        <v>NPP00000468</v>
      </c>
      <c r="Z708" s="196" t="e">
        <f>VLOOKUP($G708,'[2]Thông tin NPP'!$B:$D,3,0)</f>
        <v>#N/A</v>
      </c>
      <c r="AA708" s="196" t="str">
        <f t="shared" si="185"/>
        <v>Na 8,5g</v>
      </c>
      <c r="AB708" s="196" t="str">
        <f>IFERROR(VLOOKUP(DAY(B708),'[2]Chuyển đổi mã'!$F$1:$G$32,2,0),0)</f>
        <v>W4</v>
      </c>
      <c r="AC708" s="196" t="str">
        <f t="shared" si="186"/>
        <v>320463</v>
      </c>
      <c r="AD708" s="196" t="str">
        <f t="shared" si="187"/>
        <v>NPP</v>
      </c>
      <c r="AE708" s="196" t="str">
        <f t="shared" si="188"/>
        <v>NPP320463</v>
      </c>
      <c r="AF708" s="196">
        <f t="shared" si="189"/>
        <v>0</v>
      </c>
    </row>
    <row r="709" spans="1:32" ht="12.95" hidden="1" customHeight="1">
      <c r="A709" s="197">
        <v>63340</v>
      </c>
      <c r="B709" s="198">
        <v>43580</v>
      </c>
      <c r="C709" s="197" t="s">
        <v>457</v>
      </c>
      <c r="D709" s="197" t="s">
        <v>684</v>
      </c>
      <c r="E709" s="197" t="s">
        <v>346</v>
      </c>
      <c r="F709" s="197" t="s">
        <v>389</v>
      </c>
      <c r="G709" s="199" t="s">
        <v>390</v>
      </c>
      <c r="H709" s="199" t="s">
        <v>296</v>
      </c>
      <c r="I709" s="199" t="s">
        <v>391</v>
      </c>
      <c r="J709" s="199" t="s">
        <v>350</v>
      </c>
      <c r="K709" s="197" t="s">
        <v>351</v>
      </c>
      <c r="L709" s="197" t="s">
        <v>387</v>
      </c>
      <c r="M709" s="200" t="s">
        <v>388</v>
      </c>
      <c r="N709" s="201">
        <v>300</v>
      </c>
      <c r="O709" s="202">
        <v>309400</v>
      </c>
      <c r="P709" s="203">
        <v>92820000</v>
      </c>
      <c r="Q709" s="203">
        <v>9282000</v>
      </c>
      <c r="R709" s="203">
        <v>102102000</v>
      </c>
      <c r="S709" s="199"/>
      <c r="T709" s="199" t="s">
        <v>310</v>
      </c>
      <c r="U709" s="197">
        <v>61119</v>
      </c>
      <c r="V709" s="197"/>
      <c r="W709" s="196" t="s">
        <v>356</v>
      </c>
      <c r="X709" s="196" t="str">
        <f>+IFERROR(VLOOKUP($F709,'[2]Chuyển đổi mã'!$A$1:$C$91,3,0),$F709)&amp;AC709</f>
        <v>NPP00000468323620</v>
      </c>
      <c r="Y709" s="196" t="str">
        <f>IFERROR(VLOOKUP($F709,'[2]Chuyển đổi mã'!$A$1:$C$184,3,0),F709)</f>
        <v>NPP00000468</v>
      </c>
      <c r="Z709" s="196" t="e">
        <f>VLOOKUP($G709,'[2]Thông tin NPP'!$B:$D,3,0)</f>
        <v>#N/A</v>
      </c>
      <c r="AA709" s="196" t="str">
        <f t="shared" si="185"/>
        <v>Ahh 16g</v>
      </c>
      <c r="AB709" s="196" t="str">
        <f>IFERROR(VLOOKUP(DAY(B709),'[2]Chuyển đổi mã'!$F$1:$G$32,2,0),0)</f>
        <v>W4</v>
      </c>
      <c r="AC709" s="196" t="str">
        <f t="shared" si="186"/>
        <v>323620</v>
      </c>
      <c r="AD709" s="196" t="str">
        <f t="shared" si="187"/>
        <v>NPP</v>
      </c>
      <c r="AE709" s="196" t="str">
        <f t="shared" si="188"/>
        <v>NPP323620</v>
      </c>
      <c r="AF709" s="196">
        <f t="shared" si="189"/>
        <v>0</v>
      </c>
    </row>
    <row r="710" spans="1:32" ht="12.95" hidden="1" customHeight="1">
      <c r="A710" s="197">
        <v>63349</v>
      </c>
      <c r="B710" s="198">
        <v>43580</v>
      </c>
      <c r="C710" s="197" t="s">
        <v>457</v>
      </c>
      <c r="D710" s="197" t="s">
        <v>685</v>
      </c>
      <c r="E710" s="197" t="s">
        <v>346</v>
      </c>
      <c r="F710" s="197" t="s">
        <v>389</v>
      </c>
      <c r="G710" s="199" t="s">
        <v>390</v>
      </c>
      <c r="H710" s="199" t="s">
        <v>296</v>
      </c>
      <c r="I710" s="199" t="s">
        <v>391</v>
      </c>
      <c r="J710" s="199" t="s">
        <v>350</v>
      </c>
      <c r="K710" s="197" t="s">
        <v>351</v>
      </c>
      <c r="L710" s="197" t="s">
        <v>359</v>
      </c>
      <c r="M710" s="200" t="s">
        <v>360</v>
      </c>
      <c r="N710" s="201">
        <v>800</v>
      </c>
      <c r="O710" s="202">
        <v>273000</v>
      </c>
      <c r="P710" s="203">
        <v>218400000</v>
      </c>
      <c r="Q710" s="203">
        <v>21840000</v>
      </c>
      <c r="R710" s="203">
        <v>240240000</v>
      </c>
      <c r="S710" s="199"/>
      <c r="T710" s="199" t="s">
        <v>310</v>
      </c>
      <c r="U710" s="197">
        <v>61120</v>
      </c>
      <c r="V710" s="197"/>
      <c r="W710" s="196" t="s">
        <v>356</v>
      </c>
      <c r="X710" s="196" t="str">
        <f>+IFERROR(VLOOKUP($F710,'[2]Chuyển đổi mã'!$A$1:$C$91,3,0),$F710)&amp;AC710</f>
        <v>NPP00000468320445</v>
      </c>
      <c r="Y710" s="196" t="str">
        <f>IFERROR(VLOOKUP($F710,'[2]Chuyển đổi mã'!$A$1:$C$184,3,0),F710)</f>
        <v>NPP00000468</v>
      </c>
      <c r="Z710" s="196" t="e">
        <f>VLOOKUP($G710,'[2]Thông tin NPP'!$B:$D,3,0)</f>
        <v>#N/A</v>
      </c>
      <c r="AA710" s="196" t="str">
        <f t="shared" si="185"/>
        <v>Na 58g</v>
      </c>
      <c r="AB710" s="196" t="str">
        <f>IFERROR(VLOOKUP(DAY(B710),'[2]Chuyển đổi mã'!$F$1:$G$32,2,0),0)</f>
        <v>W4</v>
      </c>
      <c r="AC710" s="196" t="str">
        <f t="shared" si="186"/>
        <v>320445</v>
      </c>
      <c r="AD710" s="196" t="str">
        <f t="shared" si="187"/>
        <v>NPP</v>
      </c>
      <c r="AE710" s="196" t="str">
        <f t="shared" si="188"/>
        <v>NPP320445</v>
      </c>
      <c r="AF710" s="196">
        <f t="shared" si="189"/>
        <v>0</v>
      </c>
    </row>
    <row r="711" spans="1:32" ht="12.95" hidden="1" customHeight="1">
      <c r="A711" s="197">
        <v>63353</v>
      </c>
      <c r="B711" s="198">
        <v>43580</v>
      </c>
      <c r="C711" s="197" t="s">
        <v>457</v>
      </c>
      <c r="D711" s="197" t="s">
        <v>686</v>
      </c>
      <c r="E711" s="197" t="s">
        <v>346</v>
      </c>
      <c r="F711" s="197" t="s">
        <v>389</v>
      </c>
      <c r="G711" s="199" t="s">
        <v>390</v>
      </c>
      <c r="H711" s="199" t="s">
        <v>296</v>
      </c>
      <c r="I711" s="199" t="s">
        <v>391</v>
      </c>
      <c r="J711" s="199" t="s">
        <v>350</v>
      </c>
      <c r="K711" s="197" t="s">
        <v>351</v>
      </c>
      <c r="L711" s="197" t="s">
        <v>387</v>
      </c>
      <c r="M711" s="200" t="s">
        <v>388</v>
      </c>
      <c r="N711" s="201">
        <v>200</v>
      </c>
      <c r="O711" s="202">
        <v>309400</v>
      </c>
      <c r="P711" s="203">
        <v>61880000</v>
      </c>
      <c r="Q711" s="203">
        <v>6188000</v>
      </c>
      <c r="R711" s="203">
        <v>68068000</v>
      </c>
      <c r="S711" s="199"/>
      <c r="T711" s="199" t="s">
        <v>310</v>
      </c>
      <c r="U711" s="197">
        <v>61121</v>
      </c>
      <c r="V711" s="197"/>
      <c r="W711" s="196" t="s">
        <v>356</v>
      </c>
      <c r="X711" s="196" t="str">
        <f>+IFERROR(VLOOKUP($F711,'[2]Chuyển đổi mã'!$A$1:$C$91,3,0),$F711)&amp;AC711</f>
        <v>NPP00000468323620</v>
      </c>
      <c r="Y711" s="196" t="str">
        <f>IFERROR(VLOOKUP($F711,'[2]Chuyển đổi mã'!$A$1:$C$184,3,0),F711)</f>
        <v>NPP00000468</v>
      </c>
      <c r="Z711" s="196" t="e">
        <f>VLOOKUP($G711,'[2]Thông tin NPP'!$B:$D,3,0)</f>
        <v>#N/A</v>
      </c>
      <c r="AA711" s="196" t="str">
        <f t="shared" ref="AA711:AA719" si="190">LEFT($M711,10)</f>
        <v>Ahh 16g</v>
      </c>
      <c r="AB711" s="196" t="str">
        <f>IFERROR(VLOOKUP(DAY(B711),'[2]Chuyển đổi mã'!$F$1:$G$32,2,0),0)</f>
        <v>W4</v>
      </c>
      <c r="AC711" s="196" t="str">
        <f t="shared" ref="AC711:AC719" si="191">LEFT(L711,6)</f>
        <v>323620</v>
      </c>
      <c r="AD711" s="196" t="str">
        <f t="shared" ref="AD711:AD719" si="192">LEFT(F711,3)</f>
        <v>NPP</v>
      </c>
      <c r="AE711" s="196" t="str">
        <f t="shared" ref="AE711:AE719" si="193">AD711&amp;AC711</f>
        <v>NPP323620</v>
      </c>
      <c r="AF711" s="196">
        <f t="shared" ref="AF711:AF719" si="194">IF(RIGHT(L711,1)="P","P",0)</f>
        <v>0</v>
      </c>
    </row>
    <row r="712" spans="1:32" ht="12.95" hidden="1" customHeight="1">
      <c r="A712" s="197">
        <v>63353</v>
      </c>
      <c r="B712" s="198">
        <v>43580</v>
      </c>
      <c r="C712" s="197" t="s">
        <v>457</v>
      </c>
      <c r="D712" s="197" t="s">
        <v>686</v>
      </c>
      <c r="E712" s="197" t="s">
        <v>346</v>
      </c>
      <c r="F712" s="197" t="s">
        <v>389</v>
      </c>
      <c r="G712" s="199" t="s">
        <v>390</v>
      </c>
      <c r="H712" s="199" t="s">
        <v>296</v>
      </c>
      <c r="I712" s="199" t="s">
        <v>391</v>
      </c>
      <c r="J712" s="199" t="s">
        <v>350</v>
      </c>
      <c r="K712" s="197" t="s">
        <v>351</v>
      </c>
      <c r="L712" s="197" t="s">
        <v>359</v>
      </c>
      <c r="M712" s="200" t="s">
        <v>360</v>
      </c>
      <c r="N712" s="201">
        <v>200</v>
      </c>
      <c r="O712" s="202">
        <v>273000</v>
      </c>
      <c r="P712" s="203">
        <v>54600000</v>
      </c>
      <c r="Q712" s="203">
        <v>5460000</v>
      </c>
      <c r="R712" s="203">
        <v>60060000</v>
      </c>
      <c r="S712" s="199"/>
      <c r="T712" s="199" t="s">
        <v>310</v>
      </c>
      <c r="U712" s="197">
        <v>61121</v>
      </c>
      <c r="V712" s="197"/>
      <c r="W712" s="196" t="s">
        <v>356</v>
      </c>
      <c r="X712" s="196" t="str">
        <f>+IFERROR(VLOOKUP($F712,'[2]Chuyển đổi mã'!$A$1:$C$91,3,0),$F712)&amp;AC712</f>
        <v>NPP00000468320445</v>
      </c>
      <c r="Y712" s="196" t="str">
        <f>IFERROR(VLOOKUP($F712,'[2]Chuyển đổi mã'!$A$1:$C$184,3,0),F712)</f>
        <v>NPP00000468</v>
      </c>
      <c r="Z712" s="196" t="e">
        <f>VLOOKUP($G712,'[2]Thông tin NPP'!$B:$D,3,0)</f>
        <v>#N/A</v>
      </c>
      <c r="AA712" s="196" t="str">
        <f t="shared" si="190"/>
        <v>Na 58g</v>
      </c>
      <c r="AB712" s="196" t="str">
        <f>IFERROR(VLOOKUP(DAY(B712),'[2]Chuyển đổi mã'!$F$1:$G$32,2,0),0)</f>
        <v>W4</v>
      </c>
      <c r="AC712" s="196" t="str">
        <f t="shared" si="191"/>
        <v>320445</v>
      </c>
      <c r="AD712" s="196" t="str">
        <f t="shared" si="192"/>
        <v>NPP</v>
      </c>
      <c r="AE712" s="196" t="str">
        <f t="shared" si="193"/>
        <v>NPP320445</v>
      </c>
      <c r="AF712" s="196">
        <f t="shared" si="194"/>
        <v>0</v>
      </c>
    </row>
    <row r="713" spans="1:32" ht="12.95" hidden="1" customHeight="1">
      <c r="A713" s="197">
        <v>63354</v>
      </c>
      <c r="B713" s="198">
        <v>43580</v>
      </c>
      <c r="C713" s="197" t="s">
        <v>457</v>
      </c>
      <c r="D713" s="197" t="s">
        <v>687</v>
      </c>
      <c r="E713" s="197" t="s">
        <v>346</v>
      </c>
      <c r="F713" s="197" t="s">
        <v>389</v>
      </c>
      <c r="G713" s="199" t="s">
        <v>390</v>
      </c>
      <c r="H713" s="199" t="s">
        <v>296</v>
      </c>
      <c r="I713" s="199" t="s">
        <v>391</v>
      </c>
      <c r="J713" s="199" t="s">
        <v>350</v>
      </c>
      <c r="K713" s="197" t="s">
        <v>351</v>
      </c>
      <c r="L713" s="197" t="s">
        <v>357</v>
      </c>
      <c r="M713" s="200" t="s">
        <v>358</v>
      </c>
      <c r="N713" s="201">
        <v>500</v>
      </c>
      <c r="O713" s="202">
        <v>157794</v>
      </c>
      <c r="P713" s="203">
        <v>78897000</v>
      </c>
      <c r="Q713" s="203">
        <v>7889700</v>
      </c>
      <c r="R713" s="203">
        <v>86786700</v>
      </c>
      <c r="S713" s="199" t="s">
        <v>643</v>
      </c>
      <c r="T713" s="199" t="s">
        <v>644</v>
      </c>
      <c r="U713" s="197">
        <v>61118</v>
      </c>
      <c r="V713" s="197"/>
      <c r="W713" s="196" t="s">
        <v>356</v>
      </c>
      <c r="X713" s="196" t="str">
        <f>+IFERROR(VLOOKUP($F713,'[2]Chuyển đổi mã'!$A$1:$C$91,3,0),$F713)&amp;AC713</f>
        <v>NPP00000468323555</v>
      </c>
      <c r="Y713" s="196" t="str">
        <f>IFERROR(VLOOKUP($F713,'[2]Chuyển đổi mã'!$A$1:$C$184,3,0),F713)</f>
        <v>NPP00000468</v>
      </c>
      <c r="Z713" s="196" t="e">
        <f>VLOOKUP($G713,'[2]Thông tin NPP'!$B:$D,3,0)</f>
        <v>#N/A</v>
      </c>
      <c r="AA713" s="196" t="str">
        <f t="shared" si="190"/>
        <v>Na 17g - M</v>
      </c>
      <c r="AB713" s="196" t="str">
        <f>IFERROR(VLOOKUP(DAY(B713),'[2]Chuyển đổi mã'!$F$1:$G$32,2,0),0)</f>
        <v>W4</v>
      </c>
      <c r="AC713" s="196" t="str">
        <f t="shared" si="191"/>
        <v>323555</v>
      </c>
      <c r="AD713" s="196" t="str">
        <f t="shared" si="192"/>
        <v>NPP</v>
      </c>
      <c r="AE713" s="196" t="str">
        <f t="shared" si="193"/>
        <v>NPP323555</v>
      </c>
      <c r="AF713" s="196">
        <f t="shared" si="194"/>
        <v>0</v>
      </c>
    </row>
    <row r="714" spans="1:32" ht="12.95" customHeight="1">
      <c r="A714" s="197">
        <v>63357</v>
      </c>
      <c r="B714" s="198">
        <v>43580</v>
      </c>
      <c r="C714" s="197" t="s">
        <v>457</v>
      </c>
      <c r="D714" s="197" t="s">
        <v>688</v>
      </c>
      <c r="E714" s="197" t="s">
        <v>346</v>
      </c>
      <c r="F714" s="197" t="s">
        <v>463</v>
      </c>
      <c r="G714" s="199" t="s">
        <v>464</v>
      </c>
      <c r="H714" s="199" t="s">
        <v>296</v>
      </c>
      <c r="I714" s="199" t="s">
        <v>349</v>
      </c>
      <c r="J714" s="199" t="s">
        <v>350</v>
      </c>
      <c r="K714" s="197" t="s">
        <v>351</v>
      </c>
      <c r="L714" s="197" t="s">
        <v>352</v>
      </c>
      <c r="M714" s="200" t="s">
        <v>353</v>
      </c>
      <c r="N714" s="201">
        <v>10</v>
      </c>
      <c r="O714" s="202">
        <v>155455</v>
      </c>
      <c r="P714" s="203">
        <v>1554550</v>
      </c>
      <c r="Q714" s="203">
        <v>155455</v>
      </c>
      <c r="R714" s="203">
        <v>1710005</v>
      </c>
      <c r="S714" s="199"/>
      <c r="T714" s="199" t="s">
        <v>310</v>
      </c>
      <c r="U714" s="197">
        <v>61124</v>
      </c>
      <c r="V714" s="197"/>
      <c r="W714" s="196" t="s">
        <v>356</v>
      </c>
      <c r="X714" s="196" t="str">
        <f>+IFERROR(VLOOKUP($F714,'[2]Chuyển đổi mã'!$A$1:$C$91,3,0),$F714)&amp;AC714</f>
        <v>Big C South320463</v>
      </c>
      <c r="Y714" s="196" t="str">
        <f>IFERROR(VLOOKUP($F714,'[2]Chuyển đổi mã'!$A$1:$C$184,3,0),F714)</f>
        <v>Big C South</v>
      </c>
      <c r="Z714" s="196" t="str">
        <f>VLOOKUP($G714,'[2]Thông tin NPP'!$B:$D,3,0)</f>
        <v>BIG C South</v>
      </c>
      <c r="AA714" s="196" t="str">
        <f t="shared" si="190"/>
        <v>Na 8,5g</v>
      </c>
      <c r="AB714" s="196" t="str">
        <f>IFERROR(VLOOKUP(DAY(B714),'[2]Chuyển đổi mã'!$F$1:$G$32,2,0),0)</f>
        <v>W4</v>
      </c>
      <c r="AC714" s="196" t="str">
        <f t="shared" si="191"/>
        <v>320463</v>
      </c>
      <c r="AD714" s="196" t="str">
        <f t="shared" si="192"/>
        <v>NPP</v>
      </c>
      <c r="AE714" s="196" t="str">
        <f t="shared" si="193"/>
        <v>NPP320463</v>
      </c>
      <c r="AF714" s="196">
        <f t="shared" si="194"/>
        <v>0</v>
      </c>
    </row>
    <row r="715" spans="1:32" ht="12.95" customHeight="1">
      <c r="A715" s="197">
        <v>63357</v>
      </c>
      <c r="B715" s="198">
        <v>43580</v>
      </c>
      <c r="C715" s="197" t="s">
        <v>457</v>
      </c>
      <c r="D715" s="197" t="s">
        <v>688</v>
      </c>
      <c r="E715" s="197" t="s">
        <v>346</v>
      </c>
      <c r="F715" s="197" t="s">
        <v>463</v>
      </c>
      <c r="G715" s="199" t="s">
        <v>464</v>
      </c>
      <c r="H715" s="199" t="s">
        <v>296</v>
      </c>
      <c r="I715" s="199" t="s">
        <v>349</v>
      </c>
      <c r="J715" s="199" t="s">
        <v>350</v>
      </c>
      <c r="K715" s="197" t="s">
        <v>351</v>
      </c>
      <c r="L715" s="197" t="s">
        <v>387</v>
      </c>
      <c r="M715" s="200" t="s">
        <v>388</v>
      </c>
      <c r="N715" s="201">
        <v>1</v>
      </c>
      <c r="O715" s="202">
        <v>355455</v>
      </c>
      <c r="P715" s="203">
        <v>355455</v>
      </c>
      <c r="Q715" s="203">
        <v>35545.5</v>
      </c>
      <c r="R715" s="203">
        <v>391000.5</v>
      </c>
      <c r="S715" s="199"/>
      <c r="T715" s="199" t="s">
        <v>310</v>
      </c>
      <c r="U715" s="197">
        <v>61124</v>
      </c>
      <c r="V715" s="197"/>
      <c r="W715" s="196" t="s">
        <v>356</v>
      </c>
      <c r="X715" s="196" t="str">
        <f>+IFERROR(VLOOKUP($F715,'[2]Chuyển đổi mã'!$A$1:$C$91,3,0),$F715)&amp;AC715</f>
        <v>Big C South323620</v>
      </c>
      <c r="Y715" s="196" t="str">
        <f>IFERROR(VLOOKUP($F715,'[2]Chuyển đổi mã'!$A$1:$C$184,3,0),F715)</f>
        <v>Big C South</v>
      </c>
      <c r="Z715" s="196" t="str">
        <f>VLOOKUP($G715,'[2]Thông tin NPP'!$B:$D,3,0)</f>
        <v>BIG C South</v>
      </c>
      <c r="AA715" s="196" t="str">
        <f t="shared" si="190"/>
        <v>Ahh 16g</v>
      </c>
      <c r="AB715" s="196" t="str">
        <f>IFERROR(VLOOKUP(DAY(B715),'[2]Chuyển đổi mã'!$F$1:$G$32,2,0),0)</f>
        <v>W4</v>
      </c>
      <c r="AC715" s="196" t="str">
        <f t="shared" si="191"/>
        <v>323620</v>
      </c>
      <c r="AD715" s="196" t="str">
        <f t="shared" si="192"/>
        <v>NPP</v>
      </c>
      <c r="AE715" s="196" t="str">
        <f t="shared" si="193"/>
        <v>NPP323620</v>
      </c>
      <c r="AF715" s="196">
        <f t="shared" si="194"/>
        <v>0</v>
      </c>
    </row>
    <row r="716" spans="1:32" ht="12.95" customHeight="1">
      <c r="A716" s="197">
        <v>63357</v>
      </c>
      <c r="B716" s="198">
        <v>43580</v>
      </c>
      <c r="C716" s="197" t="s">
        <v>457</v>
      </c>
      <c r="D716" s="197" t="s">
        <v>688</v>
      </c>
      <c r="E716" s="197" t="s">
        <v>346</v>
      </c>
      <c r="F716" s="197" t="s">
        <v>463</v>
      </c>
      <c r="G716" s="199" t="s">
        <v>464</v>
      </c>
      <c r="H716" s="199" t="s">
        <v>296</v>
      </c>
      <c r="I716" s="199" t="s">
        <v>349</v>
      </c>
      <c r="J716" s="199" t="s">
        <v>350</v>
      </c>
      <c r="K716" s="197" t="s">
        <v>351</v>
      </c>
      <c r="L716" s="197" t="s">
        <v>357</v>
      </c>
      <c r="M716" s="200" t="s">
        <v>358</v>
      </c>
      <c r="N716" s="201">
        <v>6</v>
      </c>
      <c r="O716" s="202">
        <v>213273</v>
      </c>
      <c r="P716" s="203">
        <v>1279638</v>
      </c>
      <c r="Q716" s="203">
        <v>127963.8</v>
      </c>
      <c r="R716" s="203">
        <v>1407601.8</v>
      </c>
      <c r="S716" s="199"/>
      <c r="T716" s="199" t="s">
        <v>310</v>
      </c>
      <c r="U716" s="197">
        <v>61124</v>
      </c>
      <c r="V716" s="197"/>
      <c r="W716" s="196" t="s">
        <v>356</v>
      </c>
      <c r="X716" s="196" t="str">
        <f>+IFERROR(VLOOKUP($F716,'[2]Chuyển đổi mã'!$A$1:$C$91,3,0),$F716)&amp;AC716</f>
        <v>Big C South323555</v>
      </c>
      <c r="Y716" s="196" t="str">
        <f>IFERROR(VLOOKUP($F716,'[2]Chuyển đổi mã'!$A$1:$C$184,3,0),F716)</f>
        <v>Big C South</v>
      </c>
      <c r="Z716" s="196" t="str">
        <f>VLOOKUP($G716,'[2]Thông tin NPP'!$B:$D,3,0)</f>
        <v>BIG C South</v>
      </c>
      <c r="AA716" s="196" t="str">
        <f t="shared" si="190"/>
        <v>Na 17g - M</v>
      </c>
      <c r="AB716" s="196" t="str">
        <f>IFERROR(VLOOKUP(DAY(B716),'[2]Chuyển đổi mã'!$F$1:$G$32,2,0),0)</f>
        <v>W4</v>
      </c>
      <c r="AC716" s="196" t="str">
        <f t="shared" si="191"/>
        <v>323555</v>
      </c>
      <c r="AD716" s="196" t="str">
        <f t="shared" si="192"/>
        <v>NPP</v>
      </c>
      <c r="AE716" s="196" t="str">
        <f t="shared" si="193"/>
        <v>NPP323555</v>
      </c>
      <c r="AF716" s="196">
        <f t="shared" si="194"/>
        <v>0</v>
      </c>
    </row>
    <row r="717" spans="1:32" ht="12.95" customHeight="1">
      <c r="A717" s="197">
        <v>63357</v>
      </c>
      <c r="B717" s="198">
        <v>43580</v>
      </c>
      <c r="C717" s="197" t="s">
        <v>457</v>
      </c>
      <c r="D717" s="197" t="s">
        <v>688</v>
      </c>
      <c r="E717" s="197" t="s">
        <v>346</v>
      </c>
      <c r="F717" s="197" t="s">
        <v>463</v>
      </c>
      <c r="G717" s="199" t="s">
        <v>464</v>
      </c>
      <c r="H717" s="199" t="s">
        <v>296</v>
      </c>
      <c r="I717" s="199" t="s">
        <v>349</v>
      </c>
      <c r="J717" s="199" t="s">
        <v>350</v>
      </c>
      <c r="K717" s="197" t="s">
        <v>351</v>
      </c>
      <c r="L717" s="197" t="s">
        <v>359</v>
      </c>
      <c r="M717" s="200" t="s">
        <v>360</v>
      </c>
      <c r="N717" s="201">
        <v>5</v>
      </c>
      <c r="O717" s="202">
        <v>313636</v>
      </c>
      <c r="P717" s="203">
        <v>1568180</v>
      </c>
      <c r="Q717" s="203">
        <v>156818</v>
      </c>
      <c r="R717" s="203">
        <v>1724998</v>
      </c>
      <c r="S717" s="199"/>
      <c r="T717" s="199" t="s">
        <v>310</v>
      </c>
      <c r="U717" s="197">
        <v>61124</v>
      </c>
      <c r="V717" s="197"/>
      <c r="W717" s="196" t="s">
        <v>356</v>
      </c>
      <c r="X717" s="196" t="str">
        <f>+IFERROR(VLOOKUP($F717,'[2]Chuyển đổi mã'!$A$1:$C$91,3,0),$F717)&amp;AC717</f>
        <v>Big C South320445</v>
      </c>
      <c r="Y717" s="196" t="str">
        <f>IFERROR(VLOOKUP($F717,'[2]Chuyển đổi mã'!$A$1:$C$184,3,0),F717)</f>
        <v>Big C South</v>
      </c>
      <c r="Z717" s="196" t="str">
        <f>VLOOKUP($G717,'[2]Thông tin NPP'!$B:$D,3,0)</f>
        <v>BIG C South</v>
      </c>
      <c r="AA717" s="196" t="str">
        <f t="shared" si="190"/>
        <v>Na 58g</v>
      </c>
      <c r="AB717" s="196" t="str">
        <f>IFERROR(VLOOKUP(DAY(B717),'[2]Chuyển đổi mã'!$F$1:$G$32,2,0),0)</f>
        <v>W4</v>
      </c>
      <c r="AC717" s="196" t="str">
        <f t="shared" si="191"/>
        <v>320445</v>
      </c>
      <c r="AD717" s="196" t="str">
        <f t="shared" si="192"/>
        <v>NPP</v>
      </c>
      <c r="AE717" s="196" t="str">
        <f t="shared" si="193"/>
        <v>NPP320445</v>
      </c>
      <c r="AF717" s="196">
        <f t="shared" si="194"/>
        <v>0</v>
      </c>
    </row>
    <row r="718" spans="1:32" ht="12.95" customHeight="1">
      <c r="A718" s="197">
        <v>63357</v>
      </c>
      <c r="B718" s="198">
        <v>43580</v>
      </c>
      <c r="C718" s="197" t="s">
        <v>457</v>
      </c>
      <c r="D718" s="197" t="s">
        <v>688</v>
      </c>
      <c r="E718" s="197" t="s">
        <v>346</v>
      </c>
      <c r="F718" s="197" t="s">
        <v>463</v>
      </c>
      <c r="G718" s="199" t="s">
        <v>464</v>
      </c>
      <c r="H718" s="199" t="s">
        <v>296</v>
      </c>
      <c r="I718" s="199" t="s">
        <v>349</v>
      </c>
      <c r="J718" s="199" t="s">
        <v>350</v>
      </c>
      <c r="K718" s="197" t="s">
        <v>351</v>
      </c>
      <c r="L718" s="197" t="s">
        <v>361</v>
      </c>
      <c r="M718" s="200" t="s">
        <v>362</v>
      </c>
      <c r="N718" s="201">
        <v>3</v>
      </c>
      <c r="O718" s="202">
        <v>313636</v>
      </c>
      <c r="P718" s="203">
        <v>940908</v>
      </c>
      <c r="Q718" s="203">
        <v>94090.8</v>
      </c>
      <c r="R718" s="203">
        <v>1034998.8</v>
      </c>
      <c r="S718" s="199"/>
      <c r="T718" s="199" t="s">
        <v>310</v>
      </c>
      <c r="U718" s="197">
        <v>61124</v>
      </c>
      <c r="V718" s="197"/>
      <c r="W718" s="196" t="s">
        <v>356</v>
      </c>
      <c r="X718" s="196" t="str">
        <f>+IFERROR(VLOOKUP($F718,'[2]Chuyển đổi mã'!$A$1:$C$91,3,0),$F718)&amp;AC718</f>
        <v>Big C South331017</v>
      </c>
      <c r="Y718" s="196" t="str">
        <f>IFERROR(VLOOKUP($F718,'[2]Chuyển đổi mã'!$A$1:$C$184,3,0),F718)</f>
        <v>Big C South</v>
      </c>
      <c r="Z718" s="196" t="str">
        <f>VLOOKUP($G718,'[2]Thông tin NPP'!$B:$D,3,0)</f>
        <v>BIG C South</v>
      </c>
      <c r="AA718" s="196" t="str">
        <f t="shared" si="190"/>
        <v>Richoco Wf</v>
      </c>
      <c r="AB718" s="196" t="str">
        <f>IFERROR(VLOOKUP(DAY(B718),'[2]Chuyển đổi mã'!$F$1:$G$32,2,0),0)</f>
        <v>W4</v>
      </c>
      <c r="AC718" s="196" t="str">
        <f t="shared" si="191"/>
        <v>331017</v>
      </c>
      <c r="AD718" s="196" t="str">
        <f t="shared" si="192"/>
        <v>NPP</v>
      </c>
      <c r="AE718" s="196" t="str">
        <f t="shared" si="193"/>
        <v>NPP331017</v>
      </c>
      <c r="AF718" s="196">
        <f t="shared" si="194"/>
        <v>0</v>
      </c>
    </row>
    <row r="719" spans="1:32" ht="12.95" customHeight="1">
      <c r="A719" s="197">
        <v>63357</v>
      </c>
      <c r="B719" s="198">
        <v>43580</v>
      </c>
      <c r="C719" s="197" t="s">
        <v>457</v>
      </c>
      <c r="D719" s="197" t="s">
        <v>688</v>
      </c>
      <c r="E719" s="197" t="s">
        <v>346</v>
      </c>
      <c r="F719" s="197" t="s">
        <v>463</v>
      </c>
      <c r="G719" s="199" t="s">
        <v>464</v>
      </c>
      <c r="H719" s="199" t="s">
        <v>296</v>
      </c>
      <c r="I719" s="199" t="s">
        <v>349</v>
      </c>
      <c r="J719" s="199" t="s">
        <v>350</v>
      </c>
      <c r="K719" s="197" t="s">
        <v>351</v>
      </c>
      <c r="L719" s="197" t="s">
        <v>363</v>
      </c>
      <c r="M719" s="200" t="s">
        <v>364</v>
      </c>
      <c r="N719" s="201">
        <v>3</v>
      </c>
      <c r="O719" s="202">
        <v>334545</v>
      </c>
      <c r="P719" s="203">
        <v>1003635</v>
      </c>
      <c r="Q719" s="203">
        <v>100363.5</v>
      </c>
      <c r="R719" s="203">
        <v>1103998.5</v>
      </c>
      <c r="S719" s="199"/>
      <c r="T719" s="199" t="s">
        <v>310</v>
      </c>
      <c r="U719" s="197">
        <v>61124</v>
      </c>
      <c r="V719" s="197"/>
      <c r="W719" s="196" t="s">
        <v>356</v>
      </c>
      <c r="X719" s="196" t="str">
        <f>+IFERROR(VLOOKUP($F719,'[2]Chuyển đổi mã'!$A$1:$C$91,3,0),$F719)&amp;AC719</f>
        <v>Big C South323708</v>
      </c>
      <c r="Y719" s="196" t="str">
        <f>IFERROR(VLOOKUP($F719,'[2]Chuyển đổi mã'!$A$1:$C$184,3,0),F719)</f>
        <v>Big C South</v>
      </c>
      <c r="Z719" s="196" t="str">
        <f>VLOOKUP($G719,'[2]Thông tin NPP'!$B:$D,3,0)</f>
        <v>BIG C South</v>
      </c>
      <c r="AA719" s="196" t="str">
        <f t="shared" si="190"/>
        <v>Nextar Bro</v>
      </c>
      <c r="AB719" s="196" t="str">
        <f>IFERROR(VLOOKUP(DAY(B719),'[2]Chuyển đổi mã'!$F$1:$G$32,2,0),0)</f>
        <v>W4</v>
      </c>
      <c r="AC719" s="196" t="str">
        <f t="shared" si="191"/>
        <v>323708</v>
      </c>
      <c r="AD719" s="196" t="str">
        <f t="shared" si="192"/>
        <v>NPP</v>
      </c>
      <c r="AE719" s="196" t="str">
        <f t="shared" si="193"/>
        <v>NPP323708</v>
      </c>
      <c r="AF719" s="196">
        <f t="shared" si="194"/>
        <v>0</v>
      </c>
    </row>
    <row r="720" spans="1:32" ht="12.95" customHeight="1">
      <c r="A720" s="197">
        <v>63397</v>
      </c>
      <c r="B720" s="198">
        <v>43581</v>
      </c>
      <c r="C720" s="197" t="s">
        <v>457</v>
      </c>
      <c r="D720" s="197" t="s">
        <v>689</v>
      </c>
      <c r="E720" s="197" t="s">
        <v>346</v>
      </c>
      <c r="F720" s="197" t="s">
        <v>438</v>
      </c>
      <c r="G720" s="199" t="s">
        <v>439</v>
      </c>
      <c r="H720" s="199" t="s">
        <v>296</v>
      </c>
      <c r="I720" s="199" t="s">
        <v>349</v>
      </c>
      <c r="J720" s="199" t="s">
        <v>350</v>
      </c>
      <c r="K720" s="197" t="s">
        <v>351</v>
      </c>
      <c r="L720" s="197" t="s">
        <v>352</v>
      </c>
      <c r="M720" s="200" t="s">
        <v>353</v>
      </c>
      <c r="N720" s="201">
        <v>32</v>
      </c>
      <c r="O720" s="202">
        <v>119700.35</v>
      </c>
      <c r="P720" s="203">
        <v>3830411.2</v>
      </c>
      <c r="Q720" s="203">
        <v>383041.12</v>
      </c>
      <c r="R720" s="203">
        <v>4213452.32</v>
      </c>
      <c r="S720" s="199" t="s">
        <v>354</v>
      </c>
      <c r="T720" s="199" t="s">
        <v>355</v>
      </c>
      <c r="U720" s="197">
        <v>61074</v>
      </c>
      <c r="V720" s="197" t="s">
        <v>690</v>
      </c>
      <c r="W720" s="196" t="s">
        <v>356</v>
      </c>
      <c r="X720" s="196" t="str">
        <f>+IFERROR(VLOOKUP($F720,'[2]Chuyển đổi mã'!$A$1:$C$91,3,0),$F720)&amp;AC720</f>
        <v>Big C South320463</v>
      </c>
      <c r="Y720" s="196" t="str">
        <f>IFERROR(VLOOKUP($F720,'[2]Chuyển đổi mã'!$A$1:$C$184,3,0),F720)</f>
        <v>Big C South</v>
      </c>
      <c r="Z720" s="196" t="str">
        <f>VLOOKUP($G720,'[2]Thông tin NPP'!$B:$D,3,0)</f>
        <v>Big C South</v>
      </c>
      <c r="AA720" s="196" t="str">
        <f t="shared" ref="AA720:AA724" si="195">LEFT($M720,10)</f>
        <v>Na 8,5g</v>
      </c>
      <c r="AB720" s="196" t="str">
        <f>IFERROR(VLOOKUP(DAY(B720),'[2]Chuyển đổi mã'!$F$1:$G$32,2,0),0)</f>
        <v>W4</v>
      </c>
      <c r="AC720" s="196" t="str">
        <f t="shared" ref="AC720:AC724" si="196">LEFT(L720,6)</f>
        <v>320463</v>
      </c>
      <c r="AD720" s="196" t="str">
        <f t="shared" ref="AD720:AD724" si="197">LEFT(F720,3)</f>
        <v>NPP</v>
      </c>
      <c r="AE720" s="196" t="str">
        <f t="shared" ref="AE720:AE724" si="198">AD720&amp;AC720</f>
        <v>NPP320463</v>
      </c>
      <c r="AF720" s="196">
        <f t="shared" ref="AF720:AF724" si="199">IF(RIGHT(L720,1)="P","P",0)</f>
        <v>0</v>
      </c>
    </row>
    <row r="721" spans="1:32" ht="12.95" customHeight="1">
      <c r="A721" s="197">
        <v>63397</v>
      </c>
      <c r="B721" s="198">
        <v>43581</v>
      </c>
      <c r="C721" s="197" t="s">
        <v>457</v>
      </c>
      <c r="D721" s="197" t="s">
        <v>689</v>
      </c>
      <c r="E721" s="197" t="s">
        <v>346</v>
      </c>
      <c r="F721" s="197" t="s">
        <v>438</v>
      </c>
      <c r="G721" s="199" t="s">
        <v>439</v>
      </c>
      <c r="H721" s="199" t="s">
        <v>296</v>
      </c>
      <c r="I721" s="199" t="s">
        <v>349</v>
      </c>
      <c r="J721" s="199" t="s">
        <v>350</v>
      </c>
      <c r="K721" s="197" t="s">
        <v>351</v>
      </c>
      <c r="L721" s="197" t="s">
        <v>387</v>
      </c>
      <c r="M721" s="200" t="s">
        <v>388</v>
      </c>
      <c r="N721" s="201">
        <v>12</v>
      </c>
      <c r="O721" s="202">
        <v>355455</v>
      </c>
      <c r="P721" s="203">
        <v>4265460</v>
      </c>
      <c r="Q721" s="203">
        <v>426546</v>
      </c>
      <c r="R721" s="203">
        <v>4692006</v>
      </c>
      <c r="S721" s="199"/>
      <c r="T721" s="199" t="s">
        <v>310</v>
      </c>
      <c r="U721" s="197">
        <v>61074</v>
      </c>
      <c r="V721" s="197" t="s">
        <v>690</v>
      </c>
      <c r="W721" s="196" t="s">
        <v>356</v>
      </c>
      <c r="X721" s="196" t="str">
        <f>+IFERROR(VLOOKUP($F721,'[2]Chuyển đổi mã'!$A$1:$C$91,3,0),$F721)&amp;AC721</f>
        <v>Big C South323620</v>
      </c>
      <c r="Y721" s="196" t="str">
        <f>IFERROR(VLOOKUP($F721,'[2]Chuyển đổi mã'!$A$1:$C$184,3,0),F721)</f>
        <v>Big C South</v>
      </c>
      <c r="Z721" s="196" t="str">
        <f>VLOOKUP($G721,'[2]Thông tin NPP'!$B:$D,3,0)</f>
        <v>Big C South</v>
      </c>
      <c r="AA721" s="196" t="str">
        <f t="shared" si="195"/>
        <v>Ahh 16g</v>
      </c>
      <c r="AB721" s="196" t="str">
        <f>IFERROR(VLOOKUP(DAY(B721),'[2]Chuyển đổi mã'!$F$1:$G$32,2,0),0)</f>
        <v>W4</v>
      </c>
      <c r="AC721" s="196" t="str">
        <f t="shared" si="196"/>
        <v>323620</v>
      </c>
      <c r="AD721" s="196" t="str">
        <f t="shared" si="197"/>
        <v>NPP</v>
      </c>
      <c r="AE721" s="196" t="str">
        <f t="shared" si="198"/>
        <v>NPP323620</v>
      </c>
      <c r="AF721" s="196">
        <f t="shared" si="199"/>
        <v>0</v>
      </c>
    </row>
    <row r="722" spans="1:32" ht="12.95" customHeight="1">
      <c r="A722" s="197">
        <v>63397</v>
      </c>
      <c r="B722" s="198">
        <v>43581</v>
      </c>
      <c r="C722" s="197" t="s">
        <v>457</v>
      </c>
      <c r="D722" s="197" t="s">
        <v>689</v>
      </c>
      <c r="E722" s="197" t="s">
        <v>346</v>
      </c>
      <c r="F722" s="197" t="s">
        <v>438</v>
      </c>
      <c r="G722" s="199" t="s">
        <v>439</v>
      </c>
      <c r="H722" s="199" t="s">
        <v>296</v>
      </c>
      <c r="I722" s="199" t="s">
        <v>349</v>
      </c>
      <c r="J722" s="199" t="s">
        <v>350</v>
      </c>
      <c r="K722" s="197" t="s">
        <v>351</v>
      </c>
      <c r="L722" s="197" t="s">
        <v>385</v>
      </c>
      <c r="M722" s="200" t="s">
        <v>386</v>
      </c>
      <c r="N722" s="201">
        <v>27</v>
      </c>
      <c r="O722" s="202">
        <v>213273</v>
      </c>
      <c r="P722" s="203">
        <v>5758371</v>
      </c>
      <c r="Q722" s="203">
        <v>575837.1</v>
      </c>
      <c r="R722" s="203">
        <v>6334208.0999999996</v>
      </c>
      <c r="S722" s="199"/>
      <c r="T722" s="199" t="s">
        <v>310</v>
      </c>
      <c r="U722" s="197">
        <v>61074</v>
      </c>
      <c r="V722" s="197" t="s">
        <v>690</v>
      </c>
      <c r="W722" s="196" t="s">
        <v>356</v>
      </c>
      <c r="X722" s="196" t="str">
        <f>+IFERROR(VLOOKUP($F722,'[2]Chuyển đổi mã'!$A$1:$C$91,3,0),$F722)&amp;AC722</f>
        <v>Big C South323545</v>
      </c>
      <c r="Y722" s="196" t="str">
        <f>IFERROR(VLOOKUP($F722,'[2]Chuyển đổi mã'!$A$1:$C$184,3,0),F722)</f>
        <v>Big C South</v>
      </c>
      <c r="Z722" s="196" t="str">
        <f>VLOOKUP($G722,'[2]Thông tin NPP'!$B:$D,3,0)</f>
        <v>Big C South</v>
      </c>
      <c r="AA722" s="196" t="str">
        <f t="shared" si="195"/>
        <v>Na 17g - T</v>
      </c>
      <c r="AB722" s="196" t="str">
        <f>IFERROR(VLOOKUP(DAY(B722),'[2]Chuyển đổi mã'!$F$1:$G$32,2,0),0)</f>
        <v>W4</v>
      </c>
      <c r="AC722" s="196" t="str">
        <f t="shared" si="196"/>
        <v>323545</v>
      </c>
      <c r="AD722" s="196" t="str">
        <f t="shared" si="197"/>
        <v>NPP</v>
      </c>
      <c r="AE722" s="196" t="str">
        <f t="shared" si="198"/>
        <v>NPP323545</v>
      </c>
      <c r="AF722" s="196">
        <f t="shared" si="199"/>
        <v>0</v>
      </c>
    </row>
    <row r="723" spans="1:32" ht="12.95" customHeight="1">
      <c r="A723" s="197">
        <v>63397</v>
      </c>
      <c r="B723" s="198">
        <v>43581</v>
      </c>
      <c r="C723" s="197" t="s">
        <v>457</v>
      </c>
      <c r="D723" s="197" t="s">
        <v>689</v>
      </c>
      <c r="E723" s="197" t="s">
        <v>346</v>
      </c>
      <c r="F723" s="197" t="s">
        <v>438</v>
      </c>
      <c r="G723" s="199" t="s">
        <v>439</v>
      </c>
      <c r="H723" s="199" t="s">
        <v>296</v>
      </c>
      <c r="I723" s="199" t="s">
        <v>349</v>
      </c>
      <c r="J723" s="199" t="s">
        <v>350</v>
      </c>
      <c r="K723" s="197" t="s">
        <v>351</v>
      </c>
      <c r="L723" s="197" t="s">
        <v>359</v>
      </c>
      <c r="M723" s="200" t="s">
        <v>360</v>
      </c>
      <c r="N723" s="201">
        <v>4</v>
      </c>
      <c r="O723" s="202">
        <v>313636</v>
      </c>
      <c r="P723" s="203">
        <v>1254544</v>
      </c>
      <c r="Q723" s="203">
        <v>125454.39999999999</v>
      </c>
      <c r="R723" s="203">
        <v>1379998.4</v>
      </c>
      <c r="S723" s="199"/>
      <c r="T723" s="199" t="s">
        <v>310</v>
      </c>
      <c r="U723" s="197">
        <v>61074</v>
      </c>
      <c r="V723" s="197" t="s">
        <v>690</v>
      </c>
      <c r="W723" s="196" t="s">
        <v>356</v>
      </c>
      <c r="X723" s="196" t="str">
        <f>+IFERROR(VLOOKUP($F723,'[2]Chuyển đổi mã'!$A$1:$C$91,3,0),$F723)&amp;AC723</f>
        <v>Big C South320445</v>
      </c>
      <c r="Y723" s="196" t="str">
        <f>IFERROR(VLOOKUP($F723,'[2]Chuyển đổi mã'!$A$1:$C$184,3,0),F723)</f>
        <v>Big C South</v>
      </c>
      <c r="Z723" s="196" t="str">
        <f>VLOOKUP($G723,'[2]Thông tin NPP'!$B:$D,3,0)</f>
        <v>Big C South</v>
      </c>
      <c r="AA723" s="196" t="str">
        <f t="shared" si="195"/>
        <v>Na 58g</v>
      </c>
      <c r="AB723" s="196" t="str">
        <f>IFERROR(VLOOKUP(DAY(B723),'[2]Chuyển đổi mã'!$F$1:$G$32,2,0),0)</f>
        <v>W4</v>
      </c>
      <c r="AC723" s="196" t="str">
        <f t="shared" si="196"/>
        <v>320445</v>
      </c>
      <c r="AD723" s="196" t="str">
        <f t="shared" si="197"/>
        <v>NPP</v>
      </c>
      <c r="AE723" s="196" t="str">
        <f t="shared" si="198"/>
        <v>NPP320445</v>
      </c>
      <c r="AF723" s="196">
        <f t="shared" si="199"/>
        <v>0</v>
      </c>
    </row>
    <row r="724" spans="1:32" ht="12.95" customHeight="1">
      <c r="A724" s="197">
        <v>63397</v>
      </c>
      <c r="B724" s="198">
        <v>43581</v>
      </c>
      <c r="C724" s="197" t="s">
        <v>457</v>
      </c>
      <c r="D724" s="197" t="s">
        <v>689</v>
      </c>
      <c r="E724" s="197" t="s">
        <v>346</v>
      </c>
      <c r="F724" s="197" t="s">
        <v>438</v>
      </c>
      <c r="G724" s="199" t="s">
        <v>439</v>
      </c>
      <c r="H724" s="199" t="s">
        <v>296</v>
      </c>
      <c r="I724" s="199" t="s">
        <v>349</v>
      </c>
      <c r="J724" s="199" t="s">
        <v>350</v>
      </c>
      <c r="K724" s="197" t="s">
        <v>351</v>
      </c>
      <c r="L724" s="197" t="s">
        <v>361</v>
      </c>
      <c r="M724" s="200" t="s">
        <v>362</v>
      </c>
      <c r="N724" s="201">
        <v>7</v>
      </c>
      <c r="O724" s="202">
        <v>313636</v>
      </c>
      <c r="P724" s="203">
        <v>2195452</v>
      </c>
      <c r="Q724" s="203">
        <v>219545.2</v>
      </c>
      <c r="R724" s="203">
        <v>2414997.2000000002</v>
      </c>
      <c r="S724" s="199"/>
      <c r="T724" s="199" t="s">
        <v>310</v>
      </c>
      <c r="U724" s="197">
        <v>61074</v>
      </c>
      <c r="V724" s="197" t="s">
        <v>690</v>
      </c>
      <c r="W724" s="196" t="s">
        <v>356</v>
      </c>
      <c r="X724" s="196" t="str">
        <f>+IFERROR(VLOOKUP($F724,'[2]Chuyển đổi mã'!$A$1:$C$91,3,0),$F724)&amp;AC724</f>
        <v>Big C South331017</v>
      </c>
      <c r="Y724" s="196" t="str">
        <f>IFERROR(VLOOKUP($F724,'[2]Chuyển đổi mã'!$A$1:$C$184,3,0),F724)</f>
        <v>Big C South</v>
      </c>
      <c r="Z724" s="196" t="str">
        <f>VLOOKUP($G724,'[2]Thông tin NPP'!$B:$D,3,0)</f>
        <v>Big C South</v>
      </c>
      <c r="AA724" s="196" t="str">
        <f t="shared" si="195"/>
        <v>Richoco Wf</v>
      </c>
      <c r="AB724" s="196" t="str">
        <f>IFERROR(VLOOKUP(DAY(B724),'[2]Chuyển đổi mã'!$F$1:$G$32,2,0),0)</f>
        <v>W4</v>
      </c>
      <c r="AC724" s="196" t="str">
        <f t="shared" si="196"/>
        <v>331017</v>
      </c>
      <c r="AD724" s="196" t="str">
        <f t="shared" si="197"/>
        <v>NPP</v>
      </c>
      <c r="AE724" s="196" t="str">
        <f t="shared" si="198"/>
        <v>NPP331017</v>
      </c>
      <c r="AF724" s="196">
        <f t="shared" si="199"/>
        <v>0</v>
      </c>
    </row>
    <row r="725" spans="1:32" ht="12.95" customHeight="1">
      <c r="A725" s="197">
        <v>63432</v>
      </c>
      <c r="B725" s="198">
        <v>43581</v>
      </c>
      <c r="C725" s="197" t="s">
        <v>457</v>
      </c>
      <c r="D725" s="197" t="s">
        <v>691</v>
      </c>
      <c r="E725" s="197" t="s">
        <v>346</v>
      </c>
      <c r="F725" s="197" t="s">
        <v>459</v>
      </c>
      <c r="G725" s="199" t="s">
        <v>460</v>
      </c>
      <c r="H725" s="199" t="s">
        <v>296</v>
      </c>
      <c r="I725" s="199" t="s">
        <v>349</v>
      </c>
      <c r="J725" s="199" t="s">
        <v>350</v>
      </c>
      <c r="K725" s="197" t="s">
        <v>351</v>
      </c>
      <c r="L725" s="197" t="s">
        <v>352</v>
      </c>
      <c r="M725" s="200" t="s">
        <v>353</v>
      </c>
      <c r="N725" s="201">
        <v>30</v>
      </c>
      <c r="O725" s="202">
        <v>115036.7</v>
      </c>
      <c r="P725" s="203">
        <v>3451101</v>
      </c>
      <c r="Q725" s="203">
        <v>345110.1</v>
      </c>
      <c r="R725" s="203">
        <v>3796211.1</v>
      </c>
      <c r="S725" s="199" t="s">
        <v>544</v>
      </c>
      <c r="T725" s="199" t="s">
        <v>545</v>
      </c>
      <c r="U725" s="197">
        <v>61150</v>
      </c>
      <c r="V725" s="197"/>
      <c r="W725" s="196" t="s">
        <v>356</v>
      </c>
      <c r="X725" s="196" t="str">
        <f>+IFERROR(VLOOKUP($F725,'[2]Chuyển đổi mã'!$A$1:$C$91,3,0),$F725)&amp;AC725</f>
        <v>Lotte South320463</v>
      </c>
      <c r="Y725" s="196" t="str">
        <f>IFERROR(VLOOKUP($F725,'[2]Chuyển đổi mã'!$A$1:$C$184,3,0),F725)</f>
        <v>Lotte South</v>
      </c>
      <c r="Z725" s="196" t="str">
        <f>VLOOKUP($G725,'[2]Thông tin NPP'!$B:$D,3,0)</f>
        <v>Lotte South</v>
      </c>
      <c r="AA725" s="196" t="str">
        <f t="shared" ref="AA725:AA744" si="200">LEFT($M725,10)</f>
        <v>Na 8,5g</v>
      </c>
      <c r="AB725" s="196" t="str">
        <f>IFERROR(VLOOKUP(DAY(B725),'[2]Chuyển đổi mã'!$F$1:$G$32,2,0),0)</f>
        <v>W4</v>
      </c>
      <c r="AC725" s="196" t="str">
        <f t="shared" ref="AC725:AC744" si="201">LEFT(L725,6)</f>
        <v>320463</v>
      </c>
      <c r="AD725" s="196" t="str">
        <f t="shared" ref="AD725:AD744" si="202">LEFT(F725,3)</f>
        <v>NPP</v>
      </c>
      <c r="AE725" s="196" t="str">
        <f t="shared" ref="AE725:AE744" si="203">AD725&amp;AC725</f>
        <v>NPP320463</v>
      </c>
      <c r="AF725" s="196">
        <f t="shared" ref="AF725:AF744" si="204">IF(RIGHT(L725,1)="P","P",0)</f>
        <v>0</v>
      </c>
    </row>
    <row r="726" spans="1:32" ht="12.95" customHeight="1">
      <c r="A726" s="197">
        <v>63432</v>
      </c>
      <c r="B726" s="198">
        <v>43581</v>
      </c>
      <c r="C726" s="197" t="s">
        <v>457</v>
      </c>
      <c r="D726" s="197" t="s">
        <v>691</v>
      </c>
      <c r="E726" s="197" t="s">
        <v>346</v>
      </c>
      <c r="F726" s="197" t="s">
        <v>459</v>
      </c>
      <c r="G726" s="199" t="s">
        <v>460</v>
      </c>
      <c r="H726" s="199" t="s">
        <v>296</v>
      </c>
      <c r="I726" s="199" t="s">
        <v>349</v>
      </c>
      <c r="J726" s="199" t="s">
        <v>350</v>
      </c>
      <c r="K726" s="197" t="s">
        <v>351</v>
      </c>
      <c r="L726" s="197" t="s">
        <v>387</v>
      </c>
      <c r="M726" s="200" t="s">
        <v>388</v>
      </c>
      <c r="N726" s="201">
        <v>5</v>
      </c>
      <c r="O726" s="202">
        <v>340000</v>
      </c>
      <c r="P726" s="203">
        <v>1700000</v>
      </c>
      <c r="Q726" s="203">
        <v>170000</v>
      </c>
      <c r="R726" s="203">
        <v>1870000</v>
      </c>
      <c r="S726" s="199"/>
      <c r="T726" s="199" t="s">
        <v>310</v>
      </c>
      <c r="U726" s="197">
        <v>61150</v>
      </c>
      <c r="V726" s="197"/>
      <c r="W726" s="196" t="s">
        <v>356</v>
      </c>
      <c r="X726" s="196" t="str">
        <f>+IFERROR(VLOOKUP($F726,'[2]Chuyển đổi mã'!$A$1:$C$91,3,0),$F726)&amp;AC726</f>
        <v>Lotte South323620</v>
      </c>
      <c r="Y726" s="196" t="str">
        <f>IFERROR(VLOOKUP($F726,'[2]Chuyển đổi mã'!$A$1:$C$184,3,0),F726)</f>
        <v>Lotte South</v>
      </c>
      <c r="Z726" s="196" t="str">
        <f>VLOOKUP($G726,'[2]Thông tin NPP'!$B:$D,3,0)</f>
        <v>Lotte South</v>
      </c>
      <c r="AA726" s="196" t="str">
        <f t="shared" si="200"/>
        <v>Ahh 16g</v>
      </c>
      <c r="AB726" s="196" t="str">
        <f>IFERROR(VLOOKUP(DAY(B726),'[2]Chuyển đổi mã'!$F$1:$G$32,2,0),0)</f>
        <v>W4</v>
      </c>
      <c r="AC726" s="196" t="str">
        <f t="shared" si="201"/>
        <v>323620</v>
      </c>
      <c r="AD726" s="196" t="str">
        <f t="shared" si="202"/>
        <v>NPP</v>
      </c>
      <c r="AE726" s="196" t="str">
        <f t="shared" si="203"/>
        <v>NPP323620</v>
      </c>
      <c r="AF726" s="196">
        <f t="shared" si="204"/>
        <v>0</v>
      </c>
    </row>
    <row r="727" spans="1:32" ht="12.95" customHeight="1">
      <c r="A727" s="197">
        <v>63432</v>
      </c>
      <c r="B727" s="198">
        <v>43581</v>
      </c>
      <c r="C727" s="197" t="s">
        <v>457</v>
      </c>
      <c r="D727" s="197" t="s">
        <v>691</v>
      </c>
      <c r="E727" s="197" t="s">
        <v>346</v>
      </c>
      <c r="F727" s="197" t="s">
        <v>459</v>
      </c>
      <c r="G727" s="199" t="s">
        <v>460</v>
      </c>
      <c r="H727" s="199" t="s">
        <v>296</v>
      </c>
      <c r="I727" s="199" t="s">
        <v>349</v>
      </c>
      <c r="J727" s="199" t="s">
        <v>350</v>
      </c>
      <c r="K727" s="197" t="s">
        <v>351</v>
      </c>
      <c r="L727" s="197" t="s">
        <v>361</v>
      </c>
      <c r="M727" s="200" t="s">
        <v>362</v>
      </c>
      <c r="N727" s="201">
        <v>1</v>
      </c>
      <c r="O727" s="202">
        <v>300000</v>
      </c>
      <c r="P727" s="203">
        <v>300000</v>
      </c>
      <c r="Q727" s="203">
        <v>30000</v>
      </c>
      <c r="R727" s="203">
        <v>330000</v>
      </c>
      <c r="S727" s="199"/>
      <c r="T727" s="199" t="s">
        <v>310</v>
      </c>
      <c r="U727" s="197">
        <v>61150</v>
      </c>
      <c r="V727" s="197"/>
      <c r="W727" s="196" t="s">
        <v>356</v>
      </c>
      <c r="X727" s="196" t="str">
        <f>+IFERROR(VLOOKUP($F727,'[2]Chuyển đổi mã'!$A$1:$C$91,3,0),$F727)&amp;AC727</f>
        <v>Lotte South331017</v>
      </c>
      <c r="Y727" s="196" t="str">
        <f>IFERROR(VLOOKUP($F727,'[2]Chuyển đổi mã'!$A$1:$C$184,3,0),F727)</f>
        <v>Lotte South</v>
      </c>
      <c r="Z727" s="196" t="str">
        <f>VLOOKUP($G727,'[2]Thông tin NPP'!$B:$D,3,0)</f>
        <v>Lotte South</v>
      </c>
      <c r="AA727" s="196" t="str">
        <f t="shared" si="200"/>
        <v>Richoco Wf</v>
      </c>
      <c r="AB727" s="196" t="str">
        <f>IFERROR(VLOOKUP(DAY(B727),'[2]Chuyển đổi mã'!$F$1:$G$32,2,0),0)</f>
        <v>W4</v>
      </c>
      <c r="AC727" s="196" t="str">
        <f t="shared" si="201"/>
        <v>331017</v>
      </c>
      <c r="AD727" s="196" t="str">
        <f t="shared" si="202"/>
        <v>NPP</v>
      </c>
      <c r="AE727" s="196" t="str">
        <f t="shared" si="203"/>
        <v>NPP331017</v>
      </c>
      <c r="AF727" s="196">
        <f t="shared" si="204"/>
        <v>0</v>
      </c>
    </row>
    <row r="728" spans="1:32" ht="12.95" customHeight="1">
      <c r="A728" s="197">
        <v>63432</v>
      </c>
      <c r="B728" s="198">
        <v>43581</v>
      </c>
      <c r="C728" s="197" t="s">
        <v>457</v>
      </c>
      <c r="D728" s="197" t="s">
        <v>691</v>
      </c>
      <c r="E728" s="197" t="s">
        <v>346</v>
      </c>
      <c r="F728" s="197" t="s">
        <v>459</v>
      </c>
      <c r="G728" s="199" t="s">
        <v>460</v>
      </c>
      <c r="H728" s="199" t="s">
        <v>296</v>
      </c>
      <c r="I728" s="199" t="s">
        <v>349</v>
      </c>
      <c r="J728" s="199" t="s">
        <v>350</v>
      </c>
      <c r="K728" s="197" t="s">
        <v>351</v>
      </c>
      <c r="L728" s="197" t="s">
        <v>359</v>
      </c>
      <c r="M728" s="200" t="s">
        <v>360</v>
      </c>
      <c r="N728" s="201">
        <v>2</v>
      </c>
      <c r="O728" s="202">
        <v>300000</v>
      </c>
      <c r="P728" s="203">
        <v>600000</v>
      </c>
      <c r="Q728" s="203">
        <v>60000</v>
      </c>
      <c r="R728" s="203">
        <v>660000</v>
      </c>
      <c r="S728" s="199"/>
      <c r="T728" s="199" t="s">
        <v>310</v>
      </c>
      <c r="U728" s="197">
        <v>61150</v>
      </c>
      <c r="V728" s="197"/>
      <c r="W728" s="196" t="s">
        <v>356</v>
      </c>
      <c r="X728" s="196" t="str">
        <f>+IFERROR(VLOOKUP($F728,'[2]Chuyển đổi mã'!$A$1:$C$91,3,0),$F728)&amp;AC728</f>
        <v>Lotte South320445</v>
      </c>
      <c r="Y728" s="196" t="str">
        <f>IFERROR(VLOOKUP($F728,'[2]Chuyển đổi mã'!$A$1:$C$184,3,0),F728)</f>
        <v>Lotte South</v>
      </c>
      <c r="Z728" s="196" t="str">
        <f>VLOOKUP($G728,'[2]Thông tin NPP'!$B:$D,3,0)</f>
        <v>Lotte South</v>
      </c>
      <c r="AA728" s="196" t="str">
        <f t="shared" si="200"/>
        <v>Na 58g</v>
      </c>
      <c r="AB728" s="196" t="str">
        <f>IFERROR(VLOOKUP(DAY(B728),'[2]Chuyển đổi mã'!$F$1:$G$32,2,0),0)</f>
        <v>W4</v>
      </c>
      <c r="AC728" s="196" t="str">
        <f t="shared" si="201"/>
        <v>320445</v>
      </c>
      <c r="AD728" s="196" t="str">
        <f t="shared" si="202"/>
        <v>NPP</v>
      </c>
      <c r="AE728" s="196" t="str">
        <f t="shared" si="203"/>
        <v>NPP320445</v>
      </c>
      <c r="AF728" s="196">
        <f t="shared" si="204"/>
        <v>0</v>
      </c>
    </row>
    <row r="729" spans="1:32" ht="12.95" customHeight="1">
      <c r="A729" s="197">
        <v>63432</v>
      </c>
      <c r="B729" s="198">
        <v>43581</v>
      </c>
      <c r="C729" s="197" t="s">
        <v>457</v>
      </c>
      <c r="D729" s="197" t="s">
        <v>691</v>
      </c>
      <c r="E729" s="197" t="s">
        <v>346</v>
      </c>
      <c r="F729" s="197" t="s">
        <v>459</v>
      </c>
      <c r="G729" s="199" t="s">
        <v>460</v>
      </c>
      <c r="H729" s="199" t="s">
        <v>296</v>
      </c>
      <c r="I729" s="199" t="s">
        <v>349</v>
      </c>
      <c r="J729" s="199" t="s">
        <v>350</v>
      </c>
      <c r="K729" s="197" t="s">
        <v>351</v>
      </c>
      <c r="L729" s="197" t="s">
        <v>357</v>
      </c>
      <c r="M729" s="200" t="s">
        <v>358</v>
      </c>
      <c r="N729" s="201">
        <v>5</v>
      </c>
      <c r="O729" s="202">
        <v>213273</v>
      </c>
      <c r="P729" s="203">
        <v>1066365</v>
      </c>
      <c r="Q729" s="203">
        <v>106636.5</v>
      </c>
      <c r="R729" s="203">
        <v>1173001.5</v>
      </c>
      <c r="S729" s="199"/>
      <c r="T729" s="199" t="s">
        <v>310</v>
      </c>
      <c r="U729" s="197">
        <v>61150</v>
      </c>
      <c r="V729" s="197"/>
      <c r="W729" s="196" t="s">
        <v>356</v>
      </c>
      <c r="X729" s="196" t="str">
        <f>+IFERROR(VLOOKUP($F729,'[2]Chuyển đổi mã'!$A$1:$C$91,3,0),$F729)&amp;AC729</f>
        <v>Lotte South323555</v>
      </c>
      <c r="Y729" s="196" t="str">
        <f>IFERROR(VLOOKUP($F729,'[2]Chuyển đổi mã'!$A$1:$C$184,3,0),F729)</f>
        <v>Lotte South</v>
      </c>
      <c r="Z729" s="196" t="str">
        <f>VLOOKUP($G729,'[2]Thông tin NPP'!$B:$D,3,0)</f>
        <v>Lotte South</v>
      </c>
      <c r="AA729" s="196" t="str">
        <f t="shared" si="200"/>
        <v>Na 17g - M</v>
      </c>
      <c r="AB729" s="196" t="str">
        <f>IFERROR(VLOOKUP(DAY(B729),'[2]Chuyển đổi mã'!$F$1:$G$32,2,0),0)</f>
        <v>W4</v>
      </c>
      <c r="AC729" s="196" t="str">
        <f t="shared" si="201"/>
        <v>323555</v>
      </c>
      <c r="AD729" s="196" t="str">
        <f t="shared" si="202"/>
        <v>NPP</v>
      </c>
      <c r="AE729" s="196" t="str">
        <f t="shared" si="203"/>
        <v>NPP323555</v>
      </c>
      <c r="AF729" s="196">
        <f t="shared" si="204"/>
        <v>0</v>
      </c>
    </row>
    <row r="730" spans="1:32" ht="12.95" customHeight="1">
      <c r="A730" s="197">
        <v>63432</v>
      </c>
      <c r="B730" s="198">
        <v>43581</v>
      </c>
      <c r="C730" s="197" t="s">
        <v>457</v>
      </c>
      <c r="D730" s="197" t="s">
        <v>691</v>
      </c>
      <c r="E730" s="197" t="s">
        <v>346</v>
      </c>
      <c r="F730" s="197" t="s">
        <v>459</v>
      </c>
      <c r="G730" s="199" t="s">
        <v>460</v>
      </c>
      <c r="H730" s="199" t="s">
        <v>296</v>
      </c>
      <c r="I730" s="199" t="s">
        <v>349</v>
      </c>
      <c r="J730" s="199" t="s">
        <v>350</v>
      </c>
      <c r="K730" s="197" t="s">
        <v>351</v>
      </c>
      <c r="L730" s="197" t="s">
        <v>363</v>
      </c>
      <c r="M730" s="200" t="s">
        <v>364</v>
      </c>
      <c r="N730" s="201">
        <v>2</v>
      </c>
      <c r="O730" s="202">
        <v>320000</v>
      </c>
      <c r="P730" s="203">
        <v>640000</v>
      </c>
      <c r="Q730" s="203">
        <v>64000</v>
      </c>
      <c r="R730" s="203">
        <v>704000</v>
      </c>
      <c r="S730" s="199"/>
      <c r="T730" s="199" t="s">
        <v>310</v>
      </c>
      <c r="U730" s="197">
        <v>61150</v>
      </c>
      <c r="V730" s="197"/>
      <c r="W730" s="196" t="s">
        <v>356</v>
      </c>
      <c r="X730" s="196" t="str">
        <f>+IFERROR(VLOOKUP($F730,'[2]Chuyển đổi mã'!$A$1:$C$91,3,0),$F730)&amp;AC730</f>
        <v>Lotte South323708</v>
      </c>
      <c r="Y730" s="196" t="str">
        <f>IFERROR(VLOOKUP($F730,'[2]Chuyển đổi mã'!$A$1:$C$184,3,0),F730)</f>
        <v>Lotte South</v>
      </c>
      <c r="Z730" s="196" t="str">
        <f>VLOOKUP($G730,'[2]Thông tin NPP'!$B:$D,3,0)</f>
        <v>Lotte South</v>
      </c>
      <c r="AA730" s="196" t="str">
        <f t="shared" si="200"/>
        <v>Nextar Bro</v>
      </c>
      <c r="AB730" s="196" t="str">
        <f>IFERROR(VLOOKUP(DAY(B730),'[2]Chuyển đổi mã'!$F$1:$G$32,2,0),0)</f>
        <v>W4</v>
      </c>
      <c r="AC730" s="196" t="str">
        <f t="shared" si="201"/>
        <v>323708</v>
      </c>
      <c r="AD730" s="196" t="str">
        <f t="shared" si="202"/>
        <v>NPP</v>
      </c>
      <c r="AE730" s="196" t="str">
        <f t="shared" si="203"/>
        <v>NPP323708</v>
      </c>
      <c r="AF730" s="196">
        <f t="shared" si="204"/>
        <v>0</v>
      </c>
    </row>
    <row r="731" spans="1:32" ht="12.95" customHeight="1">
      <c r="A731" s="197">
        <v>63433</v>
      </c>
      <c r="B731" s="198">
        <v>43581</v>
      </c>
      <c r="C731" s="197" t="s">
        <v>457</v>
      </c>
      <c r="D731" s="197" t="s">
        <v>692</v>
      </c>
      <c r="E731" s="197" t="s">
        <v>346</v>
      </c>
      <c r="F731" s="197" t="s">
        <v>459</v>
      </c>
      <c r="G731" s="199" t="s">
        <v>460</v>
      </c>
      <c r="H731" s="199" t="s">
        <v>296</v>
      </c>
      <c r="I731" s="199" t="s">
        <v>349</v>
      </c>
      <c r="J731" s="199" t="s">
        <v>350</v>
      </c>
      <c r="K731" s="197" t="s">
        <v>351</v>
      </c>
      <c r="L731" s="197" t="s">
        <v>352</v>
      </c>
      <c r="M731" s="200" t="s">
        <v>353</v>
      </c>
      <c r="N731" s="201">
        <v>20</v>
      </c>
      <c r="O731" s="202">
        <v>115036.7</v>
      </c>
      <c r="P731" s="203">
        <v>2300734</v>
      </c>
      <c r="Q731" s="203">
        <v>230073.4</v>
      </c>
      <c r="R731" s="203">
        <v>2530807.4</v>
      </c>
      <c r="S731" s="199" t="s">
        <v>544</v>
      </c>
      <c r="T731" s="199" t="s">
        <v>545</v>
      </c>
      <c r="U731" s="197">
        <v>61151</v>
      </c>
      <c r="V731" s="197"/>
      <c r="W731" s="196" t="s">
        <v>356</v>
      </c>
      <c r="X731" s="196" t="str">
        <f>+IFERROR(VLOOKUP($F731,'[2]Chuyển đổi mã'!$A$1:$C$91,3,0),$F731)&amp;AC731</f>
        <v>Lotte South320463</v>
      </c>
      <c r="Y731" s="196" t="str">
        <f>IFERROR(VLOOKUP($F731,'[2]Chuyển đổi mã'!$A$1:$C$184,3,0),F731)</f>
        <v>Lotte South</v>
      </c>
      <c r="Z731" s="196" t="str">
        <f>VLOOKUP($G731,'[2]Thông tin NPP'!$B:$D,3,0)</f>
        <v>Lotte South</v>
      </c>
      <c r="AA731" s="196" t="str">
        <f t="shared" si="200"/>
        <v>Na 8,5g</v>
      </c>
      <c r="AB731" s="196" t="str">
        <f>IFERROR(VLOOKUP(DAY(B731),'[2]Chuyển đổi mã'!$F$1:$G$32,2,0),0)</f>
        <v>W4</v>
      </c>
      <c r="AC731" s="196" t="str">
        <f t="shared" si="201"/>
        <v>320463</v>
      </c>
      <c r="AD731" s="196" t="str">
        <f t="shared" si="202"/>
        <v>NPP</v>
      </c>
      <c r="AE731" s="196" t="str">
        <f t="shared" si="203"/>
        <v>NPP320463</v>
      </c>
      <c r="AF731" s="196">
        <f t="shared" si="204"/>
        <v>0</v>
      </c>
    </row>
    <row r="732" spans="1:32" ht="12.95" customHeight="1">
      <c r="A732" s="197">
        <v>63433</v>
      </c>
      <c r="B732" s="198">
        <v>43581</v>
      </c>
      <c r="C732" s="197" t="s">
        <v>457</v>
      </c>
      <c r="D732" s="197" t="s">
        <v>692</v>
      </c>
      <c r="E732" s="197" t="s">
        <v>346</v>
      </c>
      <c r="F732" s="197" t="s">
        <v>459</v>
      </c>
      <c r="G732" s="199" t="s">
        <v>460</v>
      </c>
      <c r="H732" s="199" t="s">
        <v>296</v>
      </c>
      <c r="I732" s="199" t="s">
        <v>349</v>
      </c>
      <c r="J732" s="199" t="s">
        <v>350</v>
      </c>
      <c r="K732" s="197" t="s">
        <v>351</v>
      </c>
      <c r="L732" s="197" t="s">
        <v>387</v>
      </c>
      <c r="M732" s="200" t="s">
        <v>388</v>
      </c>
      <c r="N732" s="201">
        <v>10</v>
      </c>
      <c r="O732" s="202">
        <v>340000</v>
      </c>
      <c r="P732" s="203">
        <v>3400000</v>
      </c>
      <c r="Q732" s="203">
        <v>340000</v>
      </c>
      <c r="R732" s="203">
        <v>3740000</v>
      </c>
      <c r="S732" s="199"/>
      <c r="T732" s="199" t="s">
        <v>310</v>
      </c>
      <c r="U732" s="197">
        <v>61151</v>
      </c>
      <c r="V732" s="197"/>
      <c r="W732" s="196" t="s">
        <v>356</v>
      </c>
      <c r="X732" s="196" t="str">
        <f>+IFERROR(VLOOKUP($F732,'[2]Chuyển đổi mã'!$A$1:$C$91,3,0),$F732)&amp;AC732</f>
        <v>Lotte South323620</v>
      </c>
      <c r="Y732" s="196" t="str">
        <f>IFERROR(VLOOKUP($F732,'[2]Chuyển đổi mã'!$A$1:$C$184,3,0),F732)</f>
        <v>Lotte South</v>
      </c>
      <c r="Z732" s="196" t="str">
        <f>VLOOKUP($G732,'[2]Thông tin NPP'!$B:$D,3,0)</f>
        <v>Lotte South</v>
      </c>
      <c r="AA732" s="196" t="str">
        <f t="shared" si="200"/>
        <v>Ahh 16g</v>
      </c>
      <c r="AB732" s="196" t="str">
        <f>IFERROR(VLOOKUP(DAY(B732),'[2]Chuyển đổi mã'!$F$1:$G$32,2,0),0)</f>
        <v>W4</v>
      </c>
      <c r="AC732" s="196" t="str">
        <f t="shared" si="201"/>
        <v>323620</v>
      </c>
      <c r="AD732" s="196" t="str">
        <f t="shared" si="202"/>
        <v>NPP</v>
      </c>
      <c r="AE732" s="196" t="str">
        <f t="shared" si="203"/>
        <v>NPP323620</v>
      </c>
      <c r="AF732" s="196">
        <f t="shared" si="204"/>
        <v>0</v>
      </c>
    </row>
    <row r="733" spans="1:32" ht="12.95" customHeight="1">
      <c r="A733" s="197">
        <v>63433</v>
      </c>
      <c r="B733" s="198">
        <v>43581</v>
      </c>
      <c r="C733" s="197" t="s">
        <v>457</v>
      </c>
      <c r="D733" s="197" t="s">
        <v>692</v>
      </c>
      <c r="E733" s="197" t="s">
        <v>346</v>
      </c>
      <c r="F733" s="197" t="s">
        <v>459</v>
      </c>
      <c r="G733" s="199" t="s">
        <v>460</v>
      </c>
      <c r="H733" s="199" t="s">
        <v>296</v>
      </c>
      <c r="I733" s="199" t="s">
        <v>349</v>
      </c>
      <c r="J733" s="199" t="s">
        <v>350</v>
      </c>
      <c r="K733" s="197" t="s">
        <v>351</v>
      </c>
      <c r="L733" s="197" t="s">
        <v>357</v>
      </c>
      <c r="M733" s="200" t="s">
        <v>358</v>
      </c>
      <c r="N733" s="201">
        <v>10</v>
      </c>
      <c r="O733" s="202">
        <v>213273</v>
      </c>
      <c r="P733" s="203">
        <v>2132730</v>
      </c>
      <c r="Q733" s="203">
        <v>213273</v>
      </c>
      <c r="R733" s="203">
        <v>2346003</v>
      </c>
      <c r="S733" s="199"/>
      <c r="T733" s="199" t="s">
        <v>310</v>
      </c>
      <c r="U733" s="197">
        <v>61151</v>
      </c>
      <c r="V733" s="197"/>
      <c r="W733" s="196" t="s">
        <v>356</v>
      </c>
      <c r="X733" s="196" t="str">
        <f>+IFERROR(VLOOKUP($F733,'[2]Chuyển đổi mã'!$A$1:$C$91,3,0),$F733)&amp;AC733</f>
        <v>Lotte South323555</v>
      </c>
      <c r="Y733" s="196" t="str">
        <f>IFERROR(VLOOKUP($F733,'[2]Chuyển đổi mã'!$A$1:$C$184,3,0),F733)</f>
        <v>Lotte South</v>
      </c>
      <c r="Z733" s="196" t="str">
        <f>VLOOKUP($G733,'[2]Thông tin NPP'!$B:$D,3,0)</f>
        <v>Lotte South</v>
      </c>
      <c r="AA733" s="196" t="str">
        <f t="shared" si="200"/>
        <v>Na 17g - M</v>
      </c>
      <c r="AB733" s="196" t="str">
        <f>IFERROR(VLOOKUP(DAY(B733),'[2]Chuyển đổi mã'!$F$1:$G$32,2,0),0)</f>
        <v>W4</v>
      </c>
      <c r="AC733" s="196" t="str">
        <f t="shared" si="201"/>
        <v>323555</v>
      </c>
      <c r="AD733" s="196" t="str">
        <f t="shared" si="202"/>
        <v>NPP</v>
      </c>
      <c r="AE733" s="196" t="str">
        <f t="shared" si="203"/>
        <v>NPP323555</v>
      </c>
      <c r="AF733" s="196">
        <f t="shared" si="204"/>
        <v>0</v>
      </c>
    </row>
    <row r="734" spans="1:32" ht="12.95" customHeight="1">
      <c r="A734" s="197">
        <v>63433</v>
      </c>
      <c r="B734" s="198">
        <v>43581</v>
      </c>
      <c r="C734" s="197" t="s">
        <v>457</v>
      </c>
      <c r="D734" s="197" t="s">
        <v>692</v>
      </c>
      <c r="E734" s="197" t="s">
        <v>346</v>
      </c>
      <c r="F734" s="197" t="s">
        <v>459</v>
      </c>
      <c r="G734" s="199" t="s">
        <v>460</v>
      </c>
      <c r="H734" s="199" t="s">
        <v>296</v>
      </c>
      <c r="I734" s="199" t="s">
        <v>349</v>
      </c>
      <c r="J734" s="199" t="s">
        <v>350</v>
      </c>
      <c r="K734" s="197" t="s">
        <v>351</v>
      </c>
      <c r="L734" s="197" t="s">
        <v>363</v>
      </c>
      <c r="M734" s="200" t="s">
        <v>364</v>
      </c>
      <c r="N734" s="201">
        <v>3</v>
      </c>
      <c r="O734" s="202">
        <v>320000</v>
      </c>
      <c r="P734" s="203">
        <v>960000</v>
      </c>
      <c r="Q734" s="203">
        <v>96000</v>
      </c>
      <c r="R734" s="203">
        <v>1056000</v>
      </c>
      <c r="S734" s="199"/>
      <c r="T734" s="199" t="s">
        <v>310</v>
      </c>
      <c r="U734" s="197">
        <v>61151</v>
      </c>
      <c r="V734" s="197"/>
      <c r="W734" s="196" t="s">
        <v>356</v>
      </c>
      <c r="X734" s="196" t="str">
        <f>+IFERROR(VLOOKUP($F734,'[2]Chuyển đổi mã'!$A$1:$C$91,3,0),$F734)&amp;AC734</f>
        <v>Lotte South323708</v>
      </c>
      <c r="Y734" s="196" t="str">
        <f>IFERROR(VLOOKUP($F734,'[2]Chuyển đổi mã'!$A$1:$C$184,3,0),F734)</f>
        <v>Lotte South</v>
      </c>
      <c r="Z734" s="196" t="str">
        <f>VLOOKUP($G734,'[2]Thông tin NPP'!$B:$D,3,0)</f>
        <v>Lotte South</v>
      </c>
      <c r="AA734" s="196" t="str">
        <f t="shared" si="200"/>
        <v>Nextar Bro</v>
      </c>
      <c r="AB734" s="196" t="str">
        <f>IFERROR(VLOOKUP(DAY(B734),'[2]Chuyển đổi mã'!$F$1:$G$32,2,0),0)</f>
        <v>W4</v>
      </c>
      <c r="AC734" s="196" t="str">
        <f t="shared" si="201"/>
        <v>323708</v>
      </c>
      <c r="AD734" s="196" t="str">
        <f t="shared" si="202"/>
        <v>NPP</v>
      </c>
      <c r="AE734" s="196" t="str">
        <f t="shared" si="203"/>
        <v>NPP323708</v>
      </c>
      <c r="AF734" s="196">
        <f t="shared" si="204"/>
        <v>0</v>
      </c>
    </row>
    <row r="735" spans="1:32" ht="12.95" customHeight="1">
      <c r="A735" s="197">
        <v>63434</v>
      </c>
      <c r="B735" s="198">
        <v>43581</v>
      </c>
      <c r="C735" s="197" t="s">
        <v>457</v>
      </c>
      <c r="D735" s="197" t="s">
        <v>693</v>
      </c>
      <c r="E735" s="197" t="s">
        <v>346</v>
      </c>
      <c r="F735" s="197" t="s">
        <v>484</v>
      </c>
      <c r="G735" s="199" t="s">
        <v>485</v>
      </c>
      <c r="H735" s="199" t="s">
        <v>296</v>
      </c>
      <c r="I735" s="199" t="s">
        <v>349</v>
      </c>
      <c r="J735" s="199" t="s">
        <v>350</v>
      </c>
      <c r="K735" s="197" t="s">
        <v>351</v>
      </c>
      <c r="L735" s="197" t="s">
        <v>352</v>
      </c>
      <c r="M735" s="200" t="s">
        <v>353</v>
      </c>
      <c r="N735" s="201">
        <v>10</v>
      </c>
      <c r="O735" s="202">
        <v>115036.7</v>
      </c>
      <c r="P735" s="203">
        <v>1150367</v>
      </c>
      <c r="Q735" s="203">
        <v>115036.7</v>
      </c>
      <c r="R735" s="203">
        <v>1265403.7</v>
      </c>
      <c r="S735" s="199" t="s">
        <v>544</v>
      </c>
      <c r="T735" s="199" t="s">
        <v>545</v>
      </c>
      <c r="U735" s="197">
        <v>61152</v>
      </c>
      <c r="V735" s="197"/>
      <c r="W735" s="196" t="s">
        <v>356</v>
      </c>
      <c r="X735" s="196" t="str">
        <f>+IFERROR(VLOOKUP($F735,'[2]Chuyển đổi mã'!$A$1:$C$91,3,0),$F735)&amp;AC735</f>
        <v>Lotte South320463</v>
      </c>
      <c r="Y735" s="196" t="str">
        <f>IFERROR(VLOOKUP($F735,'[2]Chuyển đổi mã'!$A$1:$C$184,3,0),F735)</f>
        <v>Lotte South</v>
      </c>
      <c r="Z735" s="196" t="str">
        <f>VLOOKUP($G735,'[2]Thông tin NPP'!$B:$D,3,0)</f>
        <v>Lotte South</v>
      </c>
      <c r="AA735" s="196" t="str">
        <f t="shared" si="200"/>
        <v>Na 8,5g</v>
      </c>
      <c r="AB735" s="196" t="str">
        <f>IFERROR(VLOOKUP(DAY(B735),'[2]Chuyển đổi mã'!$F$1:$G$32,2,0),0)</f>
        <v>W4</v>
      </c>
      <c r="AC735" s="196" t="str">
        <f t="shared" si="201"/>
        <v>320463</v>
      </c>
      <c r="AD735" s="196" t="str">
        <f t="shared" si="202"/>
        <v>NPP</v>
      </c>
      <c r="AE735" s="196" t="str">
        <f t="shared" si="203"/>
        <v>NPP320463</v>
      </c>
      <c r="AF735" s="196">
        <f t="shared" si="204"/>
        <v>0</v>
      </c>
    </row>
    <row r="736" spans="1:32" ht="12.95" customHeight="1">
      <c r="A736" s="197">
        <v>63434</v>
      </c>
      <c r="B736" s="198">
        <v>43581</v>
      </c>
      <c r="C736" s="197" t="s">
        <v>457</v>
      </c>
      <c r="D736" s="197" t="s">
        <v>693</v>
      </c>
      <c r="E736" s="197" t="s">
        <v>346</v>
      </c>
      <c r="F736" s="197" t="s">
        <v>484</v>
      </c>
      <c r="G736" s="199" t="s">
        <v>485</v>
      </c>
      <c r="H736" s="199" t="s">
        <v>296</v>
      </c>
      <c r="I736" s="199" t="s">
        <v>349</v>
      </c>
      <c r="J736" s="199" t="s">
        <v>350</v>
      </c>
      <c r="K736" s="197" t="s">
        <v>351</v>
      </c>
      <c r="L736" s="197" t="s">
        <v>378</v>
      </c>
      <c r="M736" s="200" t="s">
        <v>379</v>
      </c>
      <c r="N736" s="201">
        <v>3</v>
      </c>
      <c r="O736" s="202">
        <v>213273</v>
      </c>
      <c r="P736" s="203">
        <v>639819</v>
      </c>
      <c r="Q736" s="203">
        <v>63981.9</v>
      </c>
      <c r="R736" s="203">
        <v>703800.9</v>
      </c>
      <c r="S736" s="199"/>
      <c r="T736" s="199" t="s">
        <v>310</v>
      </c>
      <c r="U736" s="197">
        <v>61152</v>
      </c>
      <c r="V736" s="197"/>
      <c r="W736" s="196" t="s">
        <v>356</v>
      </c>
      <c r="X736" s="196" t="str">
        <f>+IFERROR(VLOOKUP($F736,'[2]Chuyển đổi mã'!$A$1:$C$91,3,0),$F736)&amp;AC736</f>
        <v>Lotte South321238</v>
      </c>
      <c r="Y736" s="196" t="str">
        <f>IFERROR(VLOOKUP($F736,'[2]Chuyển đổi mã'!$A$1:$C$184,3,0),F736)</f>
        <v>Lotte South</v>
      </c>
      <c r="Z736" s="196" t="str">
        <f>VLOOKUP($G736,'[2]Thông tin NPP'!$B:$D,3,0)</f>
        <v>Lotte South</v>
      </c>
      <c r="AA736" s="196" t="str">
        <f t="shared" si="200"/>
        <v>Richoco Wf</v>
      </c>
      <c r="AB736" s="196" t="str">
        <f>IFERROR(VLOOKUP(DAY(B736),'[2]Chuyển đổi mã'!$F$1:$G$32,2,0),0)</f>
        <v>W4</v>
      </c>
      <c r="AC736" s="196" t="str">
        <f t="shared" si="201"/>
        <v>321238</v>
      </c>
      <c r="AD736" s="196" t="str">
        <f t="shared" si="202"/>
        <v>NPP</v>
      </c>
      <c r="AE736" s="196" t="str">
        <f t="shared" si="203"/>
        <v>NPP321238</v>
      </c>
      <c r="AF736" s="196">
        <f t="shared" si="204"/>
        <v>0</v>
      </c>
    </row>
    <row r="737" spans="1:32" ht="12.95" customHeight="1">
      <c r="A737" s="197">
        <v>63434</v>
      </c>
      <c r="B737" s="198">
        <v>43581</v>
      </c>
      <c r="C737" s="197" t="s">
        <v>457</v>
      </c>
      <c r="D737" s="197" t="s">
        <v>693</v>
      </c>
      <c r="E737" s="197" t="s">
        <v>346</v>
      </c>
      <c r="F737" s="197" t="s">
        <v>484</v>
      </c>
      <c r="G737" s="199" t="s">
        <v>485</v>
      </c>
      <c r="H737" s="199" t="s">
        <v>296</v>
      </c>
      <c r="I737" s="199" t="s">
        <v>349</v>
      </c>
      <c r="J737" s="199" t="s">
        <v>350</v>
      </c>
      <c r="K737" s="197" t="s">
        <v>351</v>
      </c>
      <c r="L737" s="197" t="s">
        <v>361</v>
      </c>
      <c r="M737" s="200" t="s">
        <v>362</v>
      </c>
      <c r="N737" s="201">
        <v>1</v>
      </c>
      <c r="O737" s="202">
        <v>300000</v>
      </c>
      <c r="P737" s="203">
        <v>300000</v>
      </c>
      <c r="Q737" s="203">
        <v>30000</v>
      </c>
      <c r="R737" s="203">
        <v>330000</v>
      </c>
      <c r="S737" s="199"/>
      <c r="T737" s="199" t="s">
        <v>310</v>
      </c>
      <c r="U737" s="197">
        <v>61152</v>
      </c>
      <c r="V737" s="197"/>
      <c r="W737" s="196" t="s">
        <v>356</v>
      </c>
      <c r="X737" s="196" t="str">
        <f>+IFERROR(VLOOKUP($F737,'[2]Chuyển đổi mã'!$A$1:$C$91,3,0),$F737)&amp;AC737</f>
        <v>Lotte South331017</v>
      </c>
      <c r="Y737" s="196" t="str">
        <f>IFERROR(VLOOKUP($F737,'[2]Chuyển đổi mã'!$A$1:$C$184,3,0),F737)</f>
        <v>Lotte South</v>
      </c>
      <c r="Z737" s="196" t="str">
        <f>VLOOKUP($G737,'[2]Thông tin NPP'!$B:$D,3,0)</f>
        <v>Lotte South</v>
      </c>
      <c r="AA737" s="196" t="str">
        <f t="shared" si="200"/>
        <v>Richoco Wf</v>
      </c>
      <c r="AB737" s="196" t="str">
        <f>IFERROR(VLOOKUP(DAY(B737),'[2]Chuyển đổi mã'!$F$1:$G$32,2,0),0)</f>
        <v>W4</v>
      </c>
      <c r="AC737" s="196" t="str">
        <f t="shared" si="201"/>
        <v>331017</v>
      </c>
      <c r="AD737" s="196" t="str">
        <f t="shared" si="202"/>
        <v>NPP</v>
      </c>
      <c r="AE737" s="196" t="str">
        <f t="shared" si="203"/>
        <v>NPP331017</v>
      </c>
      <c r="AF737" s="196">
        <f t="shared" si="204"/>
        <v>0</v>
      </c>
    </row>
    <row r="738" spans="1:32" ht="12.95" customHeight="1">
      <c r="A738" s="197">
        <v>63434</v>
      </c>
      <c r="B738" s="198">
        <v>43581</v>
      </c>
      <c r="C738" s="197" t="s">
        <v>457</v>
      </c>
      <c r="D738" s="197" t="s">
        <v>693</v>
      </c>
      <c r="E738" s="197" t="s">
        <v>346</v>
      </c>
      <c r="F738" s="197" t="s">
        <v>484</v>
      </c>
      <c r="G738" s="199" t="s">
        <v>485</v>
      </c>
      <c r="H738" s="199" t="s">
        <v>296</v>
      </c>
      <c r="I738" s="199" t="s">
        <v>349</v>
      </c>
      <c r="J738" s="199" t="s">
        <v>350</v>
      </c>
      <c r="K738" s="197" t="s">
        <v>351</v>
      </c>
      <c r="L738" s="197" t="s">
        <v>359</v>
      </c>
      <c r="M738" s="200" t="s">
        <v>360</v>
      </c>
      <c r="N738" s="201">
        <v>1</v>
      </c>
      <c r="O738" s="202">
        <v>300000</v>
      </c>
      <c r="P738" s="203">
        <v>300000</v>
      </c>
      <c r="Q738" s="203">
        <v>30000</v>
      </c>
      <c r="R738" s="203">
        <v>330000</v>
      </c>
      <c r="S738" s="199"/>
      <c r="T738" s="199" t="s">
        <v>310</v>
      </c>
      <c r="U738" s="197">
        <v>61152</v>
      </c>
      <c r="V738" s="197"/>
      <c r="W738" s="196" t="s">
        <v>356</v>
      </c>
      <c r="X738" s="196" t="str">
        <f>+IFERROR(VLOOKUP($F738,'[2]Chuyển đổi mã'!$A$1:$C$91,3,0),$F738)&amp;AC738</f>
        <v>Lotte South320445</v>
      </c>
      <c r="Y738" s="196" t="str">
        <f>IFERROR(VLOOKUP($F738,'[2]Chuyển đổi mã'!$A$1:$C$184,3,0),F738)</f>
        <v>Lotte South</v>
      </c>
      <c r="Z738" s="196" t="str">
        <f>VLOOKUP($G738,'[2]Thông tin NPP'!$B:$D,3,0)</f>
        <v>Lotte South</v>
      </c>
      <c r="AA738" s="196" t="str">
        <f t="shared" si="200"/>
        <v>Na 58g</v>
      </c>
      <c r="AB738" s="196" t="str">
        <f>IFERROR(VLOOKUP(DAY(B738),'[2]Chuyển đổi mã'!$F$1:$G$32,2,0),0)</f>
        <v>W4</v>
      </c>
      <c r="AC738" s="196" t="str">
        <f t="shared" si="201"/>
        <v>320445</v>
      </c>
      <c r="AD738" s="196" t="str">
        <f t="shared" si="202"/>
        <v>NPP</v>
      </c>
      <c r="AE738" s="196" t="str">
        <f t="shared" si="203"/>
        <v>NPP320445</v>
      </c>
      <c r="AF738" s="196">
        <f t="shared" si="204"/>
        <v>0</v>
      </c>
    </row>
    <row r="739" spans="1:32" ht="12.95" customHeight="1">
      <c r="A739" s="197">
        <v>63434</v>
      </c>
      <c r="B739" s="198">
        <v>43581</v>
      </c>
      <c r="C739" s="197" t="s">
        <v>457</v>
      </c>
      <c r="D739" s="197" t="s">
        <v>693</v>
      </c>
      <c r="E739" s="197" t="s">
        <v>346</v>
      </c>
      <c r="F739" s="197" t="s">
        <v>484</v>
      </c>
      <c r="G739" s="199" t="s">
        <v>485</v>
      </c>
      <c r="H739" s="199" t="s">
        <v>296</v>
      </c>
      <c r="I739" s="199" t="s">
        <v>349</v>
      </c>
      <c r="J739" s="199" t="s">
        <v>350</v>
      </c>
      <c r="K739" s="197" t="s">
        <v>351</v>
      </c>
      <c r="L739" s="197" t="s">
        <v>357</v>
      </c>
      <c r="M739" s="200" t="s">
        <v>358</v>
      </c>
      <c r="N739" s="201">
        <v>10</v>
      </c>
      <c r="O739" s="202">
        <v>213273</v>
      </c>
      <c r="P739" s="203">
        <v>2132730</v>
      </c>
      <c r="Q739" s="203">
        <v>213273</v>
      </c>
      <c r="R739" s="203">
        <v>2346003</v>
      </c>
      <c r="S739" s="199"/>
      <c r="T739" s="199" t="s">
        <v>310</v>
      </c>
      <c r="U739" s="197">
        <v>61152</v>
      </c>
      <c r="V739" s="197"/>
      <c r="W739" s="196" t="s">
        <v>356</v>
      </c>
      <c r="X739" s="196" t="str">
        <f>+IFERROR(VLOOKUP($F739,'[2]Chuyển đổi mã'!$A$1:$C$91,3,0),$F739)&amp;AC739</f>
        <v>Lotte South323555</v>
      </c>
      <c r="Y739" s="196" t="str">
        <f>IFERROR(VLOOKUP($F739,'[2]Chuyển đổi mã'!$A$1:$C$184,3,0),F739)</f>
        <v>Lotte South</v>
      </c>
      <c r="Z739" s="196" t="str">
        <f>VLOOKUP($G739,'[2]Thông tin NPP'!$B:$D,3,0)</f>
        <v>Lotte South</v>
      </c>
      <c r="AA739" s="196" t="str">
        <f t="shared" si="200"/>
        <v>Na 17g - M</v>
      </c>
      <c r="AB739" s="196" t="str">
        <f>IFERROR(VLOOKUP(DAY(B739),'[2]Chuyển đổi mã'!$F$1:$G$32,2,0),0)</f>
        <v>W4</v>
      </c>
      <c r="AC739" s="196" t="str">
        <f t="shared" si="201"/>
        <v>323555</v>
      </c>
      <c r="AD739" s="196" t="str">
        <f t="shared" si="202"/>
        <v>NPP</v>
      </c>
      <c r="AE739" s="196" t="str">
        <f t="shared" si="203"/>
        <v>NPP323555</v>
      </c>
      <c r="AF739" s="196">
        <f t="shared" si="204"/>
        <v>0</v>
      </c>
    </row>
    <row r="740" spans="1:32" ht="12.95" customHeight="1">
      <c r="A740" s="197">
        <v>63434</v>
      </c>
      <c r="B740" s="198">
        <v>43581</v>
      </c>
      <c r="C740" s="197" t="s">
        <v>457</v>
      </c>
      <c r="D740" s="197" t="s">
        <v>693</v>
      </c>
      <c r="E740" s="197" t="s">
        <v>346</v>
      </c>
      <c r="F740" s="197" t="s">
        <v>484</v>
      </c>
      <c r="G740" s="199" t="s">
        <v>485</v>
      </c>
      <c r="H740" s="199" t="s">
        <v>296</v>
      </c>
      <c r="I740" s="199" t="s">
        <v>349</v>
      </c>
      <c r="J740" s="199" t="s">
        <v>350</v>
      </c>
      <c r="K740" s="197" t="s">
        <v>351</v>
      </c>
      <c r="L740" s="197" t="s">
        <v>363</v>
      </c>
      <c r="M740" s="200" t="s">
        <v>364</v>
      </c>
      <c r="N740" s="201">
        <v>3</v>
      </c>
      <c r="O740" s="202">
        <v>320000</v>
      </c>
      <c r="P740" s="203">
        <v>960000</v>
      </c>
      <c r="Q740" s="203">
        <v>96000</v>
      </c>
      <c r="R740" s="203">
        <v>1056000</v>
      </c>
      <c r="S740" s="199"/>
      <c r="T740" s="199" t="s">
        <v>310</v>
      </c>
      <c r="U740" s="197">
        <v>61152</v>
      </c>
      <c r="V740" s="197"/>
      <c r="W740" s="196" t="s">
        <v>356</v>
      </c>
      <c r="X740" s="196" t="str">
        <f>+IFERROR(VLOOKUP($F740,'[2]Chuyển đổi mã'!$A$1:$C$91,3,0),$F740)&amp;AC740</f>
        <v>Lotte South323708</v>
      </c>
      <c r="Y740" s="196" t="str">
        <f>IFERROR(VLOOKUP($F740,'[2]Chuyển đổi mã'!$A$1:$C$184,3,0),F740)</f>
        <v>Lotte South</v>
      </c>
      <c r="Z740" s="196" t="str">
        <f>VLOOKUP($G740,'[2]Thông tin NPP'!$B:$D,3,0)</f>
        <v>Lotte South</v>
      </c>
      <c r="AA740" s="196" t="str">
        <f t="shared" si="200"/>
        <v>Nextar Bro</v>
      </c>
      <c r="AB740" s="196" t="str">
        <f>IFERROR(VLOOKUP(DAY(B740),'[2]Chuyển đổi mã'!$F$1:$G$32,2,0),0)</f>
        <v>W4</v>
      </c>
      <c r="AC740" s="196" t="str">
        <f t="shared" si="201"/>
        <v>323708</v>
      </c>
      <c r="AD740" s="196" t="str">
        <f t="shared" si="202"/>
        <v>NPP</v>
      </c>
      <c r="AE740" s="196" t="str">
        <f t="shared" si="203"/>
        <v>NPP323708</v>
      </c>
      <c r="AF740" s="196">
        <f t="shared" si="204"/>
        <v>0</v>
      </c>
    </row>
    <row r="741" spans="1:32" ht="12.95" hidden="1" customHeight="1">
      <c r="A741" s="197">
        <v>63435</v>
      </c>
      <c r="B741" s="198">
        <v>43581</v>
      </c>
      <c r="C741" s="197" t="s">
        <v>457</v>
      </c>
      <c r="D741" s="197" t="s">
        <v>694</v>
      </c>
      <c r="E741" s="197" t="s">
        <v>346</v>
      </c>
      <c r="F741" s="197" t="s">
        <v>481</v>
      </c>
      <c r="G741" s="199" t="s">
        <v>482</v>
      </c>
      <c r="H741" s="199" t="s">
        <v>296</v>
      </c>
      <c r="I741" s="199" t="s">
        <v>443</v>
      </c>
      <c r="J741" s="199" t="s">
        <v>350</v>
      </c>
      <c r="K741" s="197" t="s">
        <v>351</v>
      </c>
      <c r="L741" s="197" t="s">
        <v>387</v>
      </c>
      <c r="M741" s="200" t="s">
        <v>388</v>
      </c>
      <c r="N741" s="201">
        <v>100</v>
      </c>
      <c r="O741" s="202">
        <v>340000</v>
      </c>
      <c r="P741" s="203">
        <v>34000000</v>
      </c>
      <c r="Q741" s="203">
        <v>3400000</v>
      </c>
      <c r="R741" s="203">
        <v>37400000</v>
      </c>
      <c r="S741" s="199"/>
      <c r="T741" s="199" t="s">
        <v>310</v>
      </c>
      <c r="U741" s="197">
        <v>61153</v>
      </c>
      <c r="V741" s="197"/>
      <c r="W741" s="196" t="s">
        <v>356</v>
      </c>
      <c r="X741" s="196" t="str">
        <f>+IFERROR(VLOOKUP($F741,'[2]Chuyển đổi mã'!$A$1:$C$91,3,0),$F741)&amp;AC741</f>
        <v>Lotte Central323620</v>
      </c>
      <c r="Y741" s="196" t="str">
        <f>IFERROR(VLOOKUP($F741,'[2]Chuyển đổi mã'!$A$1:$C$184,3,0),F741)</f>
        <v>Lotte Central</v>
      </c>
      <c r="Z741" s="196" t="str">
        <f>VLOOKUP($G741,'[2]Thông tin NPP'!$B:$D,3,0)</f>
        <v>Lotte Central</v>
      </c>
      <c r="AA741" s="196" t="str">
        <f t="shared" si="200"/>
        <v>Ahh 16g</v>
      </c>
      <c r="AB741" s="196" t="str">
        <f>IFERROR(VLOOKUP(DAY(B741),'[2]Chuyển đổi mã'!$F$1:$G$32,2,0),0)</f>
        <v>W4</v>
      </c>
      <c r="AC741" s="196" t="str">
        <f t="shared" si="201"/>
        <v>323620</v>
      </c>
      <c r="AD741" s="196" t="str">
        <f t="shared" si="202"/>
        <v>NPP</v>
      </c>
      <c r="AE741" s="196" t="str">
        <f t="shared" si="203"/>
        <v>NPP323620</v>
      </c>
      <c r="AF741" s="196">
        <f t="shared" si="204"/>
        <v>0</v>
      </c>
    </row>
    <row r="742" spans="1:32" ht="12.95" hidden="1" customHeight="1">
      <c r="A742" s="197">
        <v>63435</v>
      </c>
      <c r="B742" s="198">
        <v>43581</v>
      </c>
      <c r="C742" s="197" t="s">
        <v>457</v>
      </c>
      <c r="D742" s="197" t="s">
        <v>694</v>
      </c>
      <c r="E742" s="197" t="s">
        <v>346</v>
      </c>
      <c r="F742" s="197" t="s">
        <v>481</v>
      </c>
      <c r="G742" s="199" t="s">
        <v>482</v>
      </c>
      <c r="H742" s="199" t="s">
        <v>296</v>
      </c>
      <c r="I742" s="199" t="s">
        <v>443</v>
      </c>
      <c r="J742" s="199" t="s">
        <v>350</v>
      </c>
      <c r="K742" s="197" t="s">
        <v>351</v>
      </c>
      <c r="L742" s="197" t="s">
        <v>361</v>
      </c>
      <c r="M742" s="200" t="s">
        <v>362</v>
      </c>
      <c r="N742" s="201">
        <v>2</v>
      </c>
      <c r="O742" s="202">
        <v>300000</v>
      </c>
      <c r="P742" s="203">
        <v>600000</v>
      </c>
      <c r="Q742" s="203">
        <v>60000</v>
      </c>
      <c r="R742" s="203">
        <v>660000</v>
      </c>
      <c r="S742" s="199"/>
      <c r="T742" s="199" t="s">
        <v>310</v>
      </c>
      <c r="U742" s="197">
        <v>61153</v>
      </c>
      <c r="V742" s="197"/>
      <c r="W742" s="196" t="s">
        <v>356</v>
      </c>
      <c r="X742" s="196" t="str">
        <f>+IFERROR(VLOOKUP($F742,'[2]Chuyển đổi mã'!$A$1:$C$91,3,0),$F742)&amp;AC742</f>
        <v>Lotte Central331017</v>
      </c>
      <c r="Y742" s="196" t="str">
        <f>IFERROR(VLOOKUP($F742,'[2]Chuyển đổi mã'!$A$1:$C$184,3,0),F742)</f>
        <v>Lotte Central</v>
      </c>
      <c r="Z742" s="196" t="str">
        <f>VLOOKUP($G742,'[2]Thông tin NPP'!$B:$D,3,0)</f>
        <v>Lotte Central</v>
      </c>
      <c r="AA742" s="196" t="str">
        <f t="shared" si="200"/>
        <v>Richoco Wf</v>
      </c>
      <c r="AB742" s="196" t="str">
        <f>IFERROR(VLOOKUP(DAY(B742),'[2]Chuyển đổi mã'!$F$1:$G$32,2,0),0)</f>
        <v>W4</v>
      </c>
      <c r="AC742" s="196" t="str">
        <f t="shared" si="201"/>
        <v>331017</v>
      </c>
      <c r="AD742" s="196" t="str">
        <f t="shared" si="202"/>
        <v>NPP</v>
      </c>
      <c r="AE742" s="196" t="str">
        <f t="shared" si="203"/>
        <v>NPP331017</v>
      </c>
      <c r="AF742" s="196">
        <f t="shared" si="204"/>
        <v>0</v>
      </c>
    </row>
    <row r="743" spans="1:32" ht="12.95" hidden="1" customHeight="1">
      <c r="A743" s="197">
        <v>63435</v>
      </c>
      <c r="B743" s="198">
        <v>43581</v>
      </c>
      <c r="C743" s="197" t="s">
        <v>457</v>
      </c>
      <c r="D743" s="197" t="s">
        <v>694</v>
      </c>
      <c r="E743" s="197" t="s">
        <v>346</v>
      </c>
      <c r="F743" s="197" t="s">
        <v>481</v>
      </c>
      <c r="G743" s="199" t="s">
        <v>482</v>
      </c>
      <c r="H743" s="199" t="s">
        <v>296</v>
      </c>
      <c r="I743" s="199" t="s">
        <v>443</v>
      </c>
      <c r="J743" s="199" t="s">
        <v>350</v>
      </c>
      <c r="K743" s="197" t="s">
        <v>351</v>
      </c>
      <c r="L743" s="197" t="s">
        <v>357</v>
      </c>
      <c r="M743" s="200" t="s">
        <v>358</v>
      </c>
      <c r="N743" s="201">
        <v>15</v>
      </c>
      <c r="O743" s="202">
        <v>213273</v>
      </c>
      <c r="P743" s="203">
        <v>3199095</v>
      </c>
      <c r="Q743" s="203">
        <v>319909.5</v>
      </c>
      <c r="R743" s="203">
        <v>3519004.5</v>
      </c>
      <c r="S743" s="199"/>
      <c r="T743" s="199" t="s">
        <v>310</v>
      </c>
      <c r="U743" s="197">
        <v>61153</v>
      </c>
      <c r="V743" s="197"/>
      <c r="W743" s="196" t="s">
        <v>356</v>
      </c>
      <c r="X743" s="196" t="str">
        <f>+IFERROR(VLOOKUP($F743,'[2]Chuyển đổi mã'!$A$1:$C$91,3,0),$F743)&amp;AC743</f>
        <v>Lotte Central323555</v>
      </c>
      <c r="Y743" s="196" t="str">
        <f>IFERROR(VLOOKUP($F743,'[2]Chuyển đổi mã'!$A$1:$C$184,3,0),F743)</f>
        <v>Lotte Central</v>
      </c>
      <c r="Z743" s="196" t="str">
        <f>VLOOKUP($G743,'[2]Thông tin NPP'!$B:$D,3,0)</f>
        <v>Lotte Central</v>
      </c>
      <c r="AA743" s="196" t="str">
        <f t="shared" si="200"/>
        <v>Na 17g - M</v>
      </c>
      <c r="AB743" s="196" t="str">
        <f>IFERROR(VLOOKUP(DAY(B743),'[2]Chuyển đổi mã'!$F$1:$G$32,2,0),0)</f>
        <v>W4</v>
      </c>
      <c r="AC743" s="196" t="str">
        <f t="shared" si="201"/>
        <v>323555</v>
      </c>
      <c r="AD743" s="196" t="str">
        <f t="shared" si="202"/>
        <v>NPP</v>
      </c>
      <c r="AE743" s="196" t="str">
        <f t="shared" si="203"/>
        <v>NPP323555</v>
      </c>
      <c r="AF743" s="196">
        <f t="shared" si="204"/>
        <v>0</v>
      </c>
    </row>
    <row r="744" spans="1:32" ht="12.95" hidden="1" customHeight="1">
      <c r="A744" s="197">
        <v>63435</v>
      </c>
      <c r="B744" s="198">
        <v>43581</v>
      </c>
      <c r="C744" s="197" t="s">
        <v>457</v>
      </c>
      <c r="D744" s="197" t="s">
        <v>694</v>
      </c>
      <c r="E744" s="197" t="s">
        <v>346</v>
      </c>
      <c r="F744" s="197" t="s">
        <v>481</v>
      </c>
      <c r="G744" s="199" t="s">
        <v>482</v>
      </c>
      <c r="H744" s="199" t="s">
        <v>296</v>
      </c>
      <c r="I744" s="199" t="s">
        <v>443</v>
      </c>
      <c r="J744" s="199" t="s">
        <v>350</v>
      </c>
      <c r="K744" s="197" t="s">
        <v>351</v>
      </c>
      <c r="L744" s="197" t="s">
        <v>363</v>
      </c>
      <c r="M744" s="200" t="s">
        <v>364</v>
      </c>
      <c r="N744" s="201">
        <v>5</v>
      </c>
      <c r="O744" s="202">
        <v>320000</v>
      </c>
      <c r="P744" s="203">
        <v>1600000</v>
      </c>
      <c r="Q744" s="203">
        <v>160000</v>
      </c>
      <c r="R744" s="203">
        <v>1760000</v>
      </c>
      <c r="S744" s="199"/>
      <c r="T744" s="199" t="s">
        <v>310</v>
      </c>
      <c r="U744" s="197">
        <v>61153</v>
      </c>
      <c r="V744" s="197"/>
      <c r="W744" s="196" t="s">
        <v>356</v>
      </c>
      <c r="X744" s="196" t="str">
        <f>+IFERROR(VLOOKUP($F744,'[2]Chuyển đổi mã'!$A$1:$C$91,3,0),$F744)&amp;AC744</f>
        <v>Lotte Central323708</v>
      </c>
      <c r="Y744" s="196" t="str">
        <f>IFERROR(VLOOKUP($F744,'[2]Chuyển đổi mã'!$A$1:$C$184,3,0),F744)</f>
        <v>Lotte Central</v>
      </c>
      <c r="Z744" s="196" t="str">
        <f>VLOOKUP($G744,'[2]Thông tin NPP'!$B:$D,3,0)</f>
        <v>Lotte Central</v>
      </c>
      <c r="AA744" s="196" t="str">
        <f t="shared" si="200"/>
        <v>Nextar Bro</v>
      </c>
      <c r="AB744" s="196" t="str">
        <f>IFERROR(VLOOKUP(DAY(B744),'[2]Chuyển đổi mã'!$F$1:$G$32,2,0),0)</f>
        <v>W4</v>
      </c>
      <c r="AC744" s="196" t="str">
        <f t="shared" si="201"/>
        <v>323708</v>
      </c>
      <c r="AD744" s="196" t="str">
        <f t="shared" si="202"/>
        <v>NPP</v>
      </c>
      <c r="AE744" s="196" t="str">
        <f t="shared" si="203"/>
        <v>NPP323708</v>
      </c>
      <c r="AF744" s="196">
        <f t="shared" si="204"/>
        <v>0</v>
      </c>
    </row>
    <row r="745" spans="1:32" ht="12.95" customHeight="1">
      <c r="A745" s="197">
        <v>63436</v>
      </c>
      <c r="B745" s="198">
        <v>43581</v>
      </c>
      <c r="C745" s="197" t="s">
        <v>457</v>
      </c>
      <c r="D745" s="197" t="s">
        <v>695</v>
      </c>
      <c r="E745" s="197" t="s">
        <v>346</v>
      </c>
      <c r="F745" s="197" t="s">
        <v>600</v>
      </c>
      <c r="G745" s="199" t="s">
        <v>601</v>
      </c>
      <c r="H745" s="199" t="s">
        <v>296</v>
      </c>
      <c r="I745" s="199" t="s">
        <v>349</v>
      </c>
      <c r="J745" s="199" t="s">
        <v>350</v>
      </c>
      <c r="K745" s="197" t="s">
        <v>351</v>
      </c>
      <c r="L745" s="197" t="s">
        <v>352</v>
      </c>
      <c r="M745" s="200" t="s">
        <v>353</v>
      </c>
      <c r="N745" s="201">
        <v>10</v>
      </c>
      <c r="O745" s="202">
        <v>155455</v>
      </c>
      <c r="P745" s="203">
        <v>1554550</v>
      </c>
      <c r="Q745" s="203">
        <v>155455</v>
      </c>
      <c r="R745" s="203">
        <v>1710005</v>
      </c>
      <c r="S745" s="199"/>
      <c r="T745" s="199" t="s">
        <v>310</v>
      </c>
      <c r="U745" s="197">
        <v>61163</v>
      </c>
      <c r="V745" s="197"/>
      <c r="W745" s="196" t="s">
        <v>356</v>
      </c>
      <c r="X745" s="196" t="str">
        <f>+IFERROR(VLOOKUP($F745,'[2]Chuyển đổi mã'!$A$1:$C$91,3,0),$F745)&amp;AC745</f>
        <v>Big C South320463</v>
      </c>
      <c r="Y745" s="196" t="str">
        <f>IFERROR(VLOOKUP($F745,'[2]Chuyển đổi mã'!$A$1:$C$184,3,0),F745)</f>
        <v>Big C South</v>
      </c>
      <c r="Z745" s="196" t="str">
        <f>VLOOKUP($G745,'[2]Thông tin NPP'!$B:$D,3,0)</f>
        <v>Big C South</v>
      </c>
      <c r="AA745" s="196" t="str">
        <f t="shared" ref="AA745:AA769" si="205">LEFT($M745,10)</f>
        <v>Na 8,5g</v>
      </c>
      <c r="AB745" s="196" t="str">
        <f>IFERROR(VLOOKUP(DAY(B745),'[2]Chuyển đổi mã'!$F$1:$G$32,2,0),0)</f>
        <v>W4</v>
      </c>
      <c r="AC745" s="196" t="str">
        <f t="shared" ref="AC745:AC769" si="206">LEFT(L745,6)</f>
        <v>320463</v>
      </c>
      <c r="AD745" s="196" t="str">
        <f t="shared" ref="AD745:AD769" si="207">LEFT(F745,3)</f>
        <v>NPP</v>
      </c>
      <c r="AE745" s="196" t="str">
        <f t="shared" ref="AE745:AE769" si="208">AD745&amp;AC745</f>
        <v>NPP320463</v>
      </c>
      <c r="AF745" s="196">
        <f t="shared" ref="AF745:AF769" si="209">IF(RIGHT(L745,1)="P","P",0)</f>
        <v>0</v>
      </c>
    </row>
    <row r="746" spans="1:32" ht="12.95" customHeight="1">
      <c r="A746" s="197">
        <v>63436</v>
      </c>
      <c r="B746" s="198">
        <v>43581</v>
      </c>
      <c r="C746" s="197" t="s">
        <v>457</v>
      </c>
      <c r="D746" s="197" t="s">
        <v>695</v>
      </c>
      <c r="E746" s="197" t="s">
        <v>346</v>
      </c>
      <c r="F746" s="197" t="s">
        <v>600</v>
      </c>
      <c r="G746" s="199" t="s">
        <v>601</v>
      </c>
      <c r="H746" s="199" t="s">
        <v>296</v>
      </c>
      <c r="I746" s="199" t="s">
        <v>349</v>
      </c>
      <c r="J746" s="199" t="s">
        <v>350</v>
      </c>
      <c r="K746" s="197" t="s">
        <v>351</v>
      </c>
      <c r="L746" s="197" t="s">
        <v>357</v>
      </c>
      <c r="M746" s="200" t="s">
        <v>358</v>
      </c>
      <c r="N746" s="201">
        <v>5</v>
      </c>
      <c r="O746" s="202">
        <v>213273</v>
      </c>
      <c r="P746" s="203">
        <v>1066365</v>
      </c>
      <c r="Q746" s="203">
        <v>106636.5</v>
      </c>
      <c r="R746" s="203">
        <v>1173001.5</v>
      </c>
      <c r="S746" s="199"/>
      <c r="T746" s="199" t="s">
        <v>310</v>
      </c>
      <c r="U746" s="197">
        <v>61163</v>
      </c>
      <c r="V746" s="197"/>
      <c r="W746" s="196" t="s">
        <v>356</v>
      </c>
      <c r="X746" s="196" t="str">
        <f>+IFERROR(VLOOKUP($F746,'[2]Chuyển đổi mã'!$A$1:$C$91,3,0),$F746)&amp;AC746</f>
        <v>Big C South323555</v>
      </c>
      <c r="Y746" s="196" t="str">
        <f>IFERROR(VLOOKUP($F746,'[2]Chuyển đổi mã'!$A$1:$C$184,3,0),F746)</f>
        <v>Big C South</v>
      </c>
      <c r="Z746" s="196" t="str">
        <f>VLOOKUP($G746,'[2]Thông tin NPP'!$B:$D,3,0)</f>
        <v>Big C South</v>
      </c>
      <c r="AA746" s="196" t="str">
        <f t="shared" si="205"/>
        <v>Na 17g - M</v>
      </c>
      <c r="AB746" s="196" t="str">
        <f>IFERROR(VLOOKUP(DAY(B746),'[2]Chuyển đổi mã'!$F$1:$G$32,2,0),0)</f>
        <v>W4</v>
      </c>
      <c r="AC746" s="196" t="str">
        <f t="shared" si="206"/>
        <v>323555</v>
      </c>
      <c r="AD746" s="196" t="str">
        <f t="shared" si="207"/>
        <v>NPP</v>
      </c>
      <c r="AE746" s="196" t="str">
        <f t="shared" si="208"/>
        <v>NPP323555</v>
      </c>
      <c r="AF746" s="196">
        <f t="shared" si="209"/>
        <v>0</v>
      </c>
    </row>
    <row r="747" spans="1:32" ht="12.95" customHeight="1">
      <c r="A747" s="197">
        <v>63436</v>
      </c>
      <c r="B747" s="198">
        <v>43581</v>
      </c>
      <c r="C747" s="197" t="s">
        <v>457</v>
      </c>
      <c r="D747" s="197" t="s">
        <v>695</v>
      </c>
      <c r="E747" s="197" t="s">
        <v>346</v>
      </c>
      <c r="F747" s="197" t="s">
        <v>600</v>
      </c>
      <c r="G747" s="199" t="s">
        <v>601</v>
      </c>
      <c r="H747" s="199" t="s">
        <v>296</v>
      </c>
      <c r="I747" s="199" t="s">
        <v>349</v>
      </c>
      <c r="J747" s="199" t="s">
        <v>350</v>
      </c>
      <c r="K747" s="197" t="s">
        <v>351</v>
      </c>
      <c r="L747" s="197" t="s">
        <v>359</v>
      </c>
      <c r="M747" s="200" t="s">
        <v>360</v>
      </c>
      <c r="N747" s="201">
        <v>5</v>
      </c>
      <c r="O747" s="202">
        <v>313636</v>
      </c>
      <c r="P747" s="203">
        <v>1568180</v>
      </c>
      <c r="Q747" s="203">
        <v>156818</v>
      </c>
      <c r="R747" s="203">
        <v>1724998</v>
      </c>
      <c r="S747" s="199"/>
      <c r="T747" s="199" t="s">
        <v>310</v>
      </c>
      <c r="U747" s="197">
        <v>61163</v>
      </c>
      <c r="V747" s="197"/>
      <c r="W747" s="196" t="s">
        <v>356</v>
      </c>
      <c r="X747" s="196" t="str">
        <f>+IFERROR(VLOOKUP($F747,'[2]Chuyển đổi mã'!$A$1:$C$91,3,0),$F747)&amp;AC747</f>
        <v>Big C South320445</v>
      </c>
      <c r="Y747" s="196" t="str">
        <f>IFERROR(VLOOKUP($F747,'[2]Chuyển đổi mã'!$A$1:$C$184,3,0),F747)</f>
        <v>Big C South</v>
      </c>
      <c r="Z747" s="196" t="str">
        <f>VLOOKUP($G747,'[2]Thông tin NPP'!$B:$D,3,0)</f>
        <v>Big C South</v>
      </c>
      <c r="AA747" s="196" t="str">
        <f t="shared" si="205"/>
        <v>Na 58g</v>
      </c>
      <c r="AB747" s="196" t="str">
        <f>IFERROR(VLOOKUP(DAY(B747),'[2]Chuyển đổi mã'!$F$1:$G$32,2,0),0)</f>
        <v>W4</v>
      </c>
      <c r="AC747" s="196" t="str">
        <f t="shared" si="206"/>
        <v>320445</v>
      </c>
      <c r="AD747" s="196" t="str">
        <f t="shared" si="207"/>
        <v>NPP</v>
      </c>
      <c r="AE747" s="196" t="str">
        <f t="shared" si="208"/>
        <v>NPP320445</v>
      </c>
      <c r="AF747" s="196">
        <f t="shared" si="209"/>
        <v>0</v>
      </c>
    </row>
    <row r="748" spans="1:32" ht="12.95" customHeight="1">
      <c r="A748" s="197">
        <v>63436</v>
      </c>
      <c r="B748" s="198">
        <v>43581</v>
      </c>
      <c r="C748" s="197" t="s">
        <v>457</v>
      </c>
      <c r="D748" s="197" t="s">
        <v>695</v>
      </c>
      <c r="E748" s="197" t="s">
        <v>346</v>
      </c>
      <c r="F748" s="197" t="s">
        <v>600</v>
      </c>
      <c r="G748" s="199" t="s">
        <v>601</v>
      </c>
      <c r="H748" s="199" t="s">
        <v>296</v>
      </c>
      <c r="I748" s="199" t="s">
        <v>349</v>
      </c>
      <c r="J748" s="199" t="s">
        <v>350</v>
      </c>
      <c r="K748" s="197" t="s">
        <v>351</v>
      </c>
      <c r="L748" s="197" t="s">
        <v>361</v>
      </c>
      <c r="M748" s="200" t="s">
        <v>362</v>
      </c>
      <c r="N748" s="201">
        <v>5</v>
      </c>
      <c r="O748" s="202">
        <v>313636</v>
      </c>
      <c r="P748" s="203">
        <v>1568180</v>
      </c>
      <c r="Q748" s="203">
        <v>156818</v>
      </c>
      <c r="R748" s="203">
        <v>1724998</v>
      </c>
      <c r="S748" s="199"/>
      <c r="T748" s="199" t="s">
        <v>310</v>
      </c>
      <c r="U748" s="197">
        <v>61163</v>
      </c>
      <c r="V748" s="197"/>
      <c r="W748" s="196" t="s">
        <v>356</v>
      </c>
      <c r="X748" s="196" t="str">
        <f>+IFERROR(VLOOKUP($F748,'[2]Chuyển đổi mã'!$A$1:$C$91,3,0),$F748)&amp;AC748</f>
        <v>Big C South331017</v>
      </c>
      <c r="Y748" s="196" t="str">
        <f>IFERROR(VLOOKUP($F748,'[2]Chuyển đổi mã'!$A$1:$C$184,3,0),F748)</f>
        <v>Big C South</v>
      </c>
      <c r="Z748" s="196" t="str">
        <f>VLOOKUP($G748,'[2]Thông tin NPP'!$B:$D,3,0)</f>
        <v>Big C South</v>
      </c>
      <c r="AA748" s="196" t="str">
        <f t="shared" si="205"/>
        <v>Richoco Wf</v>
      </c>
      <c r="AB748" s="196" t="str">
        <f>IFERROR(VLOOKUP(DAY(B748),'[2]Chuyển đổi mã'!$F$1:$G$32,2,0),0)</f>
        <v>W4</v>
      </c>
      <c r="AC748" s="196" t="str">
        <f t="shared" si="206"/>
        <v>331017</v>
      </c>
      <c r="AD748" s="196" t="str">
        <f t="shared" si="207"/>
        <v>NPP</v>
      </c>
      <c r="AE748" s="196" t="str">
        <f t="shared" si="208"/>
        <v>NPP331017</v>
      </c>
      <c r="AF748" s="196">
        <f t="shared" si="209"/>
        <v>0</v>
      </c>
    </row>
    <row r="749" spans="1:32" ht="12.95" customHeight="1">
      <c r="A749" s="197">
        <v>63437</v>
      </c>
      <c r="B749" s="198">
        <v>43581</v>
      </c>
      <c r="C749" s="197" t="s">
        <v>457</v>
      </c>
      <c r="D749" s="197" t="s">
        <v>696</v>
      </c>
      <c r="E749" s="197" t="s">
        <v>346</v>
      </c>
      <c r="F749" s="197" t="s">
        <v>596</v>
      </c>
      <c r="G749" s="199" t="s">
        <v>597</v>
      </c>
      <c r="H749" s="199" t="s">
        <v>296</v>
      </c>
      <c r="I749" s="199" t="s">
        <v>349</v>
      </c>
      <c r="J749" s="199" t="s">
        <v>350</v>
      </c>
      <c r="K749" s="197" t="s">
        <v>351</v>
      </c>
      <c r="L749" s="197" t="s">
        <v>352</v>
      </c>
      <c r="M749" s="200" t="s">
        <v>353</v>
      </c>
      <c r="N749" s="201">
        <v>10</v>
      </c>
      <c r="O749" s="202">
        <v>155455</v>
      </c>
      <c r="P749" s="203">
        <v>1554550</v>
      </c>
      <c r="Q749" s="203">
        <v>155455</v>
      </c>
      <c r="R749" s="203">
        <v>1710005</v>
      </c>
      <c r="S749" s="199"/>
      <c r="T749" s="199" t="s">
        <v>310</v>
      </c>
      <c r="U749" s="197">
        <v>61161</v>
      </c>
      <c r="V749" s="197"/>
      <c r="W749" s="196" t="s">
        <v>356</v>
      </c>
      <c r="X749" s="196" t="str">
        <f>+IFERROR(VLOOKUP($F749,'[2]Chuyển đổi mã'!$A$1:$C$91,3,0),$F749)&amp;AC749</f>
        <v>Big C South320463</v>
      </c>
      <c r="Y749" s="196" t="str">
        <f>IFERROR(VLOOKUP($F749,'[2]Chuyển đổi mã'!$A$1:$C$184,3,0),F749)</f>
        <v>Big C South</v>
      </c>
      <c r="Z749" s="196">
        <f>VLOOKUP($G749,'[2]Thông tin NPP'!$B:$D,3,0)</f>
        <v>0</v>
      </c>
      <c r="AA749" s="196" t="str">
        <f t="shared" si="205"/>
        <v>Na 8,5g</v>
      </c>
      <c r="AB749" s="196" t="str">
        <f>IFERROR(VLOOKUP(DAY(B749),'[2]Chuyển đổi mã'!$F$1:$G$32,2,0),0)</f>
        <v>W4</v>
      </c>
      <c r="AC749" s="196" t="str">
        <f t="shared" si="206"/>
        <v>320463</v>
      </c>
      <c r="AD749" s="196" t="str">
        <f t="shared" si="207"/>
        <v>NPP</v>
      </c>
      <c r="AE749" s="196" t="str">
        <f t="shared" si="208"/>
        <v>NPP320463</v>
      </c>
      <c r="AF749" s="196">
        <f t="shared" si="209"/>
        <v>0</v>
      </c>
    </row>
    <row r="750" spans="1:32" ht="12.95" customHeight="1">
      <c r="A750" s="197">
        <v>63437</v>
      </c>
      <c r="B750" s="198">
        <v>43581</v>
      </c>
      <c r="C750" s="197" t="s">
        <v>457</v>
      </c>
      <c r="D750" s="197" t="s">
        <v>696</v>
      </c>
      <c r="E750" s="197" t="s">
        <v>346</v>
      </c>
      <c r="F750" s="197" t="s">
        <v>596</v>
      </c>
      <c r="G750" s="199" t="s">
        <v>597</v>
      </c>
      <c r="H750" s="199" t="s">
        <v>296</v>
      </c>
      <c r="I750" s="199" t="s">
        <v>349</v>
      </c>
      <c r="J750" s="199" t="s">
        <v>350</v>
      </c>
      <c r="K750" s="197" t="s">
        <v>351</v>
      </c>
      <c r="L750" s="197" t="s">
        <v>387</v>
      </c>
      <c r="M750" s="200" t="s">
        <v>388</v>
      </c>
      <c r="N750" s="201">
        <v>1</v>
      </c>
      <c r="O750" s="202">
        <v>355455</v>
      </c>
      <c r="P750" s="203">
        <v>355455</v>
      </c>
      <c r="Q750" s="203">
        <v>35545.5</v>
      </c>
      <c r="R750" s="203">
        <v>391000.5</v>
      </c>
      <c r="S750" s="199"/>
      <c r="T750" s="199" t="s">
        <v>310</v>
      </c>
      <c r="U750" s="197">
        <v>61161</v>
      </c>
      <c r="V750" s="197"/>
      <c r="W750" s="196" t="s">
        <v>356</v>
      </c>
      <c r="X750" s="196" t="str">
        <f>+IFERROR(VLOOKUP($F750,'[2]Chuyển đổi mã'!$A$1:$C$91,3,0),$F750)&amp;AC750</f>
        <v>Big C South323620</v>
      </c>
      <c r="Y750" s="196" t="str">
        <f>IFERROR(VLOOKUP($F750,'[2]Chuyển đổi mã'!$A$1:$C$184,3,0),F750)</f>
        <v>Big C South</v>
      </c>
      <c r="Z750" s="196">
        <f>VLOOKUP($G750,'[2]Thông tin NPP'!$B:$D,3,0)</f>
        <v>0</v>
      </c>
      <c r="AA750" s="196" t="str">
        <f t="shared" si="205"/>
        <v>Ahh 16g</v>
      </c>
      <c r="AB750" s="196" t="str">
        <f>IFERROR(VLOOKUP(DAY(B750),'[2]Chuyển đổi mã'!$F$1:$G$32,2,0),0)</f>
        <v>W4</v>
      </c>
      <c r="AC750" s="196" t="str">
        <f t="shared" si="206"/>
        <v>323620</v>
      </c>
      <c r="AD750" s="196" t="str">
        <f t="shared" si="207"/>
        <v>NPP</v>
      </c>
      <c r="AE750" s="196" t="str">
        <f t="shared" si="208"/>
        <v>NPP323620</v>
      </c>
      <c r="AF750" s="196">
        <f t="shared" si="209"/>
        <v>0</v>
      </c>
    </row>
    <row r="751" spans="1:32" ht="12.95" customHeight="1">
      <c r="A751" s="197">
        <v>63437</v>
      </c>
      <c r="B751" s="198">
        <v>43581</v>
      </c>
      <c r="C751" s="197" t="s">
        <v>457</v>
      </c>
      <c r="D751" s="197" t="s">
        <v>696</v>
      </c>
      <c r="E751" s="197" t="s">
        <v>346</v>
      </c>
      <c r="F751" s="197" t="s">
        <v>596</v>
      </c>
      <c r="G751" s="199" t="s">
        <v>597</v>
      </c>
      <c r="H751" s="199" t="s">
        <v>296</v>
      </c>
      <c r="I751" s="199" t="s">
        <v>349</v>
      </c>
      <c r="J751" s="199" t="s">
        <v>350</v>
      </c>
      <c r="K751" s="197" t="s">
        <v>351</v>
      </c>
      <c r="L751" s="197" t="s">
        <v>357</v>
      </c>
      <c r="M751" s="200" t="s">
        <v>358</v>
      </c>
      <c r="N751" s="201">
        <v>5</v>
      </c>
      <c r="O751" s="202">
        <v>213273</v>
      </c>
      <c r="P751" s="203">
        <v>1066365</v>
      </c>
      <c r="Q751" s="203">
        <v>106636.5</v>
      </c>
      <c r="R751" s="203">
        <v>1173001.5</v>
      </c>
      <c r="S751" s="199"/>
      <c r="T751" s="199" t="s">
        <v>310</v>
      </c>
      <c r="U751" s="197">
        <v>61161</v>
      </c>
      <c r="V751" s="197"/>
      <c r="W751" s="196" t="s">
        <v>356</v>
      </c>
      <c r="X751" s="196" t="str">
        <f>+IFERROR(VLOOKUP($F751,'[2]Chuyển đổi mã'!$A$1:$C$91,3,0),$F751)&amp;AC751</f>
        <v>Big C South323555</v>
      </c>
      <c r="Y751" s="196" t="str">
        <f>IFERROR(VLOOKUP($F751,'[2]Chuyển đổi mã'!$A$1:$C$184,3,0),F751)</f>
        <v>Big C South</v>
      </c>
      <c r="Z751" s="196">
        <f>VLOOKUP($G751,'[2]Thông tin NPP'!$B:$D,3,0)</f>
        <v>0</v>
      </c>
      <c r="AA751" s="196" t="str">
        <f t="shared" si="205"/>
        <v>Na 17g - M</v>
      </c>
      <c r="AB751" s="196" t="str">
        <f>IFERROR(VLOOKUP(DAY(B751),'[2]Chuyển đổi mã'!$F$1:$G$32,2,0),0)</f>
        <v>W4</v>
      </c>
      <c r="AC751" s="196" t="str">
        <f t="shared" si="206"/>
        <v>323555</v>
      </c>
      <c r="AD751" s="196" t="str">
        <f t="shared" si="207"/>
        <v>NPP</v>
      </c>
      <c r="AE751" s="196" t="str">
        <f t="shared" si="208"/>
        <v>NPP323555</v>
      </c>
      <c r="AF751" s="196">
        <f t="shared" si="209"/>
        <v>0</v>
      </c>
    </row>
    <row r="752" spans="1:32" ht="12.95" customHeight="1">
      <c r="A752" s="197">
        <v>63437</v>
      </c>
      <c r="B752" s="198">
        <v>43581</v>
      </c>
      <c r="C752" s="197" t="s">
        <v>457</v>
      </c>
      <c r="D752" s="197" t="s">
        <v>696</v>
      </c>
      <c r="E752" s="197" t="s">
        <v>346</v>
      </c>
      <c r="F752" s="197" t="s">
        <v>596</v>
      </c>
      <c r="G752" s="199" t="s">
        <v>597</v>
      </c>
      <c r="H752" s="199" t="s">
        <v>296</v>
      </c>
      <c r="I752" s="199" t="s">
        <v>349</v>
      </c>
      <c r="J752" s="199" t="s">
        <v>350</v>
      </c>
      <c r="K752" s="197" t="s">
        <v>351</v>
      </c>
      <c r="L752" s="197" t="s">
        <v>359</v>
      </c>
      <c r="M752" s="200" t="s">
        <v>360</v>
      </c>
      <c r="N752" s="201">
        <v>5</v>
      </c>
      <c r="O752" s="202">
        <v>313636</v>
      </c>
      <c r="P752" s="203">
        <v>1568180</v>
      </c>
      <c r="Q752" s="203">
        <v>156818</v>
      </c>
      <c r="R752" s="203">
        <v>1724998</v>
      </c>
      <c r="S752" s="199"/>
      <c r="T752" s="199" t="s">
        <v>310</v>
      </c>
      <c r="U752" s="197">
        <v>61161</v>
      </c>
      <c r="V752" s="197"/>
      <c r="W752" s="196" t="s">
        <v>356</v>
      </c>
      <c r="X752" s="196" t="str">
        <f>+IFERROR(VLOOKUP($F752,'[2]Chuyển đổi mã'!$A$1:$C$91,3,0),$F752)&amp;AC752</f>
        <v>Big C South320445</v>
      </c>
      <c r="Y752" s="196" t="str">
        <f>IFERROR(VLOOKUP($F752,'[2]Chuyển đổi mã'!$A$1:$C$184,3,0),F752)</f>
        <v>Big C South</v>
      </c>
      <c r="Z752" s="196">
        <f>VLOOKUP($G752,'[2]Thông tin NPP'!$B:$D,3,0)</f>
        <v>0</v>
      </c>
      <c r="AA752" s="196" t="str">
        <f t="shared" si="205"/>
        <v>Na 58g</v>
      </c>
      <c r="AB752" s="196" t="str">
        <f>IFERROR(VLOOKUP(DAY(B752),'[2]Chuyển đổi mã'!$F$1:$G$32,2,0),0)</f>
        <v>W4</v>
      </c>
      <c r="AC752" s="196" t="str">
        <f t="shared" si="206"/>
        <v>320445</v>
      </c>
      <c r="AD752" s="196" t="str">
        <f t="shared" si="207"/>
        <v>NPP</v>
      </c>
      <c r="AE752" s="196" t="str">
        <f t="shared" si="208"/>
        <v>NPP320445</v>
      </c>
      <c r="AF752" s="196">
        <f t="shared" si="209"/>
        <v>0</v>
      </c>
    </row>
    <row r="753" spans="1:32" ht="12.95" customHeight="1">
      <c r="A753" s="197">
        <v>63437</v>
      </c>
      <c r="B753" s="198">
        <v>43581</v>
      </c>
      <c r="C753" s="197" t="s">
        <v>457</v>
      </c>
      <c r="D753" s="197" t="s">
        <v>696</v>
      </c>
      <c r="E753" s="197" t="s">
        <v>346</v>
      </c>
      <c r="F753" s="197" t="s">
        <v>596</v>
      </c>
      <c r="G753" s="199" t="s">
        <v>597</v>
      </c>
      <c r="H753" s="199" t="s">
        <v>296</v>
      </c>
      <c r="I753" s="199" t="s">
        <v>349</v>
      </c>
      <c r="J753" s="199" t="s">
        <v>350</v>
      </c>
      <c r="K753" s="197" t="s">
        <v>351</v>
      </c>
      <c r="L753" s="197" t="s">
        <v>361</v>
      </c>
      <c r="M753" s="200" t="s">
        <v>362</v>
      </c>
      <c r="N753" s="201">
        <v>1</v>
      </c>
      <c r="O753" s="202">
        <v>313636</v>
      </c>
      <c r="P753" s="203">
        <v>313636</v>
      </c>
      <c r="Q753" s="203">
        <v>31363.599999999999</v>
      </c>
      <c r="R753" s="203">
        <v>344999.6</v>
      </c>
      <c r="S753" s="199"/>
      <c r="T753" s="199" t="s">
        <v>310</v>
      </c>
      <c r="U753" s="197">
        <v>61161</v>
      </c>
      <c r="V753" s="197"/>
      <c r="W753" s="196" t="s">
        <v>356</v>
      </c>
      <c r="X753" s="196" t="str">
        <f>+IFERROR(VLOOKUP($F753,'[2]Chuyển đổi mã'!$A$1:$C$91,3,0),$F753)&amp;AC753</f>
        <v>Big C South331017</v>
      </c>
      <c r="Y753" s="196" t="str">
        <f>IFERROR(VLOOKUP($F753,'[2]Chuyển đổi mã'!$A$1:$C$184,3,0),F753)</f>
        <v>Big C South</v>
      </c>
      <c r="Z753" s="196">
        <f>VLOOKUP($G753,'[2]Thông tin NPP'!$B:$D,3,0)</f>
        <v>0</v>
      </c>
      <c r="AA753" s="196" t="str">
        <f t="shared" si="205"/>
        <v>Richoco Wf</v>
      </c>
      <c r="AB753" s="196" t="str">
        <f>IFERROR(VLOOKUP(DAY(B753),'[2]Chuyển đổi mã'!$F$1:$G$32,2,0),0)</f>
        <v>W4</v>
      </c>
      <c r="AC753" s="196" t="str">
        <f t="shared" si="206"/>
        <v>331017</v>
      </c>
      <c r="AD753" s="196" t="str">
        <f t="shared" si="207"/>
        <v>NPP</v>
      </c>
      <c r="AE753" s="196" t="str">
        <f t="shared" si="208"/>
        <v>NPP331017</v>
      </c>
      <c r="AF753" s="196">
        <f t="shared" si="209"/>
        <v>0</v>
      </c>
    </row>
    <row r="754" spans="1:32" ht="12.95" customHeight="1">
      <c r="A754" s="197">
        <v>63438</v>
      </c>
      <c r="B754" s="198">
        <v>43581</v>
      </c>
      <c r="C754" s="197" t="s">
        <v>457</v>
      </c>
      <c r="D754" s="197" t="s">
        <v>697</v>
      </c>
      <c r="E754" s="197" t="s">
        <v>346</v>
      </c>
      <c r="F754" s="197" t="s">
        <v>525</v>
      </c>
      <c r="G754" s="199" t="s">
        <v>526</v>
      </c>
      <c r="H754" s="199" t="s">
        <v>296</v>
      </c>
      <c r="I754" s="199" t="s">
        <v>349</v>
      </c>
      <c r="J754" s="199" t="s">
        <v>350</v>
      </c>
      <c r="K754" s="197" t="s">
        <v>351</v>
      </c>
      <c r="L754" s="197" t="s">
        <v>352</v>
      </c>
      <c r="M754" s="200" t="s">
        <v>353</v>
      </c>
      <c r="N754" s="201">
        <v>10</v>
      </c>
      <c r="O754" s="202">
        <v>155455</v>
      </c>
      <c r="P754" s="203">
        <v>1554550</v>
      </c>
      <c r="Q754" s="203">
        <v>155455</v>
      </c>
      <c r="R754" s="203">
        <v>1710005</v>
      </c>
      <c r="S754" s="199"/>
      <c r="T754" s="199" t="s">
        <v>310</v>
      </c>
      <c r="U754" s="197">
        <v>61162</v>
      </c>
      <c r="V754" s="197"/>
      <c r="W754" s="196" t="s">
        <v>356</v>
      </c>
      <c r="X754" s="196" t="str">
        <f>+IFERROR(VLOOKUP($F754,'[2]Chuyển đổi mã'!$A$1:$C$91,3,0),$F754)&amp;AC754</f>
        <v>Big C South320463</v>
      </c>
      <c r="Y754" s="196" t="str">
        <f>IFERROR(VLOOKUP($F754,'[2]Chuyển đổi mã'!$A$1:$C$184,3,0),F754)</f>
        <v>Big C South</v>
      </c>
      <c r="Z754" s="196" t="str">
        <f>VLOOKUP($G754,'[2]Thông tin NPP'!$B:$D,3,0)</f>
        <v>BIG C South</v>
      </c>
      <c r="AA754" s="196" t="str">
        <f t="shared" si="205"/>
        <v>Na 8,5g</v>
      </c>
      <c r="AB754" s="196" t="str">
        <f>IFERROR(VLOOKUP(DAY(B754),'[2]Chuyển đổi mã'!$F$1:$G$32,2,0),0)</f>
        <v>W4</v>
      </c>
      <c r="AC754" s="196" t="str">
        <f t="shared" si="206"/>
        <v>320463</v>
      </c>
      <c r="AD754" s="196" t="str">
        <f t="shared" si="207"/>
        <v>NPP</v>
      </c>
      <c r="AE754" s="196" t="str">
        <f t="shared" si="208"/>
        <v>NPP320463</v>
      </c>
      <c r="AF754" s="196">
        <f t="shared" si="209"/>
        <v>0</v>
      </c>
    </row>
    <row r="755" spans="1:32" ht="12.95" customHeight="1">
      <c r="A755" s="197">
        <v>63438</v>
      </c>
      <c r="B755" s="198">
        <v>43581</v>
      </c>
      <c r="C755" s="197" t="s">
        <v>457</v>
      </c>
      <c r="D755" s="197" t="s">
        <v>697</v>
      </c>
      <c r="E755" s="197" t="s">
        <v>346</v>
      </c>
      <c r="F755" s="197" t="s">
        <v>525</v>
      </c>
      <c r="G755" s="199" t="s">
        <v>526</v>
      </c>
      <c r="H755" s="199" t="s">
        <v>296</v>
      </c>
      <c r="I755" s="199" t="s">
        <v>349</v>
      </c>
      <c r="J755" s="199" t="s">
        <v>350</v>
      </c>
      <c r="K755" s="197" t="s">
        <v>351</v>
      </c>
      <c r="L755" s="197" t="s">
        <v>387</v>
      </c>
      <c r="M755" s="200" t="s">
        <v>388</v>
      </c>
      <c r="N755" s="201">
        <v>2</v>
      </c>
      <c r="O755" s="202">
        <v>355455</v>
      </c>
      <c r="P755" s="203">
        <v>710910</v>
      </c>
      <c r="Q755" s="203">
        <v>71091</v>
      </c>
      <c r="R755" s="203">
        <v>782001</v>
      </c>
      <c r="S755" s="199"/>
      <c r="T755" s="199" t="s">
        <v>310</v>
      </c>
      <c r="U755" s="197">
        <v>61162</v>
      </c>
      <c r="V755" s="197"/>
      <c r="W755" s="196" t="s">
        <v>356</v>
      </c>
      <c r="X755" s="196" t="str">
        <f>+IFERROR(VLOOKUP($F755,'[2]Chuyển đổi mã'!$A$1:$C$91,3,0),$F755)&amp;AC755</f>
        <v>Big C South323620</v>
      </c>
      <c r="Y755" s="196" t="str">
        <f>IFERROR(VLOOKUP($F755,'[2]Chuyển đổi mã'!$A$1:$C$184,3,0),F755)</f>
        <v>Big C South</v>
      </c>
      <c r="Z755" s="196" t="str">
        <f>VLOOKUP($G755,'[2]Thông tin NPP'!$B:$D,3,0)</f>
        <v>BIG C South</v>
      </c>
      <c r="AA755" s="196" t="str">
        <f t="shared" si="205"/>
        <v>Ahh 16g</v>
      </c>
      <c r="AB755" s="196" t="str">
        <f>IFERROR(VLOOKUP(DAY(B755),'[2]Chuyển đổi mã'!$F$1:$G$32,2,0),0)</f>
        <v>W4</v>
      </c>
      <c r="AC755" s="196" t="str">
        <f t="shared" si="206"/>
        <v>323620</v>
      </c>
      <c r="AD755" s="196" t="str">
        <f t="shared" si="207"/>
        <v>NPP</v>
      </c>
      <c r="AE755" s="196" t="str">
        <f t="shared" si="208"/>
        <v>NPP323620</v>
      </c>
      <c r="AF755" s="196">
        <f t="shared" si="209"/>
        <v>0</v>
      </c>
    </row>
    <row r="756" spans="1:32" ht="12.95" customHeight="1">
      <c r="A756" s="197">
        <v>63438</v>
      </c>
      <c r="B756" s="198">
        <v>43581</v>
      </c>
      <c r="C756" s="197" t="s">
        <v>457</v>
      </c>
      <c r="D756" s="197" t="s">
        <v>697</v>
      </c>
      <c r="E756" s="197" t="s">
        <v>346</v>
      </c>
      <c r="F756" s="197" t="s">
        <v>525</v>
      </c>
      <c r="G756" s="199" t="s">
        <v>526</v>
      </c>
      <c r="H756" s="199" t="s">
        <v>296</v>
      </c>
      <c r="I756" s="199" t="s">
        <v>349</v>
      </c>
      <c r="J756" s="199" t="s">
        <v>350</v>
      </c>
      <c r="K756" s="197" t="s">
        <v>351</v>
      </c>
      <c r="L756" s="197" t="s">
        <v>357</v>
      </c>
      <c r="M756" s="200" t="s">
        <v>358</v>
      </c>
      <c r="N756" s="201">
        <v>10</v>
      </c>
      <c r="O756" s="202">
        <v>213273</v>
      </c>
      <c r="P756" s="203">
        <v>2132730</v>
      </c>
      <c r="Q756" s="203">
        <v>213273</v>
      </c>
      <c r="R756" s="203">
        <v>2346003</v>
      </c>
      <c r="S756" s="199"/>
      <c r="T756" s="199" t="s">
        <v>310</v>
      </c>
      <c r="U756" s="197">
        <v>61162</v>
      </c>
      <c r="V756" s="197"/>
      <c r="W756" s="196" t="s">
        <v>356</v>
      </c>
      <c r="X756" s="196" t="str">
        <f>+IFERROR(VLOOKUP($F756,'[2]Chuyển đổi mã'!$A$1:$C$91,3,0),$F756)&amp;AC756</f>
        <v>Big C South323555</v>
      </c>
      <c r="Y756" s="196" t="str">
        <f>IFERROR(VLOOKUP($F756,'[2]Chuyển đổi mã'!$A$1:$C$184,3,0),F756)</f>
        <v>Big C South</v>
      </c>
      <c r="Z756" s="196" t="str">
        <f>VLOOKUP($G756,'[2]Thông tin NPP'!$B:$D,3,0)</f>
        <v>BIG C South</v>
      </c>
      <c r="AA756" s="196" t="str">
        <f t="shared" si="205"/>
        <v>Na 17g - M</v>
      </c>
      <c r="AB756" s="196" t="str">
        <f>IFERROR(VLOOKUP(DAY(B756),'[2]Chuyển đổi mã'!$F$1:$G$32,2,0),0)</f>
        <v>W4</v>
      </c>
      <c r="AC756" s="196" t="str">
        <f t="shared" si="206"/>
        <v>323555</v>
      </c>
      <c r="AD756" s="196" t="str">
        <f t="shared" si="207"/>
        <v>NPP</v>
      </c>
      <c r="AE756" s="196" t="str">
        <f t="shared" si="208"/>
        <v>NPP323555</v>
      </c>
      <c r="AF756" s="196">
        <f t="shared" si="209"/>
        <v>0</v>
      </c>
    </row>
    <row r="757" spans="1:32" ht="12.95" customHeight="1">
      <c r="A757" s="197">
        <v>63438</v>
      </c>
      <c r="B757" s="198">
        <v>43581</v>
      </c>
      <c r="C757" s="197" t="s">
        <v>457</v>
      </c>
      <c r="D757" s="197" t="s">
        <v>697</v>
      </c>
      <c r="E757" s="197" t="s">
        <v>346</v>
      </c>
      <c r="F757" s="197" t="s">
        <v>525</v>
      </c>
      <c r="G757" s="199" t="s">
        <v>526</v>
      </c>
      <c r="H757" s="199" t="s">
        <v>296</v>
      </c>
      <c r="I757" s="199" t="s">
        <v>349</v>
      </c>
      <c r="J757" s="199" t="s">
        <v>350</v>
      </c>
      <c r="K757" s="197" t="s">
        <v>351</v>
      </c>
      <c r="L757" s="197" t="s">
        <v>359</v>
      </c>
      <c r="M757" s="200" t="s">
        <v>360</v>
      </c>
      <c r="N757" s="201">
        <v>1</v>
      </c>
      <c r="O757" s="202">
        <v>313636</v>
      </c>
      <c r="P757" s="203">
        <v>313636</v>
      </c>
      <c r="Q757" s="203">
        <v>31363.599999999999</v>
      </c>
      <c r="R757" s="203">
        <v>344999.6</v>
      </c>
      <c r="S757" s="199"/>
      <c r="T757" s="199" t="s">
        <v>310</v>
      </c>
      <c r="U757" s="197">
        <v>61162</v>
      </c>
      <c r="V757" s="197"/>
      <c r="W757" s="196" t="s">
        <v>356</v>
      </c>
      <c r="X757" s="196" t="str">
        <f>+IFERROR(VLOOKUP($F757,'[2]Chuyển đổi mã'!$A$1:$C$91,3,0),$F757)&amp;AC757</f>
        <v>Big C South320445</v>
      </c>
      <c r="Y757" s="196" t="str">
        <f>IFERROR(VLOOKUP($F757,'[2]Chuyển đổi mã'!$A$1:$C$184,3,0),F757)</f>
        <v>Big C South</v>
      </c>
      <c r="Z757" s="196" t="str">
        <f>VLOOKUP($G757,'[2]Thông tin NPP'!$B:$D,3,0)</f>
        <v>BIG C South</v>
      </c>
      <c r="AA757" s="196" t="str">
        <f t="shared" si="205"/>
        <v>Na 58g</v>
      </c>
      <c r="AB757" s="196" t="str">
        <f>IFERROR(VLOOKUP(DAY(B757),'[2]Chuyển đổi mã'!$F$1:$G$32,2,0),0)</f>
        <v>W4</v>
      </c>
      <c r="AC757" s="196" t="str">
        <f t="shared" si="206"/>
        <v>320445</v>
      </c>
      <c r="AD757" s="196" t="str">
        <f t="shared" si="207"/>
        <v>NPP</v>
      </c>
      <c r="AE757" s="196" t="str">
        <f t="shared" si="208"/>
        <v>NPP320445</v>
      </c>
      <c r="AF757" s="196">
        <f t="shared" si="209"/>
        <v>0</v>
      </c>
    </row>
    <row r="758" spans="1:32" ht="12.95" customHeight="1">
      <c r="A758" s="197">
        <v>63438</v>
      </c>
      <c r="B758" s="198">
        <v>43581</v>
      </c>
      <c r="C758" s="197" t="s">
        <v>457</v>
      </c>
      <c r="D758" s="197" t="s">
        <v>697</v>
      </c>
      <c r="E758" s="197" t="s">
        <v>346</v>
      </c>
      <c r="F758" s="197" t="s">
        <v>525</v>
      </c>
      <c r="G758" s="199" t="s">
        <v>526</v>
      </c>
      <c r="H758" s="199" t="s">
        <v>296</v>
      </c>
      <c r="I758" s="199" t="s">
        <v>349</v>
      </c>
      <c r="J758" s="199" t="s">
        <v>350</v>
      </c>
      <c r="K758" s="197" t="s">
        <v>351</v>
      </c>
      <c r="L758" s="197" t="s">
        <v>361</v>
      </c>
      <c r="M758" s="200" t="s">
        <v>362</v>
      </c>
      <c r="N758" s="201">
        <v>1</v>
      </c>
      <c r="O758" s="202">
        <v>313636</v>
      </c>
      <c r="P758" s="203">
        <v>313636</v>
      </c>
      <c r="Q758" s="203">
        <v>31363.599999999999</v>
      </c>
      <c r="R758" s="203">
        <v>344999.6</v>
      </c>
      <c r="S758" s="199"/>
      <c r="T758" s="199" t="s">
        <v>310</v>
      </c>
      <c r="U758" s="197">
        <v>61162</v>
      </c>
      <c r="V758" s="197"/>
      <c r="W758" s="196" t="s">
        <v>356</v>
      </c>
      <c r="X758" s="196" t="str">
        <f>+IFERROR(VLOOKUP($F758,'[2]Chuyển đổi mã'!$A$1:$C$91,3,0),$F758)&amp;AC758</f>
        <v>Big C South331017</v>
      </c>
      <c r="Y758" s="196" t="str">
        <f>IFERROR(VLOOKUP($F758,'[2]Chuyển đổi mã'!$A$1:$C$184,3,0),F758)</f>
        <v>Big C South</v>
      </c>
      <c r="Z758" s="196" t="str">
        <f>VLOOKUP($G758,'[2]Thông tin NPP'!$B:$D,3,0)</f>
        <v>BIG C South</v>
      </c>
      <c r="AA758" s="196" t="str">
        <f t="shared" si="205"/>
        <v>Richoco Wf</v>
      </c>
      <c r="AB758" s="196" t="str">
        <f>IFERROR(VLOOKUP(DAY(B758),'[2]Chuyển đổi mã'!$F$1:$G$32,2,0),0)</f>
        <v>W4</v>
      </c>
      <c r="AC758" s="196" t="str">
        <f t="shared" si="206"/>
        <v>331017</v>
      </c>
      <c r="AD758" s="196" t="str">
        <f t="shared" si="207"/>
        <v>NPP</v>
      </c>
      <c r="AE758" s="196" t="str">
        <f t="shared" si="208"/>
        <v>NPP331017</v>
      </c>
      <c r="AF758" s="196">
        <f t="shared" si="209"/>
        <v>0</v>
      </c>
    </row>
    <row r="759" spans="1:32" ht="12.95" customHeight="1">
      <c r="A759" s="197">
        <v>63438</v>
      </c>
      <c r="B759" s="198">
        <v>43581</v>
      </c>
      <c r="C759" s="197" t="s">
        <v>457</v>
      </c>
      <c r="D759" s="197" t="s">
        <v>697</v>
      </c>
      <c r="E759" s="197" t="s">
        <v>346</v>
      </c>
      <c r="F759" s="197" t="s">
        <v>525</v>
      </c>
      <c r="G759" s="199" t="s">
        <v>526</v>
      </c>
      <c r="H759" s="199" t="s">
        <v>296</v>
      </c>
      <c r="I759" s="199" t="s">
        <v>349</v>
      </c>
      <c r="J759" s="199" t="s">
        <v>350</v>
      </c>
      <c r="K759" s="197" t="s">
        <v>351</v>
      </c>
      <c r="L759" s="197" t="s">
        <v>363</v>
      </c>
      <c r="M759" s="200" t="s">
        <v>364</v>
      </c>
      <c r="N759" s="201">
        <v>1</v>
      </c>
      <c r="O759" s="202">
        <v>334545</v>
      </c>
      <c r="P759" s="203">
        <v>334545</v>
      </c>
      <c r="Q759" s="203">
        <v>33454.5</v>
      </c>
      <c r="R759" s="203">
        <v>367999.5</v>
      </c>
      <c r="S759" s="199"/>
      <c r="T759" s="199" t="s">
        <v>310</v>
      </c>
      <c r="U759" s="197">
        <v>61162</v>
      </c>
      <c r="V759" s="197"/>
      <c r="W759" s="196" t="s">
        <v>356</v>
      </c>
      <c r="X759" s="196" t="str">
        <f>+IFERROR(VLOOKUP($F759,'[2]Chuyển đổi mã'!$A$1:$C$91,3,0),$F759)&amp;AC759</f>
        <v>Big C South323708</v>
      </c>
      <c r="Y759" s="196" t="str">
        <f>IFERROR(VLOOKUP($F759,'[2]Chuyển đổi mã'!$A$1:$C$184,3,0),F759)</f>
        <v>Big C South</v>
      </c>
      <c r="Z759" s="196" t="str">
        <f>VLOOKUP($G759,'[2]Thông tin NPP'!$B:$D,3,0)</f>
        <v>BIG C South</v>
      </c>
      <c r="AA759" s="196" t="str">
        <f t="shared" si="205"/>
        <v>Nextar Bro</v>
      </c>
      <c r="AB759" s="196" t="str">
        <f>IFERROR(VLOOKUP(DAY(B759),'[2]Chuyển đổi mã'!$F$1:$G$32,2,0),0)</f>
        <v>W4</v>
      </c>
      <c r="AC759" s="196" t="str">
        <f t="shared" si="206"/>
        <v>323708</v>
      </c>
      <c r="AD759" s="196" t="str">
        <f t="shared" si="207"/>
        <v>NPP</v>
      </c>
      <c r="AE759" s="196" t="str">
        <f t="shared" si="208"/>
        <v>NPP323708</v>
      </c>
      <c r="AF759" s="196">
        <f t="shared" si="209"/>
        <v>0</v>
      </c>
    </row>
    <row r="760" spans="1:32" ht="12.95" hidden="1" customHeight="1">
      <c r="A760" s="197">
        <v>63439</v>
      </c>
      <c r="B760" s="198">
        <v>43581</v>
      </c>
      <c r="C760" s="197" t="s">
        <v>457</v>
      </c>
      <c r="D760" s="197" t="s">
        <v>698</v>
      </c>
      <c r="E760" s="197" t="s">
        <v>346</v>
      </c>
      <c r="F760" s="197" t="s">
        <v>393</v>
      </c>
      <c r="G760" s="199" t="s">
        <v>394</v>
      </c>
      <c r="H760" s="199" t="s">
        <v>296</v>
      </c>
      <c r="I760" s="199" t="s">
        <v>395</v>
      </c>
      <c r="J760" s="199" t="s">
        <v>350</v>
      </c>
      <c r="K760" s="197" t="s">
        <v>351</v>
      </c>
      <c r="L760" s="197" t="s">
        <v>352</v>
      </c>
      <c r="M760" s="200" t="s">
        <v>353</v>
      </c>
      <c r="N760" s="201">
        <v>5</v>
      </c>
      <c r="O760" s="202">
        <v>119700.35</v>
      </c>
      <c r="P760" s="203">
        <v>598501.75</v>
      </c>
      <c r="Q760" s="203">
        <v>59850.175000000003</v>
      </c>
      <c r="R760" s="203">
        <v>658351.92500000005</v>
      </c>
      <c r="S760" s="199" t="s">
        <v>354</v>
      </c>
      <c r="T760" s="199" t="s">
        <v>355</v>
      </c>
      <c r="U760" s="197">
        <v>61164</v>
      </c>
      <c r="V760" s="197" t="s">
        <v>699</v>
      </c>
      <c r="W760" s="196" t="s">
        <v>356</v>
      </c>
      <c r="X760" s="196" t="str">
        <f>+IFERROR(VLOOKUP($F760,'[2]Chuyển đổi mã'!$A$1:$C$91,3,0),$F760)&amp;AC760</f>
        <v>Big C North320463</v>
      </c>
      <c r="Y760" s="196" t="str">
        <f>IFERROR(VLOOKUP($F760,'[2]Chuyển đổi mã'!$A$1:$C$184,3,0),F760)</f>
        <v>Big C North</v>
      </c>
      <c r="Z760" s="196" t="str">
        <f>VLOOKUP($G760,'[2]Thông tin NPP'!$B:$D,3,0)</f>
        <v>BIG C North</v>
      </c>
      <c r="AA760" s="196" t="str">
        <f t="shared" si="205"/>
        <v>Na 8,5g</v>
      </c>
      <c r="AB760" s="196" t="str">
        <f>IFERROR(VLOOKUP(DAY(B760),'[2]Chuyển đổi mã'!$F$1:$G$32,2,0),0)</f>
        <v>W4</v>
      </c>
      <c r="AC760" s="196" t="str">
        <f t="shared" si="206"/>
        <v>320463</v>
      </c>
      <c r="AD760" s="196" t="str">
        <f t="shared" si="207"/>
        <v>NPP</v>
      </c>
      <c r="AE760" s="196" t="str">
        <f t="shared" si="208"/>
        <v>NPP320463</v>
      </c>
      <c r="AF760" s="196">
        <f t="shared" si="209"/>
        <v>0</v>
      </c>
    </row>
    <row r="761" spans="1:32" ht="12.95" hidden="1" customHeight="1">
      <c r="A761" s="197">
        <v>63439</v>
      </c>
      <c r="B761" s="198">
        <v>43581</v>
      </c>
      <c r="C761" s="197" t="s">
        <v>457</v>
      </c>
      <c r="D761" s="197" t="s">
        <v>698</v>
      </c>
      <c r="E761" s="197" t="s">
        <v>346</v>
      </c>
      <c r="F761" s="197" t="s">
        <v>393</v>
      </c>
      <c r="G761" s="199" t="s">
        <v>394</v>
      </c>
      <c r="H761" s="199" t="s">
        <v>296</v>
      </c>
      <c r="I761" s="199" t="s">
        <v>395</v>
      </c>
      <c r="J761" s="199" t="s">
        <v>350</v>
      </c>
      <c r="K761" s="197" t="s">
        <v>351</v>
      </c>
      <c r="L761" s="197" t="s">
        <v>357</v>
      </c>
      <c r="M761" s="200" t="s">
        <v>358</v>
      </c>
      <c r="N761" s="201">
        <v>5</v>
      </c>
      <c r="O761" s="202">
        <v>213273</v>
      </c>
      <c r="P761" s="203">
        <v>1066365</v>
      </c>
      <c r="Q761" s="203">
        <v>106636.5</v>
      </c>
      <c r="R761" s="203">
        <v>1173001.5</v>
      </c>
      <c r="S761" s="199"/>
      <c r="T761" s="199" t="s">
        <v>310</v>
      </c>
      <c r="U761" s="197">
        <v>61164</v>
      </c>
      <c r="V761" s="197" t="s">
        <v>699</v>
      </c>
      <c r="W761" s="196" t="s">
        <v>356</v>
      </c>
      <c r="X761" s="196" t="str">
        <f>+IFERROR(VLOOKUP($F761,'[2]Chuyển đổi mã'!$A$1:$C$91,3,0),$F761)&amp;AC761</f>
        <v>Big C North323555</v>
      </c>
      <c r="Y761" s="196" t="str">
        <f>IFERROR(VLOOKUP($F761,'[2]Chuyển đổi mã'!$A$1:$C$184,3,0),F761)</f>
        <v>Big C North</v>
      </c>
      <c r="Z761" s="196" t="str">
        <f>VLOOKUP($G761,'[2]Thông tin NPP'!$B:$D,3,0)</f>
        <v>BIG C North</v>
      </c>
      <c r="AA761" s="196" t="str">
        <f t="shared" si="205"/>
        <v>Na 17g - M</v>
      </c>
      <c r="AB761" s="196" t="str">
        <f>IFERROR(VLOOKUP(DAY(B761),'[2]Chuyển đổi mã'!$F$1:$G$32,2,0),0)</f>
        <v>W4</v>
      </c>
      <c r="AC761" s="196" t="str">
        <f t="shared" si="206"/>
        <v>323555</v>
      </c>
      <c r="AD761" s="196" t="str">
        <f t="shared" si="207"/>
        <v>NPP</v>
      </c>
      <c r="AE761" s="196" t="str">
        <f t="shared" si="208"/>
        <v>NPP323555</v>
      </c>
      <c r="AF761" s="196">
        <f t="shared" si="209"/>
        <v>0</v>
      </c>
    </row>
    <row r="762" spans="1:32" ht="12.95" hidden="1" customHeight="1">
      <c r="A762" s="197">
        <v>63439</v>
      </c>
      <c r="B762" s="198">
        <v>43581</v>
      </c>
      <c r="C762" s="197" t="s">
        <v>457</v>
      </c>
      <c r="D762" s="197" t="s">
        <v>698</v>
      </c>
      <c r="E762" s="197" t="s">
        <v>346</v>
      </c>
      <c r="F762" s="197" t="s">
        <v>393</v>
      </c>
      <c r="G762" s="199" t="s">
        <v>394</v>
      </c>
      <c r="H762" s="199" t="s">
        <v>296</v>
      </c>
      <c r="I762" s="199" t="s">
        <v>395</v>
      </c>
      <c r="J762" s="199" t="s">
        <v>350</v>
      </c>
      <c r="K762" s="197" t="s">
        <v>351</v>
      </c>
      <c r="L762" s="197" t="s">
        <v>359</v>
      </c>
      <c r="M762" s="200" t="s">
        <v>360</v>
      </c>
      <c r="N762" s="201">
        <v>2</v>
      </c>
      <c r="O762" s="202">
        <v>313636</v>
      </c>
      <c r="P762" s="203">
        <v>627272</v>
      </c>
      <c r="Q762" s="203">
        <v>62727.199999999997</v>
      </c>
      <c r="R762" s="203">
        <v>689999.2</v>
      </c>
      <c r="S762" s="199"/>
      <c r="T762" s="199" t="s">
        <v>310</v>
      </c>
      <c r="U762" s="197">
        <v>61164</v>
      </c>
      <c r="V762" s="197" t="s">
        <v>699</v>
      </c>
      <c r="W762" s="196" t="s">
        <v>356</v>
      </c>
      <c r="X762" s="196" t="str">
        <f>+IFERROR(VLOOKUP($F762,'[2]Chuyển đổi mã'!$A$1:$C$91,3,0),$F762)&amp;AC762</f>
        <v>Big C North320445</v>
      </c>
      <c r="Y762" s="196" t="str">
        <f>IFERROR(VLOOKUP($F762,'[2]Chuyển đổi mã'!$A$1:$C$184,3,0),F762)</f>
        <v>Big C North</v>
      </c>
      <c r="Z762" s="196" t="str">
        <f>VLOOKUP($G762,'[2]Thông tin NPP'!$B:$D,3,0)</f>
        <v>BIG C North</v>
      </c>
      <c r="AA762" s="196" t="str">
        <f t="shared" si="205"/>
        <v>Na 58g</v>
      </c>
      <c r="AB762" s="196" t="str">
        <f>IFERROR(VLOOKUP(DAY(B762),'[2]Chuyển đổi mã'!$F$1:$G$32,2,0),0)</f>
        <v>W4</v>
      </c>
      <c r="AC762" s="196" t="str">
        <f t="shared" si="206"/>
        <v>320445</v>
      </c>
      <c r="AD762" s="196" t="str">
        <f t="shared" si="207"/>
        <v>NPP</v>
      </c>
      <c r="AE762" s="196" t="str">
        <f t="shared" si="208"/>
        <v>NPP320445</v>
      </c>
      <c r="AF762" s="196">
        <f t="shared" si="209"/>
        <v>0</v>
      </c>
    </row>
    <row r="763" spans="1:32" ht="12.95" hidden="1" customHeight="1">
      <c r="A763" s="197">
        <v>63439</v>
      </c>
      <c r="B763" s="198">
        <v>43581</v>
      </c>
      <c r="C763" s="197" t="s">
        <v>457</v>
      </c>
      <c r="D763" s="197" t="s">
        <v>698</v>
      </c>
      <c r="E763" s="197" t="s">
        <v>346</v>
      </c>
      <c r="F763" s="197" t="s">
        <v>393</v>
      </c>
      <c r="G763" s="199" t="s">
        <v>394</v>
      </c>
      <c r="H763" s="199" t="s">
        <v>296</v>
      </c>
      <c r="I763" s="199" t="s">
        <v>395</v>
      </c>
      <c r="J763" s="199" t="s">
        <v>350</v>
      </c>
      <c r="K763" s="197" t="s">
        <v>351</v>
      </c>
      <c r="L763" s="197" t="s">
        <v>361</v>
      </c>
      <c r="M763" s="200" t="s">
        <v>362</v>
      </c>
      <c r="N763" s="201">
        <v>1</v>
      </c>
      <c r="O763" s="202">
        <v>313636</v>
      </c>
      <c r="P763" s="203">
        <v>313636</v>
      </c>
      <c r="Q763" s="203">
        <v>31363.599999999999</v>
      </c>
      <c r="R763" s="203">
        <v>344999.6</v>
      </c>
      <c r="S763" s="199"/>
      <c r="T763" s="199" t="s">
        <v>310</v>
      </c>
      <c r="U763" s="197">
        <v>61164</v>
      </c>
      <c r="V763" s="197" t="s">
        <v>699</v>
      </c>
      <c r="W763" s="196" t="s">
        <v>356</v>
      </c>
      <c r="X763" s="196" t="str">
        <f>+IFERROR(VLOOKUP($F763,'[2]Chuyển đổi mã'!$A$1:$C$91,3,0),$F763)&amp;AC763</f>
        <v>Big C North331017</v>
      </c>
      <c r="Y763" s="196" t="str">
        <f>IFERROR(VLOOKUP($F763,'[2]Chuyển đổi mã'!$A$1:$C$184,3,0),F763)</f>
        <v>Big C North</v>
      </c>
      <c r="Z763" s="196" t="str">
        <f>VLOOKUP($G763,'[2]Thông tin NPP'!$B:$D,3,0)</f>
        <v>BIG C North</v>
      </c>
      <c r="AA763" s="196" t="str">
        <f t="shared" si="205"/>
        <v>Richoco Wf</v>
      </c>
      <c r="AB763" s="196" t="str">
        <f>IFERROR(VLOOKUP(DAY(B763),'[2]Chuyển đổi mã'!$F$1:$G$32,2,0),0)</f>
        <v>W4</v>
      </c>
      <c r="AC763" s="196" t="str">
        <f t="shared" si="206"/>
        <v>331017</v>
      </c>
      <c r="AD763" s="196" t="str">
        <f t="shared" si="207"/>
        <v>NPP</v>
      </c>
      <c r="AE763" s="196" t="str">
        <f t="shared" si="208"/>
        <v>NPP331017</v>
      </c>
      <c r="AF763" s="196">
        <f t="shared" si="209"/>
        <v>0</v>
      </c>
    </row>
    <row r="764" spans="1:32" ht="12.95" hidden="1" customHeight="1">
      <c r="A764" s="197">
        <v>63439</v>
      </c>
      <c r="B764" s="198">
        <v>43581</v>
      </c>
      <c r="C764" s="197" t="s">
        <v>457</v>
      </c>
      <c r="D764" s="197" t="s">
        <v>698</v>
      </c>
      <c r="E764" s="197" t="s">
        <v>346</v>
      </c>
      <c r="F764" s="197" t="s">
        <v>393</v>
      </c>
      <c r="G764" s="199" t="s">
        <v>394</v>
      </c>
      <c r="H764" s="199" t="s">
        <v>296</v>
      </c>
      <c r="I764" s="199" t="s">
        <v>395</v>
      </c>
      <c r="J764" s="199" t="s">
        <v>350</v>
      </c>
      <c r="K764" s="197" t="s">
        <v>351</v>
      </c>
      <c r="L764" s="197" t="s">
        <v>363</v>
      </c>
      <c r="M764" s="200" t="s">
        <v>364</v>
      </c>
      <c r="N764" s="201">
        <v>2</v>
      </c>
      <c r="O764" s="202">
        <v>334545</v>
      </c>
      <c r="P764" s="203">
        <v>669090</v>
      </c>
      <c r="Q764" s="203">
        <v>66909</v>
      </c>
      <c r="R764" s="203">
        <v>735999</v>
      </c>
      <c r="S764" s="199"/>
      <c r="T764" s="199" t="s">
        <v>310</v>
      </c>
      <c r="U764" s="197">
        <v>61164</v>
      </c>
      <c r="V764" s="197" t="s">
        <v>699</v>
      </c>
      <c r="W764" s="196" t="s">
        <v>356</v>
      </c>
      <c r="X764" s="196" t="str">
        <f>+IFERROR(VLOOKUP($F764,'[2]Chuyển đổi mã'!$A$1:$C$91,3,0),$F764)&amp;AC764</f>
        <v>Big C North323708</v>
      </c>
      <c r="Y764" s="196" t="str">
        <f>IFERROR(VLOOKUP($F764,'[2]Chuyển đổi mã'!$A$1:$C$184,3,0),F764)</f>
        <v>Big C North</v>
      </c>
      <c r="Z764" s="196" t="str">
        <f>VLOOKUP($G764,'[2]Thông tin NPP'!$B:$D,3,0)</f>
        <v>BIG C North</v>
      </c>
      <c r="AA764" s="196" t="str">
        <f t="shared" si="205"/>
        <v>Nextar Bro</v>
      </c>
      <c r="AB764" s="196" t="str">
        <f>IFERROR(VLOOKUP(DAY(B764),'[2]Chuyển đổi mã'!$F$1:$G$32,2,0),0)</f>
        <v>W4</v>
      </c>
      <c r="AC764" s="196" t="str">
        <f t="shared" si="206"/>
        <v>323708</v>
      </c>
      <c r="AD764" s="196" t="str">
        <f t="shared" si="207"/>
        <v>NPP</v>
      </c>
      <c r="AE764" s="196" t="str">
        <f t="shared" si="208"/>
        <v>NPP323708</v>
      </c>
      <c r="AF764" s="196">
        <f t="shared" si="209"/>
        <v>0</v>
      </c>
    </row>
    <row r="765" spans="1:32" ht="12.95" hidden="1" customHeight="1">
      <c r="A765" s="197">
        <v>63439</v>
      </c>
      <c r="B765" s="198">
        <v>43581</v>
      </c>
      <c r="C765" s="197" t="s">
        <v>457</v>
      </c>
      <c r="D765" s="197" t="s">
        <v>698</v>
      </c>
      <c r="E765" s="197" t="s">
        <v>346</v>
      </c>
      <c r="F765" s="197" t="s">
        <v>393</v>
      </c>
      <c r="G765" s="199" t="s">
        <v>394</v>
      </c>
      <c r="H765" s="199" t="s">
        <v>296</v>
      </c>
      <c r="I765" s="199" t="s">
        <v>395</v>
      </c>
      <c r="J765" s="199" t="s">
        <v>350</v>
      </c>
      <c r="K765" s="197" t="s">
        <v>351</v>
      </c>
      <c r="L765" s="197" t="s">
        <v>365</v>
      </c>
      <c r="M765" s="200" t="s">
        <v>366</v>
      </c>
      <c r="N765" s="201">
        <v>2</v>
      </c>
      <c r="O765" s="202">
        <v>313636</v>
      </c>
      <c r="P765" s="203">
        <v>627272</v>
      </c>
      <c r="Q765" s="203">
        <v>62727.199999999997</v>
      </c>
      <c r="R765" s="203">
        <v>689999.2</v>
      </c>
      <c r="S765" s="199"/>
      <c r="T765" s="199" t="s">
        <v>310</v>
      </c>
      <c r="U765" s="197">
        <v>61164</v>
      </c>
      <c r="V765" s="197" t="s">
        <v>699</v>
      </c>
      <c r="W765" s="196" t="s">
        <v>356</v>
      </c>
      <c r="X765" s="196" t="str">
        <f>+IFERROR(VLOOKUP($F765,'[2]Chuyển đổi mã'!$A$1:$C$91,3,0),$F765)&amp;AC765</f>
        <v>Big C North323709</v>
      </c>
      <c r="Y765" s="196" t="str">
        <f>IFERROR(VLOOKUP($F765,'[2]Chuyển đổi mã'!$A$1:$C$184,3,0),F765)</f>
        <v>Big C North</v>
      </c>
      <c r="Z765" s="196" t="str">
        <f>VLOOKUP($G765,'[2]Thông tin NPP'!$B:$D,3,0)</f>
        <v>BIG C North</v>
      </c>
      <c r="AA765" s="196" t="str">
        <f t="shared" si="205"/>
        <v>Nextar Bro</v>
      </c>
      <c r="AB765" s="196" t="str">
        <f>IFERROR(VLOOKUP(DAY(B765),'[2]Chuyển đổi mã'!$F$1:$G$32,2,0),0)</f>
        <v>W4</v>
      </c>
      <c r="AC765" s="196" t="str">
        <f t="shared" si="206"/>
        <v>323709</v>
      </c>
      <c r="AD765" s="196" t="str">
        <f t="shared" si="207"/>
        <v>NPP</v>
      </c>
      <c r="AE765" s="196" t="str">
        <f t="shared" si="208"/>
        <v>NPP323709</v>
      </c>
      <c r="AF765" s="196">
        <f t="shared" si="209"/>
        <v>0</v>
      </c>
    </row>
    <row r="766" spans="1:32" ht="12.95" hidden="1" customHeight="1">
      <c r="A766" s="197">
        <v>63440</v>
      </c>
      <c r="B766" s="198">
        <v>43581</v>
      </c>
      <c r="C766" s="197" t="s">
        <v>457</v>
      </c>
      <c r="D766" s="197" t="s">
        <v>700</v>
      </c>
      <c r="E766" s="197" t="s">
        <v>346</v>
      </c>
      <c r="F766" s="197" t="s">
        <v>441</v>
      </c>
      <c r="G766" s="199" t="s">
        <v>442</v>
      </c>
      <c r="H766" s="199" t="s">
        <v>296</v>
      </c>
      <c r="I766" s="199" t="s">
        <v>443</v>
      </c>
      <c r="J766" s="199" t="s">
        <v>350</v>
      </c>
      <c r="K766" s="197" t="s">
        <v>351</v>
      </c>
      <c r="L766" s="197" t="s">
        <v>352</v>
      </c>
      <c r="M766" s="200" t="s">
        <v>353</v>
      </c>
      <c r="N766" s="201">
        <v>10</v>
      </c>
      <c r="O766" s="202">
        <v>119700.35</v>
      </c>
      <c r="P766" s="203">
        <v>1197003.5</v>
      </c>
      <c r="Q766" s="203">
        <v>119700.35</v>
      </c>
      <c r="R766" s="203">
        <v>1316703.8500000001</v>
      </c>
      <c r="S766" s="199" t="s">
        <v>354</v>
      </c>
      <c r="T766" s="199" t="s">
        <v>355</v>
      </c>
      <c r="U766" s="197">
        <v>61165</v>
      </c>
      <c r="V766" s="197" t="s">
        <v>701</v>
      </c>
      <c r="W766" s="196" t="s">
        <v>356</v>
      </c>
      <c r="X766" s="196" t="str">
        <f>+IFERROR(VLOOKUP($F766,'[2]Chuyển đổi mã'!$A$1:$C$91,3,0),$F766)&amp;AC766</f>
        <v>Big C Central320463</v>
      </c>
      <c r="Y766" s="196" t="str">
        <f>IFERROR(VLOOKUP($F766,'[2]Chuyển đổi mã'!$A$1:$C$184,3,0),F766)</f>
        <v>Big C Central</v>
      </c>
      <c r="Z766" s="196" t="str">
        <f>VLOOKUP($G766,'[2]Thông tin NPP'!$B:$D,3,0)</f>
        <v>BIG C Central</v>
      </c>
      <c r="AA766" s="196" t="str">
        <f t="shared" si="205"/>
        <v>Na 8,5g</v>
      </c>
      <c r="AB766" s="196" t="str">
        <f>IFERROR(VLOOKUP(DAY(B766),'[2]Chuyển đổi mã'!$F$1:$G$32,2,0),0)</f>
        <v>W4</v>
      </c>
      <c r="AC766" s="196" t="str">
        <f t="shared" si="206"/>
        <v>320463</v>
      </c>
      <c r="AD766" s="196" t="str">
        <f t="shared" si="207"/>
        <v>NPP</v>
      </c>
      <c r="AE766" s="196" t="str">
        <f t="shared" si="208"/>
        <v>NPP320463</v>
      </c>
      <c r="AF766" s="196">
        <f t="shared" si="209"/>
        <v>0</v>
      </c>
    </row>
    <row r="767" spans="1:32" ht="12.95" hidden="1" customHeight="1">
      <c r="A767" s="197">
        <v>63440</v>
      </c>
      <c r="B767" s="198">
        <v>43581</v>
      </c>
      <c r="C767" s="197" t="s">
        <v>457</v>
      </c>
      <c r="D767" s="197" t="s">
        <v>700</v>
      </c>
      <c r="E767" s="197" t="s">
        <v>346</v>
      </c>
      <c r="F767" s="197" t="s">
        <v>441</v>
      </c>
      <c r="G767" s="199" t="s">
        <v>442</v>
      </c>
      <c r="H767" s="199" t="s">
        <v>296</v>
      </c>
      <c r="I767" s="199" t="s">
        <v>443</v>
      </c>
      <c r="J767" s="199" t="s">
        <v>350</v>
      </c>
      <c r="K767" s="197" t="s">
        <v>351</v>
      </c>
      <c r="L767" s="197" t="s">
        <v>359</v>
      </c>
      <c r="M767" s="200" t="s">
        <v>360</v>
      </c>
      <c r="N767" s="201">
        <v>1</v>
      </c>
      <c r="O767" s="202">
        <v>313636</v>
      </c>
      <c r="P767" s="203">
        <v>313636</v>
      </c>
      <c r="Q767" s="203">
        <v>31363.599999999999</v>
      </c>
      <c r="R767" s="203">
        <v>344999.6</v>
      </c>
      <c r="S767" s="199"/>
      <c r="T767" s="199" t="s">
        <v>310</v>
      </c>
      <c r="U767" s="197">
        <v>61165</v>
      </c>
      <c r="V767" s="197" t="s">
        <v>701</v>
      </c>
      <c r="W767" s="196" t="s">
        <v>356</v>
      </c>
      <c r="X767" s="196" t="str">
        <f>+IFERROR(VLOOKUP($F767,'[2]Chuyển đổi mã'!$A$1:$C$91,3,0),$F767)&amp;AC767</f>
        <v>Big C Central320445</v>
      </c>
      <c r="Y767" s="196" t="str">
        <f>IFERROR(VLOOKUP($F767,'[2]Chuyển đổi mã'!$A$1:$C$184,3,0),F767)</f>
        <v>Big C Central</v>
      </c>
      <c r="Z767" s="196" t="str">
        <f>VLOOKUP($G767,'[2]Thông tin NPP'!$B:$D,3,0)</f>
        <v>BIG C Central</v>
      </c>
      <c r="AA767" s="196" t="str">
        <f t="shared" si="205"/>
        <v>Na 58g</v>
      </c>
      <c r="AB767" s="196" t="str">
        <f>IFERROR(VLOOKUP(DAY(B767),'[2]Chuyển đổi mã'!$F$1:$G$32,2,0),0)</f>
        <v>W4</v>
      </c>
      <c r="AC767" s="196" t="str">
        <f t="shared" si="206"/>
        <v>320445</v>
      </c>
      <c r="AD767" s="196" t="str">
        <f t="shared" si="207"/>
        <v>NPP</v>
      </c>
      <c r="AE767" s="196" t="str">
        <f t="shared" si="208"/>
        <v>NPP320445</v>
      </c>
      <c r="AF767" s="196">
        <f t="shared" si="209"/>
        <v>0</v>
      </c>
    </row>
    <row r="768" spans="1:32" ht="12.95" hidden="1" customHeight="1">
      <c r="A768" s="197">
        <v>63440</v>
      </c>
      <c r="B768" s="198">
        <v>43581</v>
      </c>
      <c r="C768" s="197" t="s">
        <v>457</v>
      </c>
      <c r="D768" s="197" t="s">
        <v>700</v>
      </c>
      <c r="E768" s="197" t="s">
        <v>346</v>
      </c>
      <c r="F768" s="197" t="s">
        <v>441</v>
      </c>
      <c r="G768" s="199" t="s">
        <v>442</v>
      </c>
      <c r="H768" s="199" t="s">
        <v>296</v>
      </c>
      <c r="I768" s="199" t="s">
        <v>443</v>
      </c>
      <c r="J768" s="199" t="s">
        <v>350</v>
      </c>
      <c r="K768" s="197" t="s">
        <v>351</v>
      </c>
      <c r="L768" s="197" t="s">
        <v>363</v>
      </c>
      <c r="M768" s="200" t="s">
        <v>364</v>
      </c>
      <c r="N768" s="201">
        <v>5</v>
      </c>
      <c r="O768" s="202">
        <v>334545</v>
      </c>
      <c r="P768" s="203">
        <v>1672725</v>
      </c>
      <c r="Q768" s="203">
        <v>167272.5</v>
      </c>
      <c r="R768" s="203">
        <v>1839997.5</v>
      </c>
      <c r="S768" s="199"/>
      <c r="T768" s="199" t="s">
        <v>310</v>
      </c>
      <c r="U768" s="197">
        <v>61165</v>
      </c>
      <c r="V768" s="197" t="s">
        <v>701</v>
      </c>
      <c r="W768" s="196" t="s">
        <v>356</v>
      </c>
      <c r="X768" s="196" t="str">
        <f>+IFERROR(VLOOKUP($F768,'[2]Chuyển đổi mã'!$A$1:$C$91,3,0),$F768)&amp;AC768</f>
        <v>Big C Central323708</v>
      </c>
      <c r="Y768" s="196" t="str">
        <f>IFERROR(VLOOKUP($F768,'[2]Chuyển đổi mã'!$A$1:$C$184,3,0),F768)</f>
        <v>Big C Central</v>
      </c>
      <c r="Z768" s="196" t="str">
        <f>VLOOKUP($G768,'[2]Thông tin NPP'!$B:$D,3,0)</f>
        <v>BIG C Central</v>
      </c>
      <c r="AA768" s="196" t="str">
        <f t="shared" si="205"/>
        <v>Nextar Bro</v>
      </c>
      <c r="AB768" s="196" t="str">
        <f>IFERROR(VLOOKUP(DAY(B768),'[2]Chuyển đổi mã'!$F$1:$G$32,2,0),0)</f>
        <v>W4</v>
      </c>
      <c r="AC768" s="196" t="str">
        <f t="shared" si="206"/>
        <v>323708</v>
      </c>
      <c r="AD768" s="196" t="str">
        <f t="shared" si="207"/>
        <v>NPP</v>
      </c>
      <c r="AE768" s="196" t="str">
        <f t="shared" si="208"/>
        <v>NPP323708</v>
      </c>
      <c r="AF768" s="196">
        <f t="shared" si="209"/>
        <v>0</v>
      </c>
    </row>
    <row r="769" spans="1:32" ht="12.95" hidden="1" customHeight="1">
      <c r="A769" s="197">
        <v>63440</v>
      </c>
      <c r="B769" s="198">
        <v>43581</v>
      </c>
      <c r="C769" s="197" t="s">
        <v>457</v>
      </c>
      <c r="D769" s="197" t="s">
        <v>700</v>
      </c>
      <c r="E769" s="197" t="s">
        <v>346</v>
      </c>
      <c r="F769" s="197" t="s">
        <v>441</v>
      </c>
      <c r="G769" s="199" t="s">
        <v>442</v>
      </c>
      <c r="H769" s="199" t="s">
        <v>296</v>
      </c>
      <c r="I769" s="199" t="s">
        <v>443</v>
      </c>
      <c r="J769" s="199" t="s">
        <v>350</v>
      </c>
      <c r="K769" s="197" t="s">
        <v>351</v>
      </c>
      <c r="L769" s="197" t="s">
        <v>365</v>
      </c>
      <c r="M769" s="200" t="s">
        <v>366</v>
      </c>
      <c r="N769" s="201">
        <v>4</v>
      </c>
      <c r="O769" s="202">
        <v>313636</v>
      </c>
      <c r="P769" s="203">
        <v>1254544</v>
      </c>
      <c r="Q769" s="203">
        <v>125454.39999999999</v>
      </c>
      <c r="R769" s="203">
        <v>1379998.4</v>
      </c>
      <c r="S769" s="199"/>
      <c r="T769" s="199" t="s">
        <v>310</v>
      </c>
      <c r="U769" s="197">
        <v>61165</v>
      </c>
      <c r="V769" s="197" t="s">
        <v>701</v>
      </c>
      <c r="W769" s="196" t="s">
        <v>356</v>
      </c>
      <c r="X769" s="196" t="str">
        <f>+IFERROR(VLOOKUP($F769,'[2]Chuyển đổi mã'!$A$1:$C$91,3,0),$F769)&amp;AC769</f>
        <v>Big C Central323709</v>
      </c>
      <c r="Y769" s="196" t="str">
        <f>IFERROR(VLOOKUP($F769,'[2]Chuyển đổi mã'!$A$1:$C$184,3,0),F769)</f>
        <v>Big C Central</v>
      </c>
      <c r="Z769" s="196" t="str">
        <f>VLOOKUP($G769,'[2]Thông tin NPP'!$B:$D,3,0)</f>
        <v>BIG C Central</v>
      </c>
      <c r="AA769" s="196" t="str">
        <f t="shared" si="205"/>
        <v>Nextar Bro</v>
      </c>
      <c r="AB769" s="196" t="str">
        <f>IFERROR(VLOOKUP(DAY(B769),'[2]Chuyển đổi mã'!$F$1:$G$32,2,0),0)</f>
        <v>W4</v>
      </c>
      <c r="AC769" s="196" t="str">
        <f t="shared" si="206"/>
        <v>323709</v>
      </c>
      <c r="AD769" s="196" t="str">
        <f t="shared" si="207"/>
        <v>NPP</v>
      </c>
      <c r="AE769" s="196" t="str">
        <f t="shared" si="208"/>
        <v>NPP323709</v>
      </c>
      <c r="AF769" s="196">
        <f t="shared" si="209"/>
        <v>0</v>
      </c>
    </row>
    <row r="770" spans="1:32" ht="12.95" customHeight="1">
      <c r="A770" s="197">
        <v>63515</v>
      </c>
      <c r="B770" s="198">
        <v>43582</v>
      </c>
      <c r="C770" s="197" t="s">
        <v>457</v>
      </c>
      <c r="D770" s="197" t="s">
        <v>702</v>
      </c>
      <c r="E770" s="197" t="s">
        <v>346</v>
      </c>
      <c r="F770" s="197" t="s">
        <v>438</v>
      </c>
      <c r="G770" s="199" t="s">
        <v>439</v>
      </c>
      <c r="H770" s="199" t="s">
        <v>296</v>
      </c>
      <c r="I770" s="199" t="s">
        <v>349</v>
      </c>
      <c r="J770" s="199" t="s">
        <v>350</v>
      </c>
      <c r="K770" s="197" t="s">
        <v>351</v>
      </c>
      <c r="L770" s="197" t="s">
        <v>352</v>
      </c>
      <c r="M770" s="200" t="s">
        <v>353</v>
      </c>
      <c r="N770" s="201">
        <v>10</v>
      </c>
      <c r="O770" s="202">
        <v>155455</v>
      </c>
      <c r="P770" s="203">
        <v>1554550</v>
      </c>
      <c r="Q770" s="203">
        <v>155455</v>
      </c>
      <c r="R770" s="203">
        <v>1710005</v>
      </c>
      <c r="S770" s="199"/>
      <c r="T770" s="199" t="s">
        <v>310</v>
      </c>
      <c r="U770" s="197">
        <v>61200</v>
      </c>
      <c r="V770" s="197"/>
      <c r="W770" s="196" t="s">
        <v>356</v>
      </c>
      <c r="X770" s="196" t="str">
        <f>+IFERROR(VLOOKUP($F770,'[2]Chuyển đổi mã'!$A$1:$C$91,3,0),$F770)&amp;AC770</f>
        <v>Big C South320463</v>
      </c>
      <c r="Y770" s="196" t="str">
        <f>IFERROR(VLOOKUP($F770,'[2]Chuyển đổi mã'!$A$1:$C$184,3,0),F770)</f>
        <v>Big C South</v>
      </c>
      <c r="Z770" s="196" t="str">
        <f>VLOOKUP($G770,'[2]Thông tin NPP'!$B:$D,3,0)</f>
        <v>Big C South</v>
      </c>
      <c r="AA770" s="196" t="str">
        <f t="shared" ref="AA770:AA777" si="210">LEFT($M770,10)</f>
        <v>Na 8,5g</v>
      </c>
      <c r="AB770" s="196" t="str">
        <f>IFERROR(VLOOKUP(DAY(B770),'[2]Chuyển đổi mã'!$F$1:$G$32,2,0),0)</f>
        <v>W4</v>
      </c>
      <c r="AC770" s="196" t="str">
        <f t="shared" ref="AC770:AC777" si="211">LEFT(L770,6)</f>
        <v>320463</v>
      </c>
      <c r="AD770" s="196" t="str">
        <f t="shared" ref="AD770:AD777" si="212">LEFT(F770,3)</f>
        <v>NPP</v>
      </c>
      <c r="AE770" s="196" t="str">
        <f t="shared" ref="AE770:AE777" si="213">AD770&amp;AC770</f>
        <v>NPP320463</v>
      </c>
      <c r="AF770" s="196">
        <f t="shared" ref="AF770:AF777" si="214">IF(RIGHT(L770,1)="P","P",0)</f>
        <v>0</v>
      </c>
    </row>
    <row r="771" spans="1:32" ht="12.95" customHeight="1">
      <c r="A771" s="197">
        <v>63515</v>
      </c>
      <c r="B771" s="198">
        <v>43582</v>
      </c>
      <c r="C771" s="197" t="s">
        <v>457</v>
      </c>
      <c r="D771" s="197" t="s">
        <v>702</v>
      </c>
      <c r="E771" s="197" t="s">
        <v>346</v>
      </c>
      <c r="F771" s="197" t="s">
        <v>438</v>
      </c>
      <c r="G771" s="199" t="s">
        <v>439</v>
      </c>
      <c r="H771" s="199" t="s">
        <v>296</v>
      </c>
      <c r="I771" s="199" t="s">
        <v>349</v>
      </c>
      <c r="J771" s="199" t="s">
        <v>350</v>
      </c>
      <c r="K771" s="197" t="s">
        <v>351</v>
      </c>
      <c r="L771" s="197" t="s">
        <v>387</v>
      </c>
      <c r="M771" s="200" t="s">
        <v>388</v>
      </c>
      <c r="N771" s="201">
        <v>2</v>
      </c>
      <c r="O771" s="202">
        <v>355455</v>
      </c>
      <c r="P771" s="203">
        <v>710910</v>
      </c>
      <c r="Q771" s="203">
        <v>71091</v>
      </c>
      <c r="R771" s="203">
        <v>782001</v>
      </c>
      <c r="S771" s="199"/>
      <c r="T771" s="199" t="s">
        <v>310</v>
      </c>
      <c r="U771" s="197">
        <v>61200</v>
      </c>
      <c r="V771" s="197"/>
      <c r="W771" s="196" t="s">
        <v>356</v>
      </c>
      <c r="X771" s="196" t="str">
        <f>+IFERROR(VLOOKUP($F771,'[2]Chuyển đổi mã'!$A$1:$C$91,3,0),$F771)&amp;AC771</f>
        <v>Big C South323620</v>
      </c>
      <c r="Y771" s="196" t="str">
        <f>IFERROR(VLOOKUP($F771,'[2]Chuyển đổi mã'!$A$1:$C$184,3,0),F771)</f>
        <v>Big C South</v>
      </c>
      <c r="Z771" s="196" t="str">
        <f>VLOOKUP($G771,'[2]Thông tin NPP'!$B:$D,3,0)</f>
        <v>Big C South</v>
      </c>
      <c r="AA771" s="196" t="str">
        <f t="shared" si="210"/>
        <v>Ahh 16g</v>
      </c>
      <c r="AB771" s="196" t="str">
        <f>IFERROR(VLOOKUP(DAY(B771),'[2]Chuyển đổi mã'!$F$1:$G$32,2,0),0)</f>
        <v>W4</v>
      </c>
      <c r="AC771" s="196" t="str">
        <f t="shared" si="211"/>
        <v>323620</v>
      </c>
      <c r="AD771" s="196" t="str">
        <f t="shared" si="212"/>
        <v>NPP</v>
      </c>
      <c r="AE771" s="196" t="str">
        <f t="shared" si="213"/>
        <v>NPP323620</v>
      </c>
      <c r="AF771" s="196">
        <f t="shared" si="214"/>
        <v>0</v>
      </c>
    </row>
    <row r="772" spans="1:32" ht="12.95" customHeight="1">
      <c r="A772" s="197">
        <v>63515</v>
      </c>
      <c r="B772" s="198">
        <v>43582</v>
      </c>
      <c r="C772" s="197" t="s">
        <v>457</v>
      </c>
      <c r="D772" s="197" t="s">
        <v>702</v>
      </c>
      <c r="E772" s="197" t="s">
        <v>346</v>
      </c>
      <c r="F772" s="197" t="s">
        <v>438</v>
      </c>
      <c r="G772" s="199" t="s">
        <v>439</v>
      </c>
      <c r="H772" s="199" t="s">
        <v>296</v>
      </c>
      <c r="I772" s="199" t="s">
        <v>349</v>
      </c>
      <c r="J772" s="199" t="s">
        <v>350</v>
      </c>
      <c r="K772" s="197" t="s">
        <v>351</v>
      </c>
      <c r="L772" s="197" t="s">
        <v>357</v>
      </c>
      <c r="M772" s="200" t="s">
        <v>358</v>
      </c>
      <c r="N772" s="201">
        <v>2</v>
      </c>
      <c r="O772" s="202">
        <v>213273</v>
      </c>
      <c r="P772" s="203">
        <v>426546</v>
      </c>
      <c r="Q772" s="203">
        <v>42654.6</v>
      </c>
      <c r="R772" s="203">
        <v>469200.6</v>
      </c>
      <c r="S772" s="199"/>
      <c r="T772" s="199" t="s">
        <v>310</v>
      </c>
      <c r="U772" s="197">
        <v>61200</v>
      </c>
      <c r="V772" s="197"/>
      <c r="W772" s="196" t="s">
        <v>356</v>
      </c>
      <c r="X772" s="196" t="str">
        <f>+IFERROR(VLOOKUP($F772,'[2]Chuyển đổi mã'!$A$1:$C$91,3,0),$F772)&amp;AC772</f>
        <v>Big C South323555</v>
      </c>
      <c r="Y772" s="196" t="str">
        <f>IFERROR(VLOOKUP($F772,'[2]Chuyển đổi mã'!$A$1:$C$184,3,0),F772)</f>
        <v>Big C South</v>
      </c>
      <c r="Z772" s="196" t="str">
        <f>VLOOKUP($G772,'[2]Thông tin NPP'!$B:$D,3,0)</f>
        <v>Big C South</v>
      </c>
      <c r="AA772" s="196" t="str">
        <f t="shared" si="210"/>
        <v>Na 17g - M</v>
      </c>
      <c r="AB772" s="196" t="str">
        <f>IFERROR(VLOOKUP(DAY(B772),'[2]Chuyển đổi mã'!$F$1:$G$32,2,0),0)</f>
        <v>W4</v>
      </c>
      <c r="AC772" s="196" t="str">
        <f t="shared" si="211"/>
        <v>323555</v>
      </c>
      <c r="AD772" s="196" t="str">
        <f t="shared" si="212"/>
        <v>NPP</v>
      </c>
      <c r="AE772" s="196" t="str">
        <f t="shared" si="213"/>
        <v>NPP323555</v>
      </c>
      <c r="AF772" s="196">
        <f t="shared" si="214"/>
        <v>0</v>
      </c>
    </row>
    <row r="773" spans="1:32" ht="12.95" customHeight="1">
      <c r="A773" s="197">
        <v>63515</v>
      </c>
      <c r="B773" s="198">
        <v>43582</v>
      </c>
      <c r="C773" s="197" t="s">
        <v>457</v>
      </c>
      <c r="D773" s="197" t="s">
        <v>702</v>
      </c>
      <c r="E773" s="197" t="s">
        <v>346</v>
      </c>
      <c r="F773" s="197" t="s">
        <v>438</v>
      </c>
      <c r="G773" s="199" t="s">
        <v>439</v>
      </c>
      <c r="H773" s="199" t="s">
        <v>296</v>
      </c>
      <c r="I773" s="199" t="s">
        <v>349</v>
      </c>
      <c r="J773" s="199" t="s">
        <v>350</v>
      </c>
      <c r="K773" s="197" t="s">
        <v>351</v>
      </c>
      <c r="L773" s="197" t="s">
        <v>359</v>
      </c>
      <c r="M773" s="200" t="s">
        <v>360</v>
      </c>
      <c r="N773" s="201">
        <v>3</v>
      </c>
      <c r="O773" s="202">
        <v>313636</v>
      </c>
      <c r="P773" s="203">
        <v>940908</v>
      </c>
      <c r="Q773" s="203">
        <v>94090.8</v>
      </c>
      <c r="R773" s="203">
        <v>1034998.8</v>
      </c>
      <c r="S773" s="199"/>
      <c r="T773" s="199" t="s">
        <v>310</v>
      </c>
      <c r="U773" s="197">
        <v>61200</v>
      </c>
      <c r="V773" s="197"/>
      <c r="W773" s="196" t="s">
        <v>356</v>
      </c>
      <c r="X773" s="196" t="str">
        <f>+IFERROR(VLOOKUP($F773,'[2]Chuyển đổi mã'!$A$1:$C$91,3,0),$F773)&amp;AC773</f>
        <v>Big C South320445</v>
      </c>
      <c r="Y773" s="196" t="str">
        <f>IFERROR(VLOOKUP($F773,'[2]Chuyển đổi mã'!$A$1:$C$184,3,0),F773)</f>
        <v>Big C South</v>
      </c>
      <c r="Z773" s="196" t="str">
        <f>VLOOKUP($G773,'[2]Thông tin NPP'!$B:$D,3,0)</f>
        <v>Big C South</v>
      </c>
      <c r="AA773" s="196" t="str">
        <f t="shared" si="210"/>
        <v>Na 58g</v>
      </c>
      <c r="AB773" s="196" t="str">
        <f>IFERROR(VLOOKUP(DAY(B773),'[2]Chuyển đổi mã'!$F$1:$G$32,2,0),0)</f>
        <v>W4</v>
      </c>
      <c r="AC773" s="196" t="str">
        <f t="shared" si="211"/>
        <v>320445</v>
      </c>
      <c r="AD773" s="196" t="str">
        <f t="shared" si="212"/>
        <v>NPP</v>
      </c>
      <c r="AE773" s="196" t="str">
        <f t="shared" si="213"/>
        <v>NPP320445</v>
      </c>
      <c r="AF773" s="196">
        <f t="shared" si="214"/>
        <v>0</v>
      </c>
    </row>
    <row r="774" spans="1:32" ht="12.95" customHeight="1">
      <c r="A774" s="197">
        <v>63515</v>
      </c>
      <c r="B774" s="198">
        <v>43582</v>
      </c>
      <c r="C774" s="197" t="s">
        <v>457</v>
      </c>
      <c r="D774" s="197" t="s">
        <v>702</v>
      </c>
      <c r="E774" s="197" t="s">
        <v>346</v>
      </c>
      <c r="F774" s="197" t="s">
        <v>438</v>
      </c>
      <c r="G774" s="199" t="s">
        <v>439</v>
      </c>
      <c r="H774" s="199" t="s">
        <v>296</v>
      </c>
      <c r="I774" s="199" t="s">
        <v>349</v>
      </c>
      <c r="J774" s="199" t="s">
        <v>350</v>
      </c>
      <c r="K774" s="197" t="s">
        <v>351</v>
      </c>
      <c r="L774" s="197" t="s">
        <v>361</v>
      </c>
      <c r="M774" s="200" t="s">
        <v>362</v>
      </c>
      <c r="N774" s="201">
        <v>3</v>
      </c>
      <c r="O774" s="202">
        <v>313636</v>
      </c>
      <c r="P774" s="203">
        <v>940908</v>
      </c>
      <c r="Q774" s="203">
        <v>94090.8</v>
      </c>
      <c r="R774" s="203">
        <v>1034998.8</v>
      </c>
      <c r="S774" s="199"/>
      <c r="T774" s="199" t="s">
        <v>310</v>
      </c>
      <c r="U774" s="197">
        <v>61200</v>
      </c>
      <c r="V774" s="197"/>
      <c r="W774" s="196" t="s">
        <v>356</v>
      </c>
      <c r="X774" s="196" t="str">
        <f>+IFERROR(VLOOKUP($F774,'[2]Chuyển đổi mã'!$A$1:$C$91,3,0),$F774)&amp;AC774</f>
        <v>Big C South331017</v>
      </c>
      <c r="Y774" s="196" t="str">
        <f>IFERROR(VLOOKUP($F774,'[2]Chuyển đổi mã'!$A$1:$C$184,3,0),F774)</f>
        <v>Big C South</v>
      </c>
      <c r="Z774" s="196" t="str">
        <f>VLOOKUP($G774,'[2]Thông tin NPP'!$B:$D,3,0)</f>
        <v>Big C South</v>
      </c>
      <c r="AA774" s="196" t="str">
        <f t="shared" si="210"/>
        <v>Richoco Wf</v>
      </c>
      <c r="AB774" s="196" t="str">
        <f>IFERROR(VLOOKUP(DAY(B774),'[2]Chuyển đổi mã'!$F$1:$G$32,2,0),0)</f>
        <v>W4</v>
      </c>
      <c r="AC774" s="196" t="str">
        <f t="shared" si="211"/>
        <v>331017</v>
      </c>
      <c r="AD774" s="196" t="str">
        <f t="shared" si="212"/>
        <v>NPP</v>
      </c>
      <c r="AE774" s="196" t="str">
        <f t="shared" si="213"/>
        <v>NPP331017</v>
      </c>
      <c r="AF774" s="196">
        <f t="shared" si="214"/>
        <v>0</v>
      </c>
    </row>
    <row r="775" spans="1:32" ht="12.95" hidden="1" customHeight="1">
      <c r="A775" s="197">
        <v>63516</v>
      </c>
      <c r="B775" s="198">
        <v>43582</v>
      </c>
      <c r="C775" s="197" t="s">
        <v>457</v>
      </c>
      <c r="D775" s="197" t="s">
        <v>703</v>
      </c>
      <c r="E775" s="197" t="s">
        <v>346</v>
      </c>
      <c r="F775" s="197" t="s">
        <v>389</v>
      </c>
      <c r="G775" s="199" t="s">
        <v>390</v>
      </c>
      <c r="H775" s="199" t="s">
        <v>296</v>
      </c>
      <c r="I775" s="199" t="s">
        <v>391</v>
      </c>
      <c r="J775" s="199" t="s">
        <v>350</v>
      </c>
      <c r="K775" s="197" t="s">
        <v>351</v>
      </c>
      <c r="L775" s="197" t="s">
        <v>357</v>
      </c>
      <c r="M775" s="200" t="s">
        <v>358</v>
      </c>
      <c r="N775" s="201">
        <v>800</v>
      </c>
      <c r="O775" s="202">
        <v>157794</v>
      </c>
      <c r="P775" s="203">
        <v>126235200</v>
      </c>
      <c r="Q775" s="203">
        <v>12623520</v>
      </c>
      <c r="R775" s="203">
        <v>138858720</v>
      </c>
      <c r="S775" s="199" t="s">
        <v>643</v>
      </c>
      <c r="T775" s="199" t="s">
        <v>644</v>
      </c>
      <c r="U775" s="197">
        <v>61166</v>
      </c>
      <c r="V775" s="197"/>
      <c r="W775" s="196" t="s">
        <v>356</v>
      </c>
      <c r="X775" s="196" t="str">
        <f>+IFERROR(VLOOKUP($F775,'[2]Chuyển đổi mã'!$A$1:$C$91,3,0),$F775)&amp;AC775</f>
        <v>NPP00000468323555</v>
      </c>
      <c r="Y775" s="196" t="str">
        <f>IFERROR(VLOOKUP($F775,'[2]Chuyển đổi mã'!$A$1:$C$184,3,0),F775)</f>
        <v>NPP00000468</v>
      </c>
      <c r="Z775" s="196" t="e">
        <f>VLOOKUP($G775,'[2]Thông tin NPP'!$B:$D,3,0)</f>
        <v>#N/A</v>
      </c>
      <c r="AA775" s="196" t="str">
        <f t="shared" si="210"/>
        <v>Na 17g - M</v>
      </c>
      <c r="AB775" s="196" t="str">
        <f>IFERROR(VLOOKUP(DAY(B775),'[2]Chuyển đổi mã'!$F$1:$G$32,2,0),0)</f>
        <v>W4</v>
      </c>
      <c r="AC775" s="196" t="str">
        <f t="shared" si="211"/>
        <v>323555</v>
      </c>
      <c r="AD775" s="196" t="str">
        <f t="shared" si="212"/>
        <v>NPP</v>
      </c>
      <c r="AE775" s="196" t="str">
        <f t="shared" si="213"/>
        <v>NPP323555</v>
      </c>
      <c r="AF775" s="196">
        <f t="shared" si="214"/>
        <v>0</v>
      </c>
    </row>
    <row r="776" spans="1:32" ht="12.95" hidden="1" customHeight="1">
      <c r="A776" s="197">
        <v>63518</v>
      </c>
      <c r="B776" s="198">
        <v>43582</v>
      </c>
      <c r="C776" s="197" t="s">
        <v>457</v>
      </c>
      <c r="D776" s="197" t="s">
        <v>704</v>
      </c>
      <c r="E776" s="197" t="s">
        <v>346</v>
      </c>
      <c r="F776" s="197" t="s">
        <v>389</v>
      </c>
      <c r="G776" s="199" t="s">
        <v>390</v>
      </c>
      <c r="H776" s="199" t="s">
        <v>296</v>
      </c>
      <c r="I776" s="199" t="s">
        <v>391</v>
      </c>
      <c r="J776" s="199" t="s">
        <v>350</v>
      </c>
      <c r="K776" s="197" t="s">
        <v>351</v>
      </c>
      <c r="L776" s="197" t="s">
        <v>357</v>
      </c>
      <c r="M776" s="200" t="s">
        <v>358</v>
      </c>
      <c r="N776" s="201">
        <v>500</v>
      </c>
      <c r="O776" s="202">
        <v>185640</v>
      </c>
      <c r="P776" s="203">
        <v>92820000</v>
      </c>
      <c r="Q776" s="203">
        <v>9282000</v>
      </c>
      <c r="R776" s="203">
        <v>102102000</v>
      </c>
      <c r="S776" s="199"/>
      <c r="T776" s="199" t="s">
        <v>310</v>
      </c>
      <c r="U776" s="197">
        <v>61167</v>
      </c>
      <c r="V776" s="197"/>
      <c r="W776" s="196" t="s">
        <v>356</v>
      </c>
      <c r="X776" s="196" t="str">
        <f>+IFERROR(VLOOKUP($F776,'[2]Chuyển đổi mã'!$A$1:$C$91,3,0),$F776)&amp;AC776</f>
        <v>NPP00000468323555</v>
      </c>
      <c r="Y776" s="196" t="str">
        <f>IFERROR(VLOOKUP($F776,'[2]Chuyển đổi mã'!$A$1:$C$184,3,0),F776)</f>
        <v>NPP00000468</v>
      </c>
      <c r="Z776" s="196" t="e">
        <f>VLOOKUP($G776,'[2]Thông tin NPP'!$B:$D,3,0)</f>
        <v>#N/A</v>
      </c>
      <c r="AA776" s="196" t="str">
        <f t="shared" si="210"/>
        <v>Na 17g - M</v>
      </c>
      <c r="AB776" s="196" t="str">
        <f>IFERROR(VLOOKUP(DAY(B776),'[2]Chuyển đổi mã'!$F$1:$G$32,2,0),0)</f>
        <v>W4</v>
      </c>
      <c r="AC776" s="196" t="str">
        <f t="shared" si="211"/>
        <v>323555</v>
      </c>
      <c r="AD776" s="196" t="str">
        <f t="shared" si="212"/>
        <v>NPP</v>
      </c>
      <c r="AE776" s="196" t="str">
        <f t="shared" si="213"/>
        <v>NPP323555</v>
      </c>
      <c r="AF776" s="196">
        <f t="shared" si="214"/>
        <v>0</v>
      </c>
    </row>
    <row r="777" spans="1:32" ht="12.95" hidden="1" customHeight="1">
      <c r="A777" s="197">
        <v>63518</v>
      </c>
      <c r="B777" s="198">
        <v>43582</v>
      </c>
      <c r="C777" s="197" t="s">
        <v>457</v>
      </c>
      <c r="D777" s="197" t="s">
        <v>704</v>
      </c>
      <c r="E777" s="197" t="s">
        <v>346</v>
      </c>
      <c r="F777" s="197" t="s">
        <v>389</v>
      </c>
      <c r="G777" s="199" t="s">
        <v>390</v>
      </c>
      <c r="H777" s="199" t="s">
        <v>296</v>
      </c>
      <c r="I777" s="199" t="s">
        <v>391</v>
      </c>
      <c r="J777" s="199" t="s">
        <v>350</v>
      </c>
      <c r="K777" s="197" t="s">
        <v>351</v>
      </c>
      <c r="L777" s="197" t="s">
        <v>361</v>
      </c>
      <c r="M777" s="200" t="s">
        <v>362</v>
      </c>
      <c r="N777" s="201">
        <v>200</v>
      </c>
      <c r="O777" s="202">
        <v>273000</v>
      </c>
      <c r="P777" s="203">
        <v>54600000</v>
      </c>
      <c r="Q777" s="203">
        <v>5460000</v>
      </c>
      <c r="R777" s="203">
        <v>60060000</v>
      </c>
      <c r="S777" s="199"/>
      <c r="T777" s="199" t="s">
        <v>310</v>
      </c>
      <c r="U777" s="197">
        <v>61167</v>
      </c>
      <c r="V777" s="197"/>
      <c r="W777" s="196" t="s">
        <v>356</v>
      </c>
      <c r="X777" s="196" t="str">
        <f>+IFERROR(VLOOKUP($F777,'[2]Chuyển đổi mã'!$A$1:$C$91,3,0),$F777)&amp;AC777</f>
        <v>NPP00000468331017</v>
      </c>
      <c r="Y777" s="196" t="str">
        <f>IFERROR(VLOOKUP($F777,'[2]Chuyển đổi mã'!$A$1:$C$184,3,0),F777)</f>
        <v>NPP00000468</v>
      </c>
      <c r="Z777" s="196" t="e">
        <f>VLOOKUP($G777,'[2]Thông tin NPP'!$B:$D,3,0)</f>
        <v>#N/A</v>
      </c>
      <c r="AA777" s="196" t="str">
        <f t="shared" si="210"/>
        <v>Richoco Wf</v>
      </c>
      <c r="AB777" s="196" t="str">
        <f>IFERROR(VLOOKUP(DAY(B777),'[2]Chuyển đổi mã'!$F$1:$G$32,2,0),0)</f>
        <v>W4</v>
      </c>
      <c r="AC777" s="196" t="str">
        <f t="shared" si="211"/>
        <v>331017</v>
      </c>
      <c r="AD777" s="196" t="str">
        <f t="shared" si="212"/>
        <v>NPP</v>
      </c>
      <c r="AE777" s="196" t="str">
        <f t="shared" si="213"/>
        <v>NPP331017</v>
      </c>
      <c r="AF777" s="196">
        <f t="shared" si="214"/>
        <v>0</v>
      </c>
    </row>
    <row r="778" spans="1:32" ht="12.95" customHeight="1">
      <c r="A778" s="197">
        <v>63549</v>
      </c>
      <c r="B778" s="198">
        <v>43584</v>
      </c>
      <c r="C778" s="197" t="s">
        <v>457</v>
      </c>
      <c r="D778" s="197" t="s">
        <v>705</v>
      </c>
      <c r="E778" s="197" t="s">
        <v>346</v>
      </c>
      <c r="F778" s="197" t="s">
        <v>487</v>
      </c>
      <c r="G778" s="199" t="s">
        <v>488</v>
      </c>
      <c r="H778" s="199" t="s">
        <v>296</v>
      </c>
      <c r="I778" s="199" t="s">
        <v>349</v>
      </c>
      <c r="J778" s="199" t="s">
        <v>350</v>
      </c>
      <c r="K778" s="197" t="s">
        <v>351</v>
      </c>
      <c r="L778" s="197" t="s">
        <v>357</v>
      </c>
      <c r="M778" s="200" t="s">
        <v>358</v>
      </c>
      <c r="N778" s="201">
        <v>1000</v>
      </c>
      <c r="O778" s="202">
        <v>173400</v>
      </c>
      <c r="P778" s="203">
        <v>173400000</v>
      </c>
      <c r="Q778" s="203">
        <v>17340000</v>
      </c>
      <c r="R778" s="203">
        <v>190740000</v>
      </c>
      <c r="S778" s="199" t="s">
        <v>490</v>
      </c>
      <c r="T778" s="199" t="s">
        <v>491</v>
      </c>
      <c r="U778" s="197">
        <v>61283</v>
      </c>
      <c r="V778" s="197"/>
      <c r="W778" s="196" t="s">
        <v>356</v>
      </c>
      <c r="X778" s="196" t="str">
        <f>+IFERROR(VLOOKUP($F778,'[2]Chuyển đổi mã'!$A$1:$C$91,3,0),$F778)&amp;AC778</f>
        <v>SG Coop323555</v>
      </c>
      <c r="Y778" s="196" t="str">
        <f>+IFERROR(VLOOKUP($F778,'[2]Chuyển đổi mã'!$A$1:$C$184,3,0),F778)</f>
        <v>SG Coop</v>
      </c>
      <c r="Z778" s="196" t="str">
        <f>VLOOKUP($G778,'[2]Thông tin NPP'!$B:$D,3,0)</f>
        <v>SÀI GÒN CO.OP</v>
      </c>
      <c r="AA778" s="196" t="str">
        <f t="shared" ref="AA778:AA784" si="215">+LEFT($M778,10)</f>
        <v>Na 17g - M</v>
      </c>
      <c r="AB778" s="196" t="str">
        <f>+IFERROR(VLOOKUP(DAY(B778),'[2]Chuyển đổi mã'!$F$1:$G$32,2,0),0)</f>
        <v>W5</v>
      </c>
      <c r="AC778" s="196" t="str">
        <f t="shared" ref="AC778:AC784" si="216">+LEFT(L778,6)</f>
        <v>323555</v>
      </c>
      <c r="AD778" s="196" t="str">
        <f t="shared" ref="AD778" si="217">LEFT(F778,3)</f>
        <v>NPP</v>
      </c>
      <c r="AE778" s="196" t="str">
        <f t="shared" ref="AE778" si="218">AD778&amp;AC778</f>
        <v>NPP323555</v>
      </c>
      <c r="AF778" s="196">
        <f t="shared" ref="AF778" si="219">IF(RIGHT(L778,1)="P","P",0)</f>
        <v>0</v>
      </c>
    </row>
    <row r="779" spans="1:32" ht="12.95" customHeight="1">
      <c r="A779" s="197">
        <v>63550</v>
      </c>
      <c r="B779" s="198">
        <v>43584</v>
      </c>
      <c r="C779" s="197" t="s">
        <v>457</v>
      </c>
      <c r="D779" s="197" t="s">
        <v>706</v>
      </c>
      <c r="E779" s="197" t="s">
        <v>346</v>
      </c>
      <c r="F779" s="197" t="s">
        <v>493</v>
      </c>
      <c r="G779" s="199" t="s">
        <v>494</v>
      </c>
      <c r="H779" s="199" t="s">
        <v>296</v>
      </c>
      <c r="I779" s="199" t="s">
        <v>349</v>
      </c>
      <c r="J779" s="199" t="s">
        <v>350</v>
      </c>
      <c r="K779" s="197" t="s">
        <v>351</v>
      </c>
      <c r="L779" s="197" t="s">
        <v>378</v>
      </c>
      <c r="M779" s="200" t="s">
        <v>379</v>
      </c>
      <c r="N779" s="201">
        <v>30</v>
      </c>
      <c r="O779" s="202">
        <v>204000</v>
      </c>
      <c r="P779" s="203">
        <v>6120000</v>
      </c>
      <c r="Q779" s="203">
        <v>612000</v>
      </c>
      <c r="R779" s="203">
        <v>6732000</v>
      </c>
      <c r="S779" s="199"/>
      <c r="T779" s="199" t="s">
        <v>310</v>
      </c>
      <c r="U779" s="197">
        <v>61284</v>
      </c>
      <c r="V779" s="197"/>
      <c r="W779" s="196" t="s">
        <v>356</v>
      </c>
      <c r="X779" s="196" t="str">
        <f>+IFERROR(VLOOKUP($F779,'[2]Chuyển đổi mã'!$A$1:$C$91,3,0),$F779)&amp;AC779</f>
        <v>SG Coop Miền Tây321238</v>
      </c>
      <c r="Y779" s="196" t="str">
        <f>+IFERROR(VLOOKUP($F779,'[2]Chuyển đổi mã'!$A$1:$C$184,3,0),F779)</f>
        <v>SG Coop Miền Tây</v>
      </c>
      <c r="Z779" s="196" t="str">
        <f>VLOOKUP($G779,'[2]Thông tin NPP'!$B:$D,3,0)</f>
        <v>SÀI GÒN CO.OP</v>
      </c>
      <c r="AA779" s="196" t="str">
        <f t="shared" si="215"/>
        <v>Richoco Wf</v>
      </c>
      <c r="AB779" s="196" t="str">
        <f>+IFERROR(VLOOKUP(DAY(B779),'[2]Chuyển đổi mã'!$F$1:$G$32,2,0),0)</f>
        <v>W5</v>
      </c>
      <c r="AC779" s="196" t="str">
        <f t="shared" si="216"/>
        <v>321238</v>
      </c>
      <c r="AD779" s="196" t="str">
        <f t="shared" ref="AD779:AD787" si="220">LEFT(F779,3)</f>
        <v>NPP</v>
      </c>
      <c r="AE779" s="196" t="str">
        <f t="shared" ref="AE779:AE787" si="221">AD779&amp;AC779</f>
        <v>NPP321238</v>
      </c>
      <c r="AF779" s="196">
        <f t="shared" ref="AF779:AF787" si="222">IF(RIGHT(L779,1)="P","P",0)</f>
        <v>0</v>
      </c>
    </row>
    <row r="780" spans="1:32" ht="12.95" customHeight="1">
      <c r="A780" s="197">
        <v>63552</v>
      </c>
      <c r="B780" s="198">
        <v>43584</v>
      </c>
      <c r="C780" s="197" t="s">
        <v>457</v>
      </c>
      <c r="D780" s="197" t="s">
        <v>707</v>
      </c>
      <c r="E780" s="197" t="s">
        <v>346</v>
      </c>
      <c r="F780" s="197" t="s">
        <v>487</v>
      </c>
      <c r="G780" s="199" t="s">
        <v>488</v>
      </c>
      <c r="H780" s="199" t="s">
        <v>296</v>
      </c>
      <c r="I780" s="199" t="s">
        <v>349</v>
      </c>
      <c r="J780" s="199" t="s">
        <v>350</v>
      </c>
      <c r="K780" s="197" t="s">
        <v>351</v>
      </c>
      <c r="L780" s="197" t="s">
        <v>387</v>
      </c>
      <c r="M780" s="200" t="s">
        <v>388</v>
      </c>
      <c r="N780" s="201">
        <v>100</v>
      </c>
      <c r="O780" s="202">
        <v>340000</v>
      </c>
      <c r="P780" s="203">
        <v>34000000</v>
      </c>
      <c r="Q780" s="203">
        <v>3400000</v>
      </c>
      <c r="R780" s="203">
        <v>37400000</v>
      </c>
      <c r="S780" s="199"/>
      <c r="T780" s="199" t="s">
        <v>310</v>
      </c>
      <c r="U780" s="197">
        <v>61282</v>
      </c>
      <c r="V780" s="197"/>
      <c r="W780" s="196" t="s">
        <v>356</v>
      </c>
      <c r="X780" s="196" t="str">
        <f>+IFERROR(VLOOKUP($F780,'[2]Chuyển đổi mã'!$A$1:$C$91,3,0),$F780)&amp;AC780</f>
        <v>SG Coop323620</v>
      </c>
      <c r="Y780" s="196" t="str">
        <f>+IFERROR(VLOOKUP($F780,'[2]Chuyển đổi mã'!$A$1:$C$184,3,0),F780)</f>
        <v>SG Coop</v>
      </c>
      <c r="Z780" s="196" t="str">
        <f>VLOOKUP($G780,'[2]Thông tin NPP'!$B:$D,3,0)</f>
        <v>SÀI GÒN CO.OP</v>
      </c>
      <c r="AA780" s="196" t="str">
        <f t="shared" si="215"/>
        <v>Ahh 16g</v>
      </c>
      <c r="AB780" s="196" t="str">
        <f>+IFERROR(VLOOKUP(DAY(B780),'[2]Chuyển đổi mã'!$F$1:$G$32,2,0),0)</f>
        <v>W5</v>
      </c>
      <c r="AC780" s="196" t="str">
        <f t="shared" si="216"/>
        <v>323620</v>
      </c>
      <c r="AD780" s="196" t="str">
        <f t="shared" si="220"/>
        <v>NPP</v>
      </c>
      <c r="AE780" s="196" t="str">
        <f t="shared" si="221"/>
        <v>NPP323620</v>
      </c>
      <c r="AF780" s="196">
        <f t="shared" si="222"/>
        <v>0</v>
      </c>
    </row>
    <row r="781" spans="1:32" ht="12.95" customHeight="1">
      <c r="A781" s="197">
        <v>63552</v>
      </c>
      <c r="B781" s="198">
        <v>43584</v>
      </c>
      <c r="C781" s="197" t="s">
        <v>457</v>
      </c>
      <c r="D781" s="197" t="s">
        <v>707</v>
      </c>
      <c r="E781" s="197" t="s">
        <v>346</v>
      </c>
      <c r="F781" s="197" t="s">
        <v>487</v>
      </c>
      <c r="G781" s="199" t="s">
        <v>488</v>
      </c>
      <c r="H781" s="199" t="s">
        <v>296</v>
      </c>
      <c r="I781" s="199" t="s">
        <v>349</v>
      </c>
      <c r="J781" s="199" t="s">
        <v>350</v>
      </c>
      <c r="K781" s="197" t="s">
        <v>351</v>
      </c>
      <c r="L781" s="197" t="s">
        <v>378</v>
      </c>
      <c r="M781" s="200" t="s">
        <v>379</v>
      </c>
      <c r="N781" s="201">
        <v>120</v>
      </c>
      <c r="O781" s="202">
        <v>204000</v>
      </c>
      <c r="P781" s="203">
        <v>24480000</v>
      </c>
      <c r="Q781" s="203">
        <v>2448000</v>
      </c>
      <c r="R781" s="203">
        <v>26928000</v>
      </c>
      <c r="S781" s="199"/>
      <c r="T781" s="199" t="s">
        <v>310</v>
      </c>
      <c r="U781" s="197">
        <v>61282</v>
      </c>
      <c r="V781" s="197"/>
      <c r="W781" s="196" t="s">
        <v>356</v>
      </c>
      <c r="X781" s="196" t="str">
        <f>+IFERROR(VLOOKUP($F781,'[2]Chuyển đổi mã'!$A$1:$C$91,3,0),$F781)&amp;AC781</f>
        <v>SG Coop321238</v>
      </c>
      <c r="Y781" s="196" t="str">
        <f>+IFERROR(VLOOKUP($F781,'[2]Chuyển đổi mã'!$A$1:$C$184,3,0),F781)</f>
        <v>SG Coop</v>
      </c>
      <c r="Z781" s="196" t="str">
        <f>VLOOKUP($G781,'[2]Thông tin NPP'!$B:$D,3,0)</f>
        <v>SÀI GÒN CO.OP</v>
      </c>
      <c r="AA781" s="196" t="str">
        <f t="shared" si="215"/>
        <v>Richoco Wf</v>
      </c>
      <c r="AB781" s="196" t="str">
        <f>+IFERROR(VLOOKUP(DAY(B781),'[2]Chuyển đổi mã'!$F$1:$G$32,2,0),0)</f>
        <v>W5</v>
      </c>
      <c r="AC781" s="196" t="str">
        <f t="shared" si="216"/>
        <v>321238</v>
      </c>
      <c r="AD781" s="196" t="str">
        <f t="shared" si="220"/>
        <v>NPP</v>
      </c>
      <c r="AE781" s="196" t="str">
        <f t="shared" si="221"/>
        <v>NPP321238</v>
      </c>
      <c r="AF781" s="196">
        <f t="shared" si="222"/>
        <v>0</v>
      </c>
    </row>
    <row r="782" spans="1:32" ht="12.95" customHeight="1">
      <c r="A782" s="197">
        <v>63552</v>
      </c>
      <c r="B782" s="198">
        <v>43584</v>
      </c>
      <c r="C782" s="197" t="s">
        <v>457</v>
      </c>
      <c r="D782" s="197" t="s">
        <v>707</v>
      </c>
      <c r="E782" s="197" t="s">
        <v>346</v>
      </c>
      <c r="F782" s="197" t="s">
        <v>487</v>
      </c>
      <c r="G782" s="199" t="s">
        <v>488</v>
      </c>
      <c r="H782" s="199" t="s">
        <v>296</v>
      </c>
      <c r="I782" s="199" t="s">
        <v>349</v>
      </c>
      <c r="J782" s="199" t="s">
        <v>350</v>
      </c>
      <c r="K782" s="197" t="s">
        <v>351</v>
      </c>
      <c r="L782" s="197" t="s">
        <v>357</v>
      </c>
      <c r="M782" s="200" t="s">
        <v>358</v>
      </c>
      <c r="N782" s="201">
        <v>470</v>
      </c>
      <c r="O782" s="202">
        <v>173400</v>
      </c>
      <c r="P782" s="203">
        <v>81498000</v>
      </c>
      <c r="Q782" s="203">
        <v>8149800</v>
      </c>
      <c r="R782" s="203">
        <v>89647800</v>
      </c>
      <c r="S782" s="199" t="s">
        <v>490</v>
      </c>
      <c r="T782" s="199" t="s">
        <v>491</v>
      </c>
      <c r="U782" s="197">
        <v>61282</v>
      </c>
      <c r="V782" s="197"/>
      <c r="W782" s="196" t="s">
        <v>356</v>
      </c>
      <c r="X782" s="196" t="str">
        <f>+IFERROR(VLOOKUP($F782,'[2]Chuyển đổi mã'!$A$1:$C$91,3,0),$F782)&amp;AC782</f>
        <v>SG Coop323555</v>
      </c>
      <c r="Y782" s="196" t="str">
        <f>+IFERROR(VLOOKUP($F782,'[2]Chuyển đổi mã'!$A$1:$C$184,3,0),F782)</f>
        <v>SG Coop</v>
      </c>
      <c r="Z782" s="196" t="str">
        <f>VLOOKUP($G782,'[2]Thông tin NPP'!$B:$D,3,0)</f>
        <v>SÀI GÒN CO.OP</v>
      </c>
      <c r="AA782" s="196" t="str">
        <f t="shared" si="215"/>
        <v>Na 17g - M</v>
      </c>
      <c r="AB782" s="196" t="str">
        <f>+IFERROR(VLOOKUP(DAY(B782),'[2]Chuyển đổi mã'!$F$1:$G$32,2,0),0)</f>
        <v>W5</v>
      </c>
      <c r="AC782" s="196" t="str">
        <f t="shared" si="216"/>
        <v>323555</v>
      </c>
      <c r="AD782" s="196" t="str">
        <f t="shared" si="220"/>
        <v>NPP</v>
      </c>
      <c r="AE782" s="196" t="str">
        <f t="shared" si="221"/>
        <v>NPP323555</v>
      </c>
      <c r="AF782" s="196">
        <f t="shared" si="222"/>
        <v>0</v>
      </c>
    </row>
    <row r="783" spans="1:32" ht="12.95" customHeight="1">
      <c r="A783" s="197">
        <v>63552</v>
      </c>
      <c r="B783" s="198">
        <v>43584</v>
      </c>
      <c r="C783" s="197" t="s">
        <v>457</v>
      </c>
      <c r="D783" s="197" t="s">
        <v>707</v>
      </c>
      <c r="E783" s="197" t="s">
        <v>346</v>
      </c>
      <c r="F783" s="197" t="s">
        <v>487</v>
      </c>
      <c r="G783" s="199" t="s">
        <v>488</v>
      </c>
      <c r="H783" s="199" t="s">
        <v>296</v>
      </c>
      <c r="I783" s="199" t="s">
        <v>349</v>
      </c>
      <c r="J783" s="199" t="s">
        <v>350</v>
      </c>
      <c r="K783" s="197" t="s">
        <v>351</v>
      </c>
      <c r="L783" s="197" t="s">
        <v>361</v>
      </c>
      <c r="M783" s="200" t="s">
        <v>362</v>
      </c>
      <c r="N783" s="201">
        <v>20</v>
      </c>
      <c r="O783" s="202">
        <v>300000</v>
      </c>
      <c r="P783" s="203">
        <v>6000000</v>
      </c>
      <c r="Q783" s="203">
        <v>600000</v>
      </c>
      <c r="R783" s="203">
        <v>6600000</v>
      </c>
      <c r="S783" s="199"/>
      <c r="T783" s="199" t="s">
        <v>310</v>
      </c>
      <c r="U783" s="197">
        <v>61282</v>
      </c>
      <c r="V783" s="197"/>
      <c r="W783" s="196" t="s">
        <v>356</v>
      </c>
      <c r="X783" s="196" t="str">
        <f>+IFERROR(VLOOKUP($F783,'[2]Chuyển đổi mã'!$A$1:$C$91,3,0),$F783)&amp;AC783</f>
        <v>SG Coop331017</v>
      </c>
      <c r="Y783" s="196" t="str">
        <f>+IFERROR(VLOOKUP($F783,'[2]Chuyển đổi mã'!$A$1:$C$184,3,0),F783)</f>
        <v>SG Coop</v>
      </c>
      <c r="Z783" s="196" t="str">
        <f>VLOOKUP($G783,'[2]Thông tin NPP'!$B:$D,3,0)</f>
        <v>SÀI GÒN CO.OP</v>
      </c>
      <c r="AA783" s="196" t="str">
        <f t="shared" si="215"/>
        <v>Richoco Wf</v>
      </c>
      <c r="AB783" s="196" t="str">
        <f>+IFERROR(VLOOKUP(DAY(B783),'[2]Chuyển đổi mã'!$F$1:$G$32,2,0),0)</f>
        <v>W5</v>
      </c>
      <c r="AC783" s="196" t="str">
        <f t="shared" si="216"/>
        <v>331017</v>
      </c>
      <c r="AD783" s="196" t="str">
        <f t="shared" si="220"/>
        <v>NPP</v>
      </c>
      <c r="AE783" s="196" t="str">
        <f t="shared" si="221"/>
        <v>NPP331017</v>
      </c>
      <c r="AF783" s="196">
        <f t="shared" si="222"/>
        <v>0</v>
      </c>
    </row>
    <row r="784" spans="1:32" ht="12.95" customHeight="1">
      <c r="A784" s="197">
        <v>63552</v>
      </c>
      <c r="B784" s="198">
        <v>43584</v>
      </c>
      <c r="C784" s="197" t="s">
        <v>457</v>
      </c>
      <c r="D784" s="197" t="s">
        <v>707</v>
      </c>
      <c r="E784" s="197" t="s">
        <v>346</v>
      </c>
      <c r="F784" s="197" t="s">
        <v>487</v>
      </c>
      <c r="G784" s="199" t="s">
        <v>488</v>
      </c>
      <c r="H784" s="199" t="s">
        <v>296</v>
      </c>
      <c r="I784" s="199" t="s">
        <v>349</v>
      </c>
      <c r="J784" s="199" t="s">
        <v>350</v>
      </c>
      <c r="K784" s="197" t="s">
        <v>351</v>
      </c>
      <c r="L784" s="197" t="s">
        <v>365</v>
      </c>
      <c r="M784" s="200" t="s">
        <v>366</v>
      </c>
      <c r="N784" s="201">
        <v>100</v>
      </c>
      <c r="O784" s="202">
        <v>300000</v>
      </c>
      <c r="P784" s="203">
        <v>30000000</v>
      </c>
      <c r="Q784" s="203">
        <v>3000000</v>
      </c>
      <c r="R784" s="203">
        <v>33000000</v>
      </c>
      <c r="S784" s="199"/>
      <c r="T784" s="199" t="s">
        <v>310</v>
      </c>
      <c r="U784" s="197">
        <v>61282</v>
      </c>
      <c r="V784" s="197"/>
      <c r="W784" s="196" t="s">
        <v>356</v>
      </c>
      <c r="X784" s="196" t="str">
        <f>+IFERROR(VLOOKUP($F784,'[2]Chuyển đổi mã'!$A$1:$C$91,3,0),$F784)&amp;AC784</f>
        <v>SG Coop323709</v>
      </c>
      <c r="Y784" s="196" t="str">
        <f>+IFERROR(VLOOKUP($F784,'[2]Chuyển đổi mã'!$A$1:$C$184,3,0),F784)</f>
        <v>SG Coop</v>
      </c>
      <c r="Z784" s="196" t="str">
        <f>VLOOKUP($G784,'[2]Thông tin NPP'!$B:$D,3,0)</f>
        <v>SÀI GÒN CO.OP</v>
      </c>
      <c r="AA784" s="196" t="str">
        <f t="shared" si="215"/>
        <v>Nextar Bro</v>
      </c>
      <c r="AB784" s="196" t="str">
        <f>+IFERROR(VLOOKUP(DAY(B784),'[2]Chuyển đổi mã'!$F$1:$G$32,2,0),0)</f>
        <v>W5</v>
      </c>
      <c r="AC784" s="196" t="str">
        <f t="shared" si="216"/>
        <v>323709</v>
      </c>
      <c r="AD784" s="196" t="str">
        <f t="shared" si="220"/>
        <v>NPP</v>
      </c>
      <c r="AE784" s="196" t="str">
        <f t="shared" si="221"/>
        <v>NPP323709</v>
      </c>
      <c r="AF784" s="196">
        <f t="shared" si="222"/>
        <v>0</v>
      </c>
    </row>
    <row r="785" spans="1:32" ht="12.95" hidden="1" customHeight="1">
      <c r="A785" s="197">
        <v>63572</v>
      </c>
      <c r="B785" s="198">
        <v>43584</v>
      </c>
      <c r="C785" s="197" t="s">
        <v>457</v>
      </c>
      <c r="D785" s="197" t="s">
        <v>708</v>
      </c>
      <c r="E785" s="197" t="s">
        <v>346</v>
      </c>
      <c r="F785" s="197" t="s">
        <v>389</v>
      </c>
      <c r="G785" s="199" t="s">
        <v>390</v>
      </c>
      <c r="H785" s="199" t="s">
        <v>296</v>
      </c>
      <c r="I785" s="199" t="s">
        <v>391</v>
      </c>
      <c r="J785" s="199" t="s">
        <v>350</v>
      </c>
      <c r="K785" s="197" t="s">
        <v>351</v>
      </c>
      <c r="L785" s="197" t="s">
        <v>352</v>
      </c>
      <c r="M785" s="200" t="s">
        <v>353</v>
      </c>
      <c r="N785" s="201">
        <v>1000</v>
      </c>
      <c r="O785" s="202">
        <v>107016.14</v>
      </c>
      <c r="P785" s="203">
        <v>107016140</v>
      </c>
      <c r="Q785" s="203">
        <v>10701614</v>
      </c>
      <c r="R785" s="203">
        <v>117717754</v>
      </c>
      <c r="S785" s="199" t="s">
        <v>709</v>
      </c>
      <c r="T785" s="199" t="s">
        <v>710</v>
      </c>
      <c r="U785" s="197">
        <v>61297</v>
      </c>
      <c r="V785" s="197"/>
      <c r="W785" s="196" t="s">
        <v>356</v>
      </c>
      <c r="X785" s="196" t="str">
        <f>+IFERROR(VLOOKUP($F785,'[2]Chuyển đổi mã'!$A$1:$C$91,3,0),$F785)&amp;AC785</f>
        <v>NPP00000468320463</v>
      </c>
      <c r="Y785" s="196" t="str">
        <f>+IFERROR(VLOOKUP($F785,'[2]Chuyển đổi mã'!$A$1:$C$184,3,0),F785)</f>
        <v>NPP00000468</v>
      </c>
      <c r="Z785" s="196" t="e">
        <f>VLOOKUP($G785,'[2]Thông tin NPP'!$B:$D,3,0)</f>
        <v>#N/A</v>
      </c>
      <c r="AA785" s="196" t="str">
        <f t="shared" ref="AA785:AA808" si="223">+LEFT($M785,10)</f>
        <v>Na 8,5g</v>
      </c>
      <c r="AB785" s="196" t="str">
        <f>+IFERROR(VLOOKUP(DAY(B785),'[2]Chuyển đổi mã'!$F$1:$G$32,2,0),0)</f>
        <v>W5</v>
      </c>
      <c r="AC785" s="196" t="str">
        <f t="shared" ref="AC785:AC808" si="224">+LEFT(L785,6)</f>
        <v>320463</v>
      </c>
      <c r="AD785" s="196" t="str">
        <f t="shared" si="220"/>
        <v>NPP</v>
      </c>
      <c r="AE785" s="196" t="str">
        <f t="shared" si="221"/>
        <v>NPP320463</v>
      </c>
      <c r="AF785" s="196">
        <f t="shared" si="222"/>
        <v>0</v>
      </c>
    </row>
    <row r="786" spans="1:32" ht="12.95" hidden="1" customHeight="1">
      <c r="A786" s="197">
        <v>63572</v>
      </c>
      <c r="B786" s="198">
        <v>43584</v>
      </c>
      <c r="C786" s="197" t="s">
        <v>457</v>
      </c>
      <c r="D786" s="197" t="s">
        <v>708</v>
      </c>
      <c r="E786" s="197" t="s">
        <v>346</v>
      </c>
      <c r="F786" s="197" t="s">
        <v>389</v>
      </c>
      <c r="G786" s="199" t="s">
        <v>390</v>
      </c>
      <c r="H786" s="199" t="s">
        <v>296</v>
      </c>
      <c r="I786" s="199" t="s">
        <v>391</v>
      </c>
      <c r="J786" s="199" t="s">
        <v>350</v>
      </c>
      <c r="K786" s="197" t="s">
        <v>351</v>
      </c>
      <c r="L786" s="197" t="s">
        <v>359</v>
      </c>
      <c r="M786" s="200" t="s">
        <v>360</v>
      </c>
      <c r="N786" s="201">
        <v>170</v>
      </c>
      <c r="O786" s="202">
        <v>273000</v>
      </c>
      <c r="P786" s="203">
        <v>46410000</v>
      </c>
      <c r="Q786" s="203">
        <v>4641000</v>
      </c>
      <c r="R786" s="203">
        <v>51051000</v>
      </c>
      <c r="S786" s="199"/>
      <c r="T786" s="199" t="s">
        <v>310</v>
      </c>
      <c r="U786" s="197">
        <v>61297</v>
      </c>
      <c r="V786" s="197"/>
      <c r="W786" s="196" t="s">
        <v>356</v>
      </c>
      <c r="X786" s="196" t="str">
        <f>+IFERROR(VLOOKUP($F786,'[2]Chuyển đổi mã'!$A$1:$C$91,3,0),$F786)&amp;AC786</f>
        <v>NPP00000468320445</v>
      </c>
      <c r="Y786" s="196" t="str">
        <f>+IFERROR(VLOOKUP($F786,'[2]Chuyển đổi mã'!$A$1:$C$184,3,0),F786)</f>
        <v>NPP00000468</v>
      </c>
      <c r="Z786" s="196" t="e">
        <f>VLOOKUP($G786,'[2]Thông tin NPP'!$B:$D,3,0)</f>
        <v>#N/A</v>
      </c>
      <c r="AA786" s="196" t="str">
        <f t="shared" si="223"/>
        <v>Na 58g</v>
      </c>
      <c r="AB786" s="196" t="str">
        <f>+IFERROR(VLOOKUP(DAY(B786),'[2]Chuyển đổi mã'!$F$1:$G$32,2,0),0)</f>
        <v>W5</v>
      </c>
      <c r="AC786" s="196" t="str">
        <f t="shared" si="224"/>
        <v>320445</v>
      </c>
      <c r="AD786" s="196" t="str">
        <f t="shared" si="220"/>
        <v>NPP</v>
      </c>
      <c r="AE786" s="196" t="str">
        <f t="shared" si="221"/>
        <v>NPP320445</v>
      </c>
      <c r="AF786" s="196">
        <f t="shared" si="222"/>
        <v>0</v>
      </c>
    </row>
    <row r="787" spans="1:32" ht="12.95" hidden="1" customHeight="1">
      <c r="A787" s="197">
        <v>63574</v>
      </c>
      <c r="B787" s="198">
        <v>43584</v>
      </c>
      <c r="C787" s="197" t="s">
        <v>457</v>
      </c>
      <c r="D787" s="197" t="s">
        <v>711</v>
      </c>
      <c r="E787" s="197" t="s">
        <v>346</v>
      </c>
      <c r="F787" s="197" t="s">
        <v>389</v>
      </c>
      <c r="G787" s="199" t="s">
        <v>390</v>
      </c>
      <c r="H787" s="199" t="s">
        <v>296</v>
      </c>
      <c r="I787" s="199" t="s">
        <v>391</v>
      </c>
      <c r="J787" s="199" t="s">
        <v>350</v>
      </c>
      <c r="K787" s="197" t="s">
        <v>351</v>
      </c>
      <c r="L787" s="197" t="s">
        <v>352</v>
      </c>
      <c r="M787" s="200" t="s">
        <v>353</v>
      </c>
      <c r="N787" s="201">
        <v>1000</v>
      </c>
      <c r="O787" s="202">
        <v>107016.14</v>
      </c>
      <c r="P787" s="203">
        <v>107016140</v>
      </c>
      <c r="Q787" s="203">
        <v>10701614</v>
      </c>
      <c r="R787" s="203">
        <v>117717754</v>
      </c>
      <c r="S787" s="199" t="s">
        <v>709</v>
      </c>
      <c r="T787" s="199" t="s">
        <v>710</v>
      </c>
      <c r="U787" s="197">
        <v>61298</v>
      </c>
      <c r="V787" s="197"/>
      <c r="W787" s="196" t="s">
        <v>356</v>
      </c>
      <c r="X787" s="196" t="str">
        <f>+IFERROR(VLOOKUP($F787,'[2]Chuyển đổi mã'!$A$1:$C$91,3,0),$F787)&amp;AC787</f>
        <v>NPP00000468320463</v>
      </c>
      <c r="Y787" s="196" t="str">
        <f>+IFERROR(VLOOKUP($F787,'[2]Chuyển đổi mã'!$A$1:$C$184,3,0),F787)</f>
        <v>NPP00000468</v>
      </c>
      <c r="Z787" s="196" t="e">
        <f>VLOOKUP($G787,'[2]Thông tin NPP'!$B:$D,3,0)</f>
        <v>#N/A</v>
      </c>
      <c r="AA787" s="196" t="str">
        <f t="shared" si="223"/>
        <v>Na 8,5g</v>
      </c>
      <c r="AB787" s="196" t="str">
        <f>+IFERROR(VLOOKUP(DAY(B787),'[2]Chuyển đổi mã'!$F$1:$G$32,2,0),0)</f>
        <v>W5</v>
      </c>
      <c r="AC787" s="196" t="str">
        <f t="shared" si="224"/>
        <v>320463</v>
      </c>
      <c r="AD787" s="196" t="str">
        <f t="shared" si="220"/>
        <v>NPP</v>
      </c>
      <c r="AE787" s="196" t="str">
        <f t="shared" si="221"/>
        <v>NPP320463</v>
      </c>
      <c r="AF787" s="196">
        <f t="shared" si="222"/>
        <v>0</v>
      </c>
    </row>
    <row r="788" spans="1:32" ht="12.95" hidden="1" customHeight="1">
      <c r="A788" s="197">
        <v>63574</v>
      </c>
      <c r="B788" s="198">
        <v>43584</v>
      </c>
      <c r="C788" s="197" t="s">
        <v>457</v>
      </c>
      <c r="D788" s="197" t="s">
        <v>711</v>
      </c>
      <c r="E788" s="197" t="s">
        <v>346</v>
      </c>
      <c r="F788" s="197" t="s">
        <v>389</v>
      </c>
      <c r="G788" s="199" t="s">
        <v>390</v>
      </c>
      <c r="H788" s="199" t="s">
        <v>296</v>
      </c>
      <c r="I788" s="199" t="s">
        <v>391</v>
      </c>
      <c r="J788" s="199" t="s">
        <v>350</v>
      </c>
      <c r="K788" s="197" t="s">
        <v>351</v>
      </c>
      <c r="L788" s="197" t="s">
        <v>359</v>
      </c>
      <c r="M788" s="200" t="s">
        <v>360</v>
      </c>
      <c r="N788" s="201">
        <v>30</v>
      </c>
      <c r="O788" s="202">
        <v>273000</v>
      </c>
      <c r="P788" s="203">
        <v>8190000</v>
      </c>
      <c r="Q788" s="203">
        <v>819000</v>
      </c>
      <c r="R788" s="203">
        <v>9009000</v>
      </c>
      <c r="S788" s="199"/>
      <c r="T788" s="199" t="s">
        <v>310</v>
      </c>
      <c r="U788" s="197">
        <v>61298</v>
      </c>
      <c r="V788" s="197"/>
      <c r="W788" s="196" t="s">
        <v>356</v>
      </c>
      <c r="X788" s="196" t="str">
        <f>+IFERROR(VLOOKUP($F788,'[2]Chuyển đổi mã'!$A$1:$C$91,3,0),$F788)&amp;AC788</f>
        <v>NPP00000468320445</v>
      </c>
      <c r="Y788" s="196" t="str">
        <f>+IFERROR(VLOOKUP($F788,'[2]Chuyển đổi mã'!$A$1:$C$184,3,0),F788)</f>
        <v>NPP00000468</v>
      </c>
      <c r="Z788" s="196" t="e">
        <f>VLOOKUP($G788,'[2]Thông tin NPP'!$B:$D,3,0)</f>
        <v>#N/A</v>
      </c>
      <c r="AA788" s="196" t="str">
        <f t="shared" si="223"/>
        <v>Na 58g</v>
      </c>
      <c r="AB788" s="196" t="str">
        <f>+IFERROR(VLOOKUP(DAY(B788),'[2]Chuyển đổi mã'!$F$1:$G$32,2,0),0)</f>
        <v>W5</v>
      </c>
      <c r="AC788" s="196" t="str">
        <f t="shared" si="224"/>
        <v>320445</v>
      </c>
      <c r="AD788" s="196" t="str">
        <f t="shared" ref="AD788:AD818" si="225">LEFT(F788,3)</f>
        <v>NPP</v>
      </c>
      <c r="AE788" s="196" t="str">
        <f t="shared" ref="AE788:AE818" si="226">AD788&amp;AC788</f>
        <v>NPP320445</v>
      </c>
      <c r="AF788" s="196">
        <f t="shared" ref="AF788:AF818" si="227">IF(RIGHT(L788,1)="P","P",0)</f>
        <v>0</v>
      </c>
    </row>
    <row r="789" spans="1:32" ht="12.95" hidden="1" customHeight="1">
      <c r="A789" s="197">
        <v>63587</v>
      </c>
      <c r="B789" s="198">
        <v>43584</v>
      </c>
      <c r="C789" s="197" t="s">
        <v>457</v>
      </c>
      <c r="D789" s="197" t="s">
        <v>712</v>
      </c>
      <c r="E789" s="197" t="s">
        <v>346</v>
      </c>
      <c r="F789" s="197" t="s">
        <v>414</v>
      </c>
      <c r="G789" s="199" t="s">
        <v>415</v>
      </c>
      <c r="H789" s="199" t="s">
        <v>296</v>
      </c>
      <c r="I789" s="199" t="s">
        <v>416</v>
      </c>
      <c r="J789" s="199" t="s">
        <v>350</v>
      </c>
      <c r="K789" s="197" t="s">
        <v>367</v>
      </c>
      <c r="L789" s="197" t="s">
        <v>352</v>
      </c>
      <c r="M789" s="200" t="s">
        <v>353</v>
      </c>
      <c r="N789" s="201">
        <v>350</v>
      </c>
      <c r="O789" s="202">
        <v>107728</v>
      </c>
      <c r="P789" s="203">
        <v>37704800</v>
      </c>
      <c r="Q789" s="203">
        <v>3770480</v>
      </c>
      <c r="R789" s="203">
        <v>41475280</v>
      </c>
      <c r="S789" s="199"/>
      <c r="T789" s="199" t="s">
        <v>310</v>
      </c>
      <c r="U789" s="197">
        <v>61307</v>
      </c>
      <c r="V789" s="197"/>
      <c r="W789" s="196" t="s">
        <v>356</v>
      </c>
      <c r="X789" s="196" t="str">
        <f>+IFERROR(VLOOKUP($F789,'[2]Chuyển đổi mã'!$A$1:$C$91,3,0),$F789)&amp;AC789</f>
        <v>NPP00000119320463</v>
      </c>
      <c r="Y789" s="196" t="str">
        <f>+IFERROR(VLOOKUP($F789,'[2]Chuyển đổi mã'!$A$1:$C$184,3,0),F789)</f>
        <v>NPP00000119</v>
      </c>
      <c r="Z789" s="196" t="str">
        <f>VLOOKUP($G789,'[2]Thông tin NPP'!$B:$D,3,0)</f>
        <v>NGUYỄN DUNG</v>
      </c>
      <c r="AA789" s="196" t="str">
        <f t="shared" si="223"/>
        <v>Na 8,5g</v>
      </c>
      <c r="AB789" s="196" t="str">
        <f>+IFERROR(VLOOKUP(DAY(B789),'[2]Chuyển đổi mã'!$F$1:$G$32,2,0),0)</f>
        <v>W5</v>
      </c>
      <c r="AC789" s="196" t="str">
        <f t="shared" si="224"/>
        <v>320463</v>
      </c>
      <c r="AD789" s="196" t="str">
        <f t="shared" si="225"/>
        <v>NPP</v>
      </c>
      <c r="AE789" s="196" t="str">
        <f t="shared" si="226"/>
        <v>NPP320463</v>
      </c>
      <c r="AF789" s="196">
        <f t="shared" si="227"/>
        <v>0</v>
      </c>
    </row>
    <row r="790" spans="1:32" ht="12.95" hidden="1" customHeight="1">
      <c r="A790" s="197">
        <v>63588</v>
      </c>
      <c r="B790" s="198">
        <v>43584</v>
      </c>
      <c r="C790" s="197" t="s">
        <v>457</v>
      </c>
      <c r="D790" s="197" t="s">
        <v>713</v>
      </c>
      <c r="E790" s="197" t="s">
        <v>346</v>
      </c>
      <c r="F790" s="197" t="s">
        <v>414</v>
      </c>
      <c r="G790" s="199" t="s">
        <v>415</v>
      </c>
      <c r="H790" s="199" t="s">
        <v>296</v>
      </c>
      <c r="I790" s="199" t="s">
        <v>416</v>
      </c>
      <c r="J790" s="199" t="s">
        <v>350</v>
      </c>
      <c r="K790" s="197" t="s">
        <v>367</v>
      </c>
      <c r="L790" s="197" t="s">
        <v>359</v>
      </c>
      <c r="M790" s="200" t="s">
        <v>360</v>
      </c>
      <c r="N790" s="201">
        <v>50</v>
      </c>
      <c r="O790" s="202">
        <v>276000</v>
      </c>
      <c r="P790" s="203">
        <v>13800000</v>
      </c>
      <c r="Q790" s="203">
        <v>1380000</v>
      </c>
      <c r="R790" s="203">
        <v>15180000</v>
      </c>
      <c r="S790" s="199"/>
      <c r="T790" s="199" t="s">
        <v>310</v>
      </c>
      <c r="U790" s="197">
        <v>61308</v>
      </c>
      <c r="V790" s="197"/>
      <c r="W790" s="196" t="s">
        <v>356</v>
      </c>
      <c r="X790" s="196" t="str">
        <f>+IFERROR(VLOOKUP($F790,'[2]Chuyển đổi mã'!$A$1:$C$91,3,0),$F790)&amp;AC790</f>
        <v>NPP00000119320445</v>
      </c>
      <c r="Y790" s="196" t="str">
        <f>+IFERROR(VLOOKUP($F790,'[2]Chuyển đổi mã'!$A$1:$C$184,3,0),F790)</f>
        <v>NPP00000119</v>
      </c>
      <c r="Z790" s="196" t="str">
        <f>VLOOKUP($G790,'[2]Thông tin NPP'!$B:$D,3,0)</f>
        <v>NGUYỄN DUNG</v>
      </c>
      <c r="AA790" s="196" t="str">
        <f t="shared" si="223"/>
        <v>Na 58g</v>
      </c>
      <c r="AB790" s="196" t="str">
        <f>+IFERROR(VLOOKUP(DAY(B790),'[2]Chuyển đổi mã'!$F$1:$G$32,2,0),0)</f>
        <v>W5</v>
      </c>
      <c r="AC790" s="196" t="str">
        <f t="shared" si="224"/>
        <v>320445</v>
      </c>
      <c r="AD790" s="196" t="str">
        <f t="shared" si="225"/>
        <v>NPP</v>
      </c>
      <c r="AE790" s="196" t="str">
        <f t="shared" si="226"/>
        <v>NPP320445</v>
      </c>
      <c r="AF790" s="196">
        <f t="shared" si="227"/>
        <v>0</v>
      </c>
    </row>
    <row r="791" spans="1:32" ht="12.95" hidden="1" customHeight="1">
      <c r="A791" s="197">
        <v>63588</v>
      </c>
      <c r="B791" s="198">
        <v>43584</v>
      </c>
      <c r="C791" s="197" t="s">
        <v>457</v>
      </c>
      <c r="D791" s="197" t="s">
        <v>713</v>
      </c>
      <c r="E791" s="197" t="s">
        <v>346</v>
      </c>
      <c r="F791" s="197" t="s">
        <v>414</v>
      </c>
      <c r="G791" s="199" t="s">
        <v>415</v>
      </c>
      <c r="H791" s="199" t="s">
        <v>296</v>
      </c>
      <c r="I791" s="199" t="s">
        <v>416</v>
      </c>
      <c r="J791" s="199" t="s">
        <v>350</v>
      </c>
      <c r="K791" s="197" t="s">
        <v>367</v>
      </c>
      <c r="L791" s="197" t="s">
        <v>357</v>
      </c>
      <c r="M791" s="200" t="s">
        <v>358</v>
      </c>
      <c r="N791" s="201">
        <v>250</v>
      </c>
      <c r="O791" s="202">
        <v>187680</v>
      </c>
      <c r="P791" s="203">
        <v>46920000</v>
      </c>
      <c r="Q791" s="203">
        <v>4692000</v>
      </c>
      <c r="R791" s="203">
        <v>51612000</v>
      </c>
      <c r="S791" s="199"/>
      <c r="T791" s="199" t="s">
        <v>310</v>
      </c>
      <c r="U791" s="197">
        <v>61308</v>
      </c>
      <c r="V791" s="197"/>
      <c r="W791" s="196" t="s">
        <v>356</v>
      </c>
      <c r="X791" s="196" t="str">
        <f>+IFERROR(VLOOKUP($F791,'[2]Chuyển đổi mã'!$A$1:$C$91,3,0),$F791)&amp;AC791</f>
        <v>NPP00000119323555</v>
      </c>
      <c r="Y791" s="196" t="str">
        <f>+IFERROR(VLOOKUP($F791,'[2]Chuyển đổi mã'!$A$1:$C$184,3,0),F791)</f>
        <v>NPP00000119</v>
      </c>
      <c r="Z791" s="196" t="str">
        <f>VLOOKUP($G791,'[2]Thông tin NPP'!$B:$D,3,0)</f>
        <v>NGUYỄN DUNG</v>
      </c>
      <c r="AA791" s="196" t="str">
        <f t="shared" si="223"/>
        <v>Na 17g - M</v>
      </c>
      <c r="AB791" s="196" t="str">
        <f>+IFERROR(VLOOKUP(DAY(B791),'[2]Chuyển đổi mã'!$F$1:$G$32,2,0),0)</f>
        <v>W5</v>
      </c>
      <c r="AC791" s="196" t="str">
        <f t="shared" si="224"/>
        <v>323555</v>
      </c>
      <c r="AD791" s="196" t="str">
        <f t="shared" si="225"/>
        <v>NPP</v>
      </c>
      <c r="AE791" s="196" t="str">
        <f t="shared" si="226"/>
        <v>NPP323555</v>
      </c>
      <c r="AF791" s="196">
        <f t="shared" si="227"/>
        <v>0</v>
      </c>
    </row>
    <row r="792" spans="1:32" ht="12.95" hidden="1" customHeight="1">
      <c r="A792" s="197">
        <v>63589</v>
      </c>
      <c r="B792" s="198">
        <v>43584</v>
      </c>
      <c r="C792" s="197" t="s">
        <v>457</v>
      </c>
      <c r="D792" s="197" t="s">
        <v>714</v>
      </c>
      <c r="E792" s="197" t="s">
        <v>346</v>
      </c>
      <c r="F792" s="197" t="s">
        <v>414</v>
      </c>
      <c r="G792" s="199" t="s">
        <v>415</v>
      </c>
      <c r="H792" s="199" t="s">
        <v>296</v>
      </c>
      <c r="I792" s="199" t="s">
        <v>416</v>
      </c>
      <c r="J792" s="199" t="s">
        <v>350</v>
      </c>
      <c r="K792" s="197" t="s">
        <v>367</v>
      </c>
      <c r="L792" s="197" t="s">
        <v>359</v>
      </c>
      <c r="M792" s="200" t="s">
        <v>360</v>
      </c>
      <c r="N792" s="201">
        <v>50</v>
      </c>
      <c r="O792" s="202">
        <v>276000</v>
      </c>
      <c r="P792" s="203">
        <v>13800000</v>
      </c>
      <c r="Q792" s="203">
        <v>1380000</v>
      </c>
      <c r="R792" s="203">
        <v>15180000</v>
      </c>
      <c r="S792" s="199"/>
      <c r="T792" s="199" t="s">
        <v>310</v>
      </c>
      <c r="U792" s="197">
        <v>61309</v>
      </c>
      <c r="V792" s="197"/>
      <c r="W792" s="196" t="s">
        <v>356</v>
      </c>
      <c r="X792" s="196" t="str">
        <f>+IFERROR(VLOOKUP($F792,'[2]Chuyển đổi mã'!$A$1:$C$91,3,0),$F792)&amp;AC792</f>
        <v>NPP00000119320445</v>
      </c>
      <c r="Y792" s="196" t="str">
        <f>+IFERROR(VLOOKUP($F792,'[2]Chuyển đổi mã'!$A$1:$C$184,3,0),F792)</f>
        <v>NPP00000119</v>
      </c>
      <c r="Z792" s="196" t="str">
        <f>VLOOKUP($G792,'[2]Thông tin NPP'!$B:$D,3,0)</f>
        <v>NGUYỄN DUNG</v>
      </c>
      <c r="AA792" s="196" t="str">
        <f t="shared" si="223"/>
        <v>Na 58g</v>
      </c>
      <c r="AB792" s="196" t="str">
        <f>+IFERROR(VLOOKUP(DAY(B792),'[2]Chuyển đổi mã'!$F$1:$G$32,2,0),0)</f>
        <v>W5</v>
      </c>
      <c r="AC792" s="196" t="str">
        <f t="shared" si="224"/>
        <v>320445</v>
      </c>
      <c r="AD792" s="196" t="str">
        <f t="shared" si="225"/>
        <v>NPP</v>
      </c>
      <c r="AE792" s="196" t="str">
        <f t="shared" si="226"/>
        <v>NPP320445</v>
      </c>
      <c r="AF792" s="196">
        <f t="shared" si="227"/>
        <v>0</v>
      </c>
    </row>
    <row r="793" spans="1:32" ht="12.95" hidden="1" customHeight="1">
      <c r="A793" s="197">
        <v>63589</v>
      </c>
      <c r="B793" s="198">
        <v>43584</v>
      </c>
      <c r="C793" s="197" t="s">
        <v>457</v>
      </c>
      <c r="D793" s="197" t="s">
        <v>714</v>
      </c>
      <c r="E793" s="197" t="s">
        <v>346</v>
      </c>
      <c r="F793" s="197" t="s">
        <v>414</v>
      </c>
      <c r="G793" s="199" t="s">
        <v>415</v>
      </c>
      <c r="H793" s="199" t="s">
        <v>296</v>
      </c>
      <c r="I793" s="199" t="s">
        <v>416</v>
      </c>
      <c r="J793" s="199" t="s">
        <v>350</v>
      </c>
      <c r="K793" s="197" t="s">
        <v>367</v>
      </c>
      <c r="L793" s="197" t="s">
        <v>357</v>
      </c>
      <c r="M793" s="200" t="s">
        <v>358</v>
      </c>
      <c r="N793" s="201">
        <v>250</v>
      </c>
      <c r="O793" s="202">
        <v>187680</v>
      </c>
      <c r="P793" s="203">
        <v>46920000</v>
      </c>
      <c r="Q793" s="203">
        <v>4692000</v>
      </c>
      <c r="R793" s="203">
        <v>51612000</v>
      </c>
      <c r="S793" s="199"/>
      <c r="T793" s="199" t="s">
        <v>310</v>
      </c>
      <c r="U793" s="197">
        <v>61309</v>
      </c>
      <c r="V793" s="197"/>
      <c r="W793" s="196" t="s">
        <v>356</v>
      </c>
      <c r="X793" s="196" t="str">
        <f>+IFERROR(VLOOKUP($F793,'[2]Chuyển đổi mã'!$A$1:$C$91,3,0),$F793)&amp;AC793</f>
        <v>NPP00000119323555</v>
      </c>
      <c r="Y793" s="196" t="str">
        <f>+IFERROR(VLOOKUP($F793,'[2]Chuyển đổi mã'!$A$1:$C$184,3,0),F793)</f>
        <v>NPP00000119</v>
      </c>
      <c r="Z793" s="196" t="str">
        <f>VLOOKUP($G793,'[2]Thông tin NPP'!$B:$D,3,0)</f>
        <v>NGUYỄN DUNG</v>
      </c>
      <c r="AA793" s="196" t="str">
        <f t="shared" si="223"/>
        <v>Na 17g - M</v>
      </c>
      <c r="AB793" s="196" t="str">
        <f>+IFERROR(VLOOKUP(DAY(B793),'[2]Chuyển đổi mã'!$F$1:$G$32,2,0),0)</f>
        <v>W5</v>
      </c>
      <c r="AC793" s="196" t="str">
        <f t="shared" si="224"/>
        <v>323555</v>
      </c>
      <c r="AD793" s="196" t="str">
        <f t="shared" si="225"/>
        <v>NPP</v>
      </c>
      <c r="AE793" s="196" t="str">
        <f t="shared" si="226"/>
        <v>NPP323555</v>
      </c>
      <c r="AF793" s="196">
        <f t="shared" si="227"/>
        <v>0</v>
      </c>
    </row>
    <row r="794" spans="1:32" ht="12.95" hidden="1" customHeight="1">
      <c r="A794" s="197">
        <v>63590</v>
      </c>
      <c r="B794" s="198">
        <v>43584</v>
      </c>
      <c r="C794" s="197" t="s">
        <v>457</v>
      </c>
      <c r="D794" s="197" t="s">
        <v>715</v>
      </c>
      <c r="E794" s="197" t="s">
        <v>346</v>
      </c>
      <c r="F794" s="197" t="s">
        <v>414</v>
      </c>
      <c r="G794" s="199" t="s">
        <v>415</v>
      </c>
      <c r="H794" s="199" t="s">
        <v>296</v>
      </c>
      <c r="I794" s="199" t="s">
        <v>416</v>
      </c>
      <c r="J794" s="199" t="s">
        <v>350</v>
      </c>
      <c r="K794" s="197" t="s">
        <v>367</v>
      </c>
      <c r="L794" s="197" t="s">
        <v>378</v>
      </c>
      <c r="M794" s="200" t="s">
        <v>379</v>
      </c>
      <c r="N794" s="201">
        <v>45</v>
      </c>
      <c r="O794" s="202">
        <v>187680</v>
      </c>
      <c r="P794" s="203">
        <v>8445600</v>
      </c>
      <c r="Q794" s="203">
        <v>844560</v>
      </c>
      <c r="R794" s="203">
        <v>9290160</v>
      </c>
      <c r="S794" s="199"/>
      <c r="T794" s="199" t="s">
        <v>310</v>
      </c>
      <c r="U794" s="197">
        <v>61310</v>
      </c>
      <c r="V794" s="197"/>
      <c r="W794" s="196" t="s">
        <v>356</v>
      </c>
      <c r="X794" s="196" t="str">
        <f>+IFERROR(VLOOKUP($F794,'[2]Chuyển đổi mã'!$A$1:$C$91,3,0),$F794)&amp;AC794</f>
        <v>NPP00000119321238</v>
      </c>
      <c r="Y794" s="196" t="str">
        <f>+IFERROR(VLOOKUP($F794,'[2]Chuyển đổi mã'!$A$1:$C$184,3,0),F794)</f>
        <v>NPP00000119</v>
      </c>
      <c r="Z794" s="196" t="str">
        <f>VLOOKUP($G794,'[2]Thông tin NPP'!$B:$D,3,0)</f>
        <v>NGUYỄN DUNG</v>
      </c>
      <c r="AA794" s="196" t="str">
        <f t="shared" si="223"/>
        <v>Richoco Wf</v>
      </c>
      <c r="AB794" s="196" t="str">
        <f>+IFERROR(VLOOKUP(DAY(B794),'[2]Chuyển đổi mã'!$F$1:$G$32,2,0),0)</f>
        <v>W5</v>
      </c>
      <c r="AC794" s="196" t="str">
        <f t="shared" si="224"/>
        <v>321238</v>
      </c>
      <c r="AD794" s="196" t="str">
        <f t="shared" si="225"/>
        <v>NPP</v>
      </c>
      <c r="AE794" s="196" t="str">
        <f t="shared" si="226"/>
        <v>NPP321238</v>
      </c>
      <c r="AF794" s="196">
        <f t="shared" si="227"/>
        <v>0</v>
      </c>
    </row>
    <row r="795" spans="1:32" ht="12.95" hidden="1" customHeight="1">
      <c r="A795" s="197">
        <v>63590</v>
      </c>
      <c r="B795" s="198">
        <v>43584</v>
      </c>
      <c r="C795" s="197" t="s">
        <v>457</v>
      </c>
      <c r="D795" s="197" t="s">
        <v>715</v>
      </c>
      <c r="E795" s="197" t="s">
        <v>346</v>
      </c>
      <c r="F795" s="197" t="s">
        <v>414</v>
      </c>
      <c r="G795" s="199" t="s">
        <v>415</v>
      </c>
      <c r="H795" s="199" t="s">
        <v>296</v>
      </c>
      <c r="I795" s="199" t="s">
        <v>416</v>
      </c>
      <c r="J795" s="199" t="s">
        <v>350</v>
      </c>
      <c r="K795" s="197" t="s">
        <v>367</v>
      </c>
      <c r="L795" s="197" t="s">
        <v>359</v>
      </c>
      <c r="M795" s="200" t="s">
        <v>360</v>
      </c>
      <c r="N795" s="201">
        <v>100</v>
      </c>
      <c r="O795" s="202">
        <v>276000</v>
      </c>
      <c r="P795" s="203">
        <v>27600000</v>
      </c>
      <c r="Q795" s="203">
        <v>2760000</v>
      </c>
      <c r="R795" s="203">
        <v>30360000</v>
      </c>
      <c r="S795" s="199"/>
      <c r="T795" s="199" t="s">
        <v>310</v>
      </c>
      <c r="U795" s="197">
        <v>61310</v>
      </c>
      <c r="V795" s="197"/>
      <c r="W795" s="196" t="s">
        <v>356</v>
      </c>
      <c r="X795" s="196" t="str">
        <f>+IFERROR(VLOOKUP($F795,'[2]Chuyển đổi mã'!$A$1:$C$91,3,0),$F795)&amp;AC795</f>
        <v>NPP00000119320445</v>
      </c>
      <c r="Y795" s="196" t="str">
        <f>+IFERROR(VLOOKUP($F795,'[2]Chuyển đổi mã'!$A$1:$C$184,3,0),F795)</f>
        <v>NPP00000119</v>
      </c>
      <c r="Z795" s="196" t="str">
        <f>VLOOKUP($G795,'[2]Thông tin NPP'!$B:$D,3,0)</f>
        <v>NGUYỄN DUNG</v>
      </c>
      <c r="AA795" s="196" t="str">
        <f t="shared" si="223"/>
        <v>Na 58g</v>
      </c>
      <c r="AB795" s="196" t="str">
        <f>+IFERROR(VLOOKUP(DAY(B795),'[2]Chuyển đổi mã'!$F$1:$G$32,2,0),0)</f>
        <v>W5</v>
      </c>
      <c r="AC795" s="196" t="str">
        <f t="shared" si="224"/>
        <v>320445</v>
      </c>
      <c r="AD795" s="196" t="str">
        <f t="shared" si="225"/>
        <v>NPP</v>
      </c>
      <c r="AE795" s="196" t="str">
        <f t="shared" si="226"/>
        <v>NPP320445</v>
      </c>
      <c r="AF795" s="196">
        <f t="shared" si="227"/>
        <v>0</v>
      </c>
    </row>
    <row r="796" spans="1:32" ht="12.95" hidden="1" customHeight="1">
      <c r="A796" s="197">
        <v>63590</v>
      </c>
      <c r="B796" s="198">
        <v>43584</v>
      </c>
      <c r="C796" s="197" t="s">
        <v>457</v>
      </c>
      <c r="D796" s="197" t="s">
        <v>715</v>
      </c>
      <c r="E796" s="197" t="s">
        <v>346</v>
      </c>
      <c r="F796" s="197" t="s">
        <v>414</v>
      </c>
      <c r="G796" s="199" t="s">
        <v>415</v>
      </c>
      <c r="H796" s="199" t="s">
        <v>296</v>
      </c>
      <c r="I796" s="199" t="s">
        <v>416</v>
      </c>
      <c r="J796" s="199" t="s">
        <v>350</v>
      </c>
      <c r="K796" s="197" t="s">
        <v>367</v>
      </c>
      <c r="L796" s="197" t="s">
        <v>357</v>
      </c>
      <c r="M796" s="200" t="s">
        <v>358</v>
      </c>
      <c r="N796" s="201">
        <v>65</v>
      </c>
      <c r="O796" s="202">
        <v>187680</v>
      </c>
      <c r="P796" s="203">
        <v>12199200</v>
      </c>
      <c r="Q796" s="203">
        <v>1219920</v>
      </c>
      <c r="R796" s="203">
        <v>13419120</v>
      </c>
      <c r="S796" s="199"/>
      <c r="T796" s="199" t="s">
        <v>310</v>
      </c>
      <c r="U796" s="197">
        <v>61310</v>
      </c>
      <c r="V796" s="197"/>
      <c r="W796" s="196" t="s">
        <v>356</v>
      </c>
      <c r="X796" s="196" t="str">
        <f>+IFERROR(VLOOKUP($F796,'[2]Chuyển đổi mã'!$A$1:$C$91,3,0),$F796)&amp;AC796</f>
        <v>NPP00000119323555</v>
      </c>
      <c r="Y796" s="196" t="str">
        <f>+IFERROR(VLOOKUP($F796,'[2]Chuyển đổi mã'!$A$1:$C$184,3,0),F796)</f>
        <v>NPP00000119</v>
      </c>
      <c r="Z796" s="196" t="str">
        <f>VLOOKUP($G796,'[2]Thông tin NPP'!$B:$D,3,0)</f>
        <v>NGUYỄN DUNG</v>
      </c>
      <c r="AA796" s="196" t="str">
        <f t="shared" si="223"/>
        <v>Na 17g - M</v>
      </c>
      <c r="AB796" s="196" t="str">
        <f>+IFERROR(VLOOKUP(DAY(B796),'[2]Chuyển đổi mã'!$F$1:$G$32,2,0),0)</f>
        <v>W5</v>
      </c>
      <c r="AC796" s="196" t="str">
        <f t="shared" si="224"/>
        <v>323555</v>
      </c>
      <c r="AD796" s="196" t="str">
        <f t="shared" si="225"/>
        <v>NPP</v>
      </c>
      <c r="AE796" s="196" t="str">
        <f t="shared" si="226"/>
        <v>NPP323555</v>
      </c>
      <c r="AF796" s="196">
        <f t="shared" si="227"/>
        <v>0</v>
      </c>
    </row>
    <row r="797" spans="1:32" ht="12.95" hidden="1" customHeight="1">
      <c r="A797" s="197">
        <v>63590</v>
      </c>
      <c r="B797" s="198">
        <v>43584</v>
      </c>
      <c r="C797" s="197" t="s">
        <v>457</v>
      </c>
      <c r="D797" s="197" t="s">
        <v>715</v>
      </c>
      <c r="E797" s="197" t="s">
        <v>346</v>
      </c>
      <c r="F797" s="197" t="s">
        <v>414</v>
      </c>
      <c r="G797" s="199" t="s">
        <v>415</v>
      </c>
      <c r="H797" s="199" t="s">
        <v>296</v>
      </c>
      <c r="I797" s="199" t="s">
        <v>416</v>
      </c>
      <c r="J797" s="199" t="s">
        <v>350</v>
      </c>
      <c r="K797" s="197" t="s">
        <v>367</v>
      </c>
      <c r="L797" s="197" t="s">
        <v>408</v>
      </c>
      <c r="M797" s="200" t="s">
        <v>409</v>
      </c>
      <c r="N797" s="201">
        <v>70</v>
      </c>
      <c r="O797" s="202">
        <v>176640</v>
      </c>
      <c r="P797" s="203">
        <v>12364800</v>
      </c>
      <c r="Q797" s="203">
        <v>1236480</v>
      </c>
      <c r="R797" s="203">
        <v>13601280</v>
      </c>
      <c r="S797" s="199"/>
      <c r="T797" s="199" t="s">
        <v>310</v>
      </c>
      <c r="U797" s="197">
        <v>61310</v>
      </c>
      <c r="V797" s="197"/>
      <c r="W797" s="196" t="s">
        <v>356</v>
      </c>
      <c r="X797" s="196" t="str">
        <f>+IFERROR(VLOOKUP($F797,'[2]Chuyển đổi mã'!$A$1:$C$91,3,0),$F797)&amp;AC797</f>
        <v>NPP00000119324136</v>
      </c>
      <c r="Y797" s="196" t="str">
        <f>+IFERROR(VLOOKUP($F797,'[2]Chuyển đổi mã'!$A$1:$C$184,3,0),F797)</f>
        <v>NPP00000119</v>
      </c>
      <c r="Z797" s="196" t="str">
        <f>VLOOKUP($G797,'[2]Thông tin NPP'!$B:$D,3,0)</f>
        <v>NGUYỄN DUNG</v>
      </c>
      <c r="AA797" s="196" t="str">
        <f t="shared" si="223"/>
        <v>Na 145g</v>
      </c>
      <c r="AB797" s="196" t="str">
        <f>+IFERROR(VLOOKUP(DAY(B797),'[2]Chuyển đổi mã'!$F$1:$G$32,2,0),0)</f>
        <v>W5</v>
      </c>
      <c r="AC797" s="196" t="str">
        <f t="shared" si="224"/>
        <v>324136</v>
      </c>
      <c r="AD797" s="196" t="str">
        <f t="shared" si="225"/>
        <v>NPP</v>
      </c>
      <c r="AE797" s="196" t="str">
        <f t="shared" si="226"/>
        <v>NPP324136</v>
      </c>
      <c r="AF797" s="196">
        <f t="shared" si="227"/>
        <v>0</v>
      </c>
    </row>
    <row r="798" spans="1:32" ht="12.95" hidden="1" customHeight="1">
      <c r="A798" s="197">
        <v>63590</v>
      </c>
      <c r="B798" s="198">
        <v>43584</v>
      </c>
      <c r="C798" s="197" t="s">
        <v>457</v>
      </c>
      <c r="D798" s="197" t="s">
        <v>715</v>
      </c>
      <c r="E798" s="197" t="s">
        <v>346</v>
      </c>
      <c r="F798" s="197" t="s">
        <v>414</v>
      </c>
      <c r="G798" s="199" t="s">
        <v>415</v>
      </c>
      <c r="H798" s="199" t="s">
        <v>296</v>
      </c>
      <c r="I798" s="199" t="s">
        <v>416</v>
      </c>
      <c r="J798" s="199" t="s">
        <v>350</v>
      </c>
      <c r="K798" s="197" t="s">
        <v>367</v>
      </c>
      <c r="L798" s="197" t="s">
        <v>387</v>
      </c>
      <c r="M798" s="200" t="s">
        <v>388</v>
      </c>
      <c r="N798" s="201">
        <v>20</v>
      </c>
      <c r="O798" s="202">
        <v>312800</v>
      </c>
      <c r="P798" s="203">
        <v>6256000</v>
      </c>
      <c r="Q798" s="203">
        <v>625600</v>
      </c>
      <c r="R798" s="203">
        <v>6881600</v>
      </c>
      <c r="S798" s="199"/>
      <c r="T798" s="199" t="s">
        <v>310</v>
      </c>
      <c r="U798" s="197">
        <v>61310</v>
      </c>
      <c r="V798" s="197"/>
      <c r="W798" s="196" t="s">
        <v>356</v>
      </c>
      <c r="X798" s="196" t="str">
        <f>+IFERROR(VLOOKUP($F798,'[2]Chuyển đổi mã'!$A$1:$C$91,3,0),$F798)&amp;AC798</f>
        <v>NPP00000119323620</v>
      </c>
      <c r="Y798" s="196" t="str">
        <f>+IFERROR(VLOOKUP($F798,'[2]Chuyển đổi mã'!$A$1:$C$184,3,0),F798)</f>
        <v>NPP00000119</v>
      </c>
      <c r="Z798" s="196" t="str">
        <f>VLOOKUP($G798,'[2]Thông tin NPP'!$B:$D,3,0)</f>
        <v>NGUYỄN DUNG</v>
      </c>
      <c r="AA798" s="196" t="str">
        <f t="shared" si="223"/>
        <v>Ahh 16g</v>
      </c>
      <c r="AB798" s="196" t="str">
        <f>+IFERROR(VLOOKUP(DAY(B798),'[2]Chuyển đổi mã'!$F$1:$G$32,2,0),0)</f>
        <v>W5</v>
      </c>
      <c r="AC798" s="196" t="str">
        <f t="shared" si="224"/>
        <v>323620</v>
      </c>
      <c r="AD798" s="196" t="str">
        <f t="shared" si="225"/>
        <v>NPP</v>
      </c>
      <c r="AE798" s="196" t="str">
        <f t="shared" si="226"/>
        <v>NPP323620</v>
      </c>
      <c r="AF798" s="196">
        <f t="shared" si="227"/>
        <v>0</v>
      </c>
    </row>
    <row r="799" spans="1:32" ht="12.95" hidden="1" customHeight="1">
      <c r="A799" s="197">
        <v>63591</v>
      </c>
      <c r="B799" s="198">
        <v>43584</v>
      </c>
      <c r="C799" s="197" t="s">
        <v>457</v>
      </c>
      <c r="D799" s="197" t="s">
        <v>716</v>
      </c>
      <c r="E799" s="197" t="s">
        <v>346</v>
      </c>
      <c r="F799" s="197" t="s">
        <v>414</v>
      </c>
      <c r="G799" s="199" t="s">
        <v>415</v>
      </c>
      <c r="H799" s="199" t="s">
        <v>296</v>
      </c>
      <c r="I799" s="199" t="s">
        <v>416</v>
      </c>
      <c r="J799" s="199" t="s">
        <v>350</v>
      </c>
      <c r="K799" s="197" t="s">
        <v>367</v>
      </c>
      <c r="L799" s="197" t="s">
        <v>378</v>
      </c>
      <c r="M799" s="200" t="s">
        <v>379</v>
      </c>
      <c r="N799" s="201">
        <v>60</v>
      </c>
      <c r="O799" s="202">
        <v>187680</v>
      </c>
      <c r="P799" s="203">
        <v>11260800</v>
      </c>
      <c r="Q799" s="203">
        <v>1126080</v>
      </c>
      <c r="R799" s="203">
        <v>12386880</v>
      </c>
      <c r="S799" s="199"/>
      <c r="T799" s="199" t="s">
        <v>310</v>
      </c>
      <c r="U799" s="197">
        <v>61311</v>
      </c>
      <c r="V799" s="197"/>
      <c r="W799" s="196" t="s">
        <v>356</v>
      </c>
      <c r="X799" s="196" t="str">
        <f>+IFERROR(VLOOKUP($F799,'[2]Chuyển đổi mã'!$A$1:$C$91,3,0),$F799)&amp;AC799</f>
        <v>NPP00000119321238</v>
      </c>
      <c r="Y799" s="196" t="str">
        <f>+IFERROR(VLOOKUP($F799,'[2]Chuyển đổi mã'!$A$1:$C$184,3,0),F799)</f>
        <v>NPP00000119</v>
      </c>
      <c r="Z799" s="196" t="str">
        <f>VLOOKUP($G799,'[2]Thông tin NPP'!$B:$D,3,0)</f>
        <v>NGUYỄN DUNG</v>
      </c>
      <c r="AA799" s="196" t="str">
        <f t="shared" si="223"/>
        <v>Richoco Wf</v>
      </c>
      <c r="AB799" s="196" t="str">
        <f>+IFERROR(VLOOKUP(DAY(B799),'[2]Chuyển đổi mã'!$F$1:$G$32,2,0),0)</f>
        <v>W5</v>
      </c>
      <c r="AC799" s="196" t="str">
        <f t="shared" si="224"/>
        <v>321238</v>
      </c>
      <c r="AD799" s="196" t="str">
        <f t="shared" si="225"/>
        <v>NPP</v>
      </c>
      <c r="AE799" s="196" t="str">
        <f t="shared" si="226"/>
        <v>NPP321238</v>
      </c>
      <c r="AF799" s="196">
        <f t="shared" si="227"/>
        <v>0</v>
      </c>
    </row>
    <row r="800" spans="1:32" ht="12.95" hidden="1" customHeight="1">
      <c r="A800" s="197">
        <v>63591</v>
      </c>
      <c r="B800" s="198">
        <v>43584</v>
      </c>
      <c r="C800" s="197" t="s">
        <v>457</v>
      </c>
      <c r="D800" s="197" t="s">
        <v>716</v>
      </c>
      <c r="E800" s="197" t="s">
        <v>346</v>
      </c>
      <c r="F800" s="197" t="s">
        <v>414</v>
      </c>
      <c r="G800" s="199" t="s">
        <v>415</v>
      </c>
      <c r="H800" s="199" t="s">
        <v>296</v>
      </c>
      <c r="I800" s="199" t="s">
        <v>416</v>
      </c>
      <c r="J800" s="199" t="s">
        <v>350</v>
      </c>
      <c r="K800" s="197" t="s">
        <v>367</v>
      </c>
      <c r="L800" s="197" t="s">
        <v>359</v>
      </c>
      <c r="M800" s="200" t="s">
        <v>360</v>
      </c>
      <c r="N800" s="201">
        <v>70</v>
      </c>
      <c r="O800" s="202">
        <v>276000</v>
      </c>
      <c r="P800" s="203">
        <v>19320000</v>
      </c>
      <c r="Q800" s="203">
        <v>1932000</v>
      </c>
      <c r="R800" s="203">
        <v>21252000</v>
      </c>
      <c r="S800" s="199"/>
      <c r="T800" s="199" t="s">
        <v>310</v>
      </c>
      <c r="U800" s="197">
        <v>61311</v>
      </c>
      <c r="V800" s="197"/>
      <c r="W800" s="196" t="s">
        <v>356</v>
      </c>
      <c r="X800" s="196" t="str">
        <f>+IFERROR(VLOOKUP($F800,'[2]Chuyển đổi mã'!$A$1:$C$91,3,0),$F800)&amp;AC800</f>
        <v>NPP00000119320445</v>
      </c>
      <c r="Y800" s="196" t="str">
        <f>+IFERROR(VLOOKUP($F800,'[2]Chuyển đổi mã'!$A$1:$C$184,3,0),F800)</f>
        <v>NPP00000119</v>
      </c>
      <c r="Z800" s="196" t="str">
        <f>VLOOKUP($G800,'[2]Thông tin NPP'!$B:$D,3,0)</f>
        <v>NGUYỄN DUNG</v>
      </c>
      <c r="AA800" s="196" t="str">
        <f t="shared" si="223"/>
        <v>Na 58g</v>
      </c>
      <c r="AB800" s="196" t="str">
        <f>+IFERROR(VLOOKUP(DAY(B800),'[2]Chuyển đổi mã'!$F$1:$G$32,2,0),0)</f>
        <v>W5</v>
      </c>
      <c r="AC800" s="196" t="str">
        <f t="shared" si="224"/>
        <v>320445</v>
      </c>
      <c r="AD800" s="196" t="str">
        <f t="shared" si="225"/>
        <v>NPP</v>
      </c>
      <c r="AE800" s="196" t="str">
        <f t="shared" si="226"/>
        <v>NPP320445</v>
      </c>
      <c r="AF800" s="196">
        <f t="shared" si="227"/>
        <v>0</v>
      </c>
    </row>
    <row r="801" spans="1:32" ht="12.95" hidden="1" customHeight="1">
      <c r="A801" s="197">
        <v>63591</v>
      </c>
      <c r="B801" s="198">
        <v>43584</v>
      </c>
      <c r="C801" s="197" t="s">
        <v>457</v>
      </c>
      <c r="D801" s="197" t="s">
        <v>716</v>
      </c>
      <c r="E801" s="197" t="s">
        <v>346</v>
      </c>
      <c r="F801" s="197" t="s">
        <v>414</v>
      </c>
      <c r="G801" s="199" t="s">
        <v>415</v>
      </c>
      <c r="H801" s="199" t="s">
        <v>296</v>
      </c>
      <c r="I801" s="199" t="s">
        <v>416</v>
      </c>
      <c r="J801" s="199" t="s">
        <v>350</v>
      </c>
      <c r="K801" s="197" t="s">
        <v>367</v>
      </c>
      <c r="L801" s="197" t="s">
        <v>357</v>
      </c>
      <c r="M801" s="200" t="s">
        <v>358</v>
      </c>
      <c r="N801" s="201">
        <v>70</v>
      </c>
      <c r="O801" s="202">
        <v>187680</v>
      </c>
      <c r="P801" s="203">
        <v>13137600</v>
      </c>
      <c r="Q801" s="203">
        <v>1313760</v>
      </c>
      <c r="R801" s="203">
        <v>14451360</v>
      </c>
      <c r="S801" s="199"/>
      <c r="T801" s="199" t="s">
        <v>310</v>
      </c>
      <c r="U801" s="197">
        <v>61311</v>
      </c>
      <c r="V801" s="197"/>
      <c r="W801" s="196" t="s">
        <v>356</v>
      </c>
      <c r="X801" s="196" t="str">
        <f>+IFERROR(VLOOKUP($F801,'[2]Chuyển đổi mã'!$A$1:$C$91,3,0),$F801)&amp;AC801</f>
        <v>NPP00000119323555</v>
      </c>
      <c r="Y801" s="196" t="str">
        <f>+IFERROR(VLOOKUP($F801,'[2]Chuyển đổi mã'!$A$1:$C$184,3,0),F801)</f>
        <v>NPP00000119</v>
      </c>
      <c r="Z801" s="196" t="str">
        <f>VLOOKUP($G801,'[2]Thông tin NPP'!$B:$D,3,0)</f>
        <v>NGUYỄN DUNG</v>
      </c>
      <c r="AA801" s="196" t="str">
        <f t="shared" si="223"/>
        <v>Na 17g - M</v>
      </c>
      <c r="AB801" s="196" t="str">
        <f>+IFERROR(VLOOKUP(DAY(B801),'[2]Chuyển đổi mã'!$F$1:$G$32,2,0),0)</f>
        <v>W5</v>
      </c>
      <c r="AC801" s="196" t="str">
        <f t="shared" si="224"/>
        <v>323555</v>
      </c>
      <c r="AD801" s="196" t="str">
        <f t="shared" si="225"/>
        <v>NPP</v>
      </c>
      <c r="AE801" s="196" t="str">
        <f t="shared" si="226"/>
        <v>NPP323555</v>
      </c>
      <c r="AF801" s="196">
        <f t="shared" si="227"/>
        <v>0</v>
      </c>
    </row>
    <row r="802" spans="1:32" ht="12.95" hidden="1" customHeight="1">
      <c r="A802" s="197">
        <v>63591</v>
      </c>
      <c r="B802" s="198">
        <v>43584</v>
      </c>
      <c r="C802" s="197" t="s">
        <v>457</v>
      </c>
      <c r="D802" s="197" t="s">
        <v>716</v>
      </c>
      <c r="E802" s="197" t="s">
        <v>346</v>
      </c>
      <c r="F802" s="197" t="s">
        <v>414</v>
      </c>
      <c r="G802" s="199" t="s">
        <v>415</v>
      </c>
      <c r="H802" s="199" t="s">
        <v>296</v>
      </c>
      <c r="I802" s="199" t="s">
        <v>416</v>
      </c>
      <c r="J802" s="199" t="s">
        <v>350</v>
      </c>
      <c r="K802" s="197" t="s">
        <v>367</v>
      </c>
      <c r="L802" s="197" t="s">
        <v>408</v>
      </c>
      <c r="M802" s="200" t="s">
        <v>409</v>
      </c>
      <c r="N802" s="201">
        <v>70</v>
      </c>
      <c r="O802" s="202">
        <v>176640</v>
      </c>
      <c r="P802" s="203">
        <v>12364800</v>
      </c>
      <c r="Q802" s="203">
        <v>1236480</v>
      </c>
      <c r="R802" s="203">
        <v>13601280</v>
      </c>
      <c r="S802" s="199"/>
      <c r="T802" s="199" t="s">
        <v>310</v>
      </c>
      <c r="U802" s="197">
        <v>61311</v>
      </c>
      <c r="V802" s="197"/>
      <c r="W802" s="196" t="s">
        <v>356</v>
      </c>
      <c r="X802" s="196" t="str">
        <f>+IFERROR(VLOOKUP($F802,'[2]Chuyển đổi mã'!$A$1:$C$91,3,0),$F802)&amp;AC802</f>
        <v>NPP00000119324136</v>
      </c>
      <c r="Y802" s="196" t="str">
        <f>+IFERROR(VLOOKUP($F802,'[2]Chuyển đổi mã'!$A$1:$C$184,3,0),F802)</f>
        <v>NPP00000119</v>
      </c>
      <c r="Z802" s="196" t="str">
        <f>VLOOKUP($G802,'[2]Thông tin NPP'!$B:$D,3,0)</f>
        <v>NGUYỄN DUNG</v>
      </c>
      <c r="AA802" s="196" t="str">
        <f t="shared" si="223"/>
        <v>Na 145g</v>
      </c>
      <c r="AB802" s="196" t="str">
        <f>+IFERROR(VLOOKUP(DAY(B802),'[2]Chuyển đổi mã'!$F$1:$G$32,2,0),0)</f>
        <v>W5</v>
      </c>
      <c r="AC802" s="196" t="str">
        <f t="shared" si="224"/>
        <v>324136</v>
      </c>
      <c r="AD802" s="196" t="str">
        <f t="shared" si="225"/>
        <v>NPP</v>
      </c>
      <c r="AE802" s="196" t="str">
        <f t="shared" si="226"/>
        <v>NPP324136</v>
      </c>
      <c r="AF802" s="196">
        <f t="shared" si="227"/>
        <v>0</v>
      </c>
    </row>
    <row r="803" spans="1:32" ht="12.95" hidden="1" customHeight="1">
      <c r="A803" s="197">
        <v>63591</v>
      </c>
      <c r="B803" s="198">
        <v>43584</v>
      </c>
      <c r="C803" s="197" t="s">
        <v>457</v>
      </c>
      <c r="D803" s="197" t="s">
        <v>716</v>
      </c>
      <c r="E803" s="197" t="s">
        <v>346</v>
      </c>
      <c r="F803" s="197" t="s">
        <v>414</v>
      </c>
      <c r="G803" s="199" t="s">
        <v>415</v>
      </c>
      <c r="H803" s="199" t="s">
        <v>296</v>
      </c>
      <c r="I803" s="199" t="s">
        <v>416</v>
      </c>
      <c r="J803" s="199" t="s">
        <v>350</v>
      </c>
      <c r="K803" s="197" t="s">
        <v>367</v>
      </c>
      <c r="L803" s="197" t="s">
        <v>387</v>
      </c>
      <c r="M803" s="200" t="s">
        <v>388</v>
      </c>
      <c r="N803" s="201">
        <v>20</v>
      </c>
      <c r="O803" s="202">
        <v>312800</v>
      </c>
      <c r="P803" s="203">
        <v>6256000</v>
      </c>
      <c r="Q803" s="203">
        <v>625600</v>
      </c>
      <c r="R803" s="203">
        <v>6881600</v>
      </c>
      <c r="S803" s="199"/>
      <c r="T803" s="199" t="s">
        <v>310</v>
      </c>
      <c r="U803" s="197">
        <v>61311</v>
      </c>
      <c r="V803" s="197"/>
      <c r="W803" s="196" t="s">
        <v>356</v>
      </c>
      <c r="X803" s="196" t="str">
        <f>+IFERROR(VLOOKUP($F803,'[2]Chuyển đổi mã'!$A$1:$C$91,3,0),$F803)&amp;AC803</f>
        <v>NPP00000119323620</v>
      </c>
      <c r="Y803" s="196" t="str">
        <f>+IFERROR(VLOOKUP($F803,'[2]Chuyển đổi mã'!$A$1:$C$184,3,0),F803)</f>
        <v>NPP00000119</v>
      </c>
      <c r="Z803" s="196" t="str">
        <f>VLOOKUP($G803,'[2]Thông tin NPP'!$B:$D,3,0)</f>
        <v>NGUYỄN DUNG</v>
      </c>
      <c r="AA803" s="196" t="str">
        <f t="shared" si="223"/>
        <v>Ahh 16g</v>
      </c>
      <c r="AB803" s="196" t="str">
        <f>+IFERROR(VLOOKUP(DAY(B803),'[2]Chuyển đổi mã'!$F$1:$G$32,2,0),0)</f>
        <v>W5</v>
      </c>
      <c r="AC803" s="196" t="str">
        <f t="shared" si="224"/>
        <v>323620</v>
      </c>
      <c r="AD803" s="196" t="str">
        <f t="shared" si="225"/>
        <v>NPP</v>
      </c>
      <c r="AE803" s="196" t="str">
        <f t="shared" si="226"/>
        <v>NPP323620</v>
      </c>
      <c r="AF803" s="196">
        <f t="shared" si="227"/>
        <v>0</v>
      </c>
    </row>
    <row r="804" spans="1:32" ht="12.95" hidden="1" customHeight="1">
      <c r="A804" s="197">
        <v>63592</v>
      </c>
      <c r="B804" s="198">
        <v>43584</v>
      </c>
      <c r="C804" s="197" t="s">
        <v>457</v>
      </c>
      <c r="D804" s="197" t="s">
        <v>717</v>
      </c>
      <c r="E804" s="197" t="s">
        <v>346</v>
      </c>
      <c r="F804" s="197" t="s">
        <v>414</v>
      </c>
      <c r="G804" s="199" t="s">
        <v>415</v>
      </c>
      <c r="H804" s="199" t="s">
        <v>296</v>
      </c>
      <c r="I804" s="199" t="s">
        <v>416</v>
      </c>
      <c r="J804" s="199" t="s">
        <v>350</v>
      </c>
      <c r="K804" s="197" t="s">
        <v>367</v>
      </c>
      <c r="L804" s="197" t="s">
        <v>359</v>
      </c>
      <c r="M804" s="200" t="s">
        <v>360</v>
      </c>
      <c r="N804" s="201">
        <v>50</v>
      </c>
      <c r="O804" s="202">
        <v>276000</v>
      </c>
      <c r="P804" s="203">
        <v>13800000</v>
      </c>
      <c r="Q804" s="203">
        <v>1380000</v>
      </c>
      <c r="R804" s="203">
        <v>15180000</v>
      </c>
      <c r="S804" s="199"/>
      <c r="T804" s="199" t="s">
        <v>310</v>
      </c>
      <c r="U804" s="197">
        <v>61312</v>
      </c>
      <c r="V804" s="197"/>
      <c r="W804" s="196" t="s">
        <v>356</v>
      </c>
      <c r="X804" s="196" t="str">
        <f>+IFERROR(VLOOKUP($F804,'[2]Chuyển đổi mã'!$A$1:$C$91,3,0),$F804)&amp;AC804</f>
        <v>NPP00000119320445</v>
      </c>
      <c r="Y804" s="196" t="str">
        <f>+IFERROR(VLOOKUP($F804,'[2]Chuyển đổi mã'!$A$1:$C$184,3,0),F804)</f>
        <v>NPP00000119</v>
      </c>
      <c r="Z804" s="196" t="str">
        <f>VLOOKUP($G804,'[2]Thông tin NPP'!$B:$D,3,0)</f>
        <v>NGUYỄN DUNG</v>
      </c>
      <c r="AA804" s="196" t="str">
        <f t="shared" si="223"/>
        <v>Na 58g</v>
      </c>
      <c r="AB804" s="196" t="str">
        <f>+IFERROR(VLOOKUP(DAY(B804),'[2]Chuyển đổi mã'!$F$1:$G$32,2,0),0)</f>
        <v>W5</v>
      </c>
      <c r="AC804" s="196" t="str">
        <f t="shared" si="224"/>
        <v>320445</v>
      </c>
      <c r="AD804" s="196" t="str">
        <f t="shared" si="225"/>
        <v>NPP</v>
      </c>
      <c r="AE804" s="196" t="str">
        <f t="shared" si="226"/>
        <v>NPP320445</v>
      </c>
      <c r="AF804" s="196">
        <f t="shared" si="227"/>
        <v>0</v>
      </c>
    </row>
    <row r="805" spans="1:32" ht="12.95" hidden="1" customHeight="1">
      <c r="A805" s="197">
        <v>63592</v>
      </c>
      <c r="B805" s="198">
        <v>43584</v>
      </c>
      <c r="C805" s="197" t="s">
        <v>457</v>
      </c>
      <c r="D805" s="197" t="s">
        <v>717</v>
      </c>
      <c r="E805" s="197" t="s">
        <v>346</v>
      </c>
      <c r="F805" s="197" t="s">
        <v>414</v>
      </c>
      <c r="G805" s="199" t="s">
        <v>415</v>
      </c>
      <c r="H805" s="199" t="s">
        <v>296</v>
      </c>
      <c r="I805" s="199" t="s">
        <v>416</v>
      </c>
      <c r="J805" s="199" t="s">
        <v>350</v>
      </c>
      <c r="K805" s="197" t="s">
        <v>367</v>
      </c>
      <c r="L805" s="197" t="s">
        <v>357</v>
      </c>
      <c r="M805" s="200" t="s">
        <v>358</v>
      </c>
      <c r="N805" s="201">
        <v>250</v>
      </c>
      <c r="O805" s="202">
        <v>187680</v>
      </c>
      <c r="P805" s="203">
        <v>46920000</v>
      </c>
      <c r="Q805" s="203">
        <v>4692000</v>
      </c>
      <c r="R805" s="203">
        <v>51612000</v>
      </c>
      <c r="S805" s="199"/>
      <c r="T805" s="199" t="s">
        <v>310</v>
      </c>
      <c r="U805" s="197">
        <v>61312</v>
      </c>
      <c r="V805" s="197"/>
      <c r="W805" s="196" t="s">
        <v>356</v>
      </c>
      <c r="X805" s="196" t="str">
        <f>+IFERROR(VLOOKUP($F805,'[2]Chuyển đổi mã'!$A$1:$C$91,3,0),$F805)&amp;AC805</f>
        <v>NPP00000119323555</v>
      </c>
      <c r="Y805" s="196" t="str">
        <f>+IFERROR(VLOOKUP($F805,'[2]Chuyển đổi mã'!$A$1:$C$184,3,0),F805)</f>
        <v>NPP00000119</v>
      </c>
      <c r="Z805" s="196" t="str">
        <f>VLOOKUP($G805,'[2]Thông tin NPP'!$B:$D,3,0)</f>
        <v>NGUYỄN DUNG</v>
      </c>
      <c r="AA805" s="196" t="str">
        <f t="shared" si="223"/>
        <v>Na 17g - M</v>
      </c>
      <c r="AB805" s="196" t="str">
        <f>+IFERROR(VLOOKUP(DAY(B805),'[2]Chuyển đổi mã'!$F$1:$G$32,2,0),0)</f>
        <v>W5</v>
      </c>
      <c r="AC805" s="196" t="str">
        <f t="shared" si="224"/>
        <v>323555</v>
      </c>
      <c r="AD805" s="196" t="str">
        <f t="shared" si="225"/>
        <v>NPP</v>
      </c>
      <c r="AE805" s="196" t="str">
        <f t="shared" si="226"/>
        <v>NPP323555</v>
      </c>
      <c r="AF805" s="196">
        <f t="shared" si="227"/>
        <v>0</v>
      </c>
    </row>
    <row r="806" spans="1:32" ht="12.95" hidden="1" customHeight="1">
      <c r="A806" s="197">
        <v>63593</v>
      </c>
      <c r="B806" s="198">
        <v>43584</v>
      </c>
      <c r="C806" s="197" t="s">
        <v>457</v>
      </c>
      <c r="D806" s="197" t="s">
        <v>718</v>
      </c>
      <c r="E806" s="197" t="s">
        <v>346</v>
      </c>
      <c r="F806" s="197" t="s">
        <v>414</v>
      </c>
      <c r="G806" s="199" t="s">
        <v>415</v>
      </c>
      <c r="H806" s="199" t="s">
        <v>296</v>
      </c>
      <c r="I806" s="199" t="s">
        <v>416</v>
      </c>
      <c r="J806" s="199" t="s">
        <v>350</v>
      </c>
      <c r="K806" s="197" t="s">
        <v>367</v>
      </c>
      <c r="L806" s="197" t="s">
        <v>378</v>
      </c>
      <c r="M806" s="200" t="s">
        <v>379</v>
      </c>
      <c r="N806" s="201">
        <v>50</v>
      </c>
      <c r="O806" s="202">
        <v>187680</v>
      </c>
      <c r="P806" s="203">
        <v>9384000</v>
      </c>
      <c r="Q806" s="203">
        <v>938400</v>
      </c>
      <c r="R806" s="203">
        <v>10322400</v>
      </c>
      <c r="S806" s="199"/>
      <c r="T806" s="199" t="s">
        <v>310</v>
      </c>
      <c r="U806" s="197">
        <v>61313</v>
      </c>
      <c r="V806" s="197"/>
      <c r="W806" s="196" t="s">
        <v>356</v>
      </c>
      <c r="X806" s="196" t="str">
        <f>+IFERROR(VLOOKUP($F806,'[2]Chuyển đổi mã'!$A$1:$C$91,3,0),$F806)&amp;AC806</f>
        <v>NPP00000119321238</v>
      </c>
      <c r="Y806" s="196" t="str">
        <f>+IFERROR(VLOOKUP($F806,'[2]Chuyển đổi mã'!$A$1:$C$184,3,0),F806)</f>
        <v>NPP00000119</v>
      </c>
      <c r="Z806" s="196" t="str">
        <f>VLOOKUP($G806,'[2]Thông tin NPP'!$B:$D,3,0)</f>
        <v>NGUYỄN DUNG</v>
      </c>
      <c r="AA806" s="196" t="str">
        <f t="shared" si="223"/>
        <v>Richoco Wf</v>
      </c>
      <c r="AB806" s="196" t="str">
        <f>+IFERROR(VLOOKUP(DAY(B806),'[2]Chuyển đổi mã'!$F$1:$G$32,2,0),0)</f>
        <v>W5</v>
      </c>
      <c r="AC806" s="196" t="str">
        <f t="shared" si="224"/>
        <v>321238</v>
      </c>
      <c r="AD806" s="196" t="str">
        <f t="shared" si="225"/>
        <v>NPP</v>
      </c>
      <c r="AE806" s="196" t="str">
        <f t="shared" si="226"/>
        <v>NPP321238</v>
      </c>
      <c r="AF806" s="196">
        <f t="shared" si="227"/>
        <v>0</v>
      </c>
    </row>
    <row r="807" spans="1:32" ht="12.95" hidden="1" customHeight="1">
      <c r="A807" s="197">
        <v>63593</v>
      </c>
      <c r="B807" s="198">
        <v>43584</v>
      </c>
      <c r="C807" s="197" t="s">
        <v>457</v>
      </c>
      <c r="D807" s="197" t="s">
        <v>718</v>
      </c>
      <c r="E807" s="197" t="s">
        <v>346</v>
      </c>
      <c r="F807" s="197" t="s">
        <v>414</v>
      </c>
      <c r="G807" s="199" t="s">
        <v>415</v>
      </c>
      <c r="H807" s="199" t="s">
        <v>296</v>
      </c>
      <c r="I807" s="199" t="s">
        <v>416</v>
      </c>
      <c r="J807" s="199" t="s">
        <v>350</v>
      </c>
      <c r="K807" s="197" t="s">
        <v>367</v>
      </c>
      <c r="L807" s="197" t="s">
        <v>359</v>
      </c>
      <c r="M807" s="200" t="s">
        <v>360</v>
      </c>
      <c r="N807" s="201">
        <v>200</v>
      </c>
      <c r="O807" s="202">
        <v>276000</v>
      </c>
      <c r="P807" s="203">
        <v>55200000</v>
      </c>
      <c r="Q807" s="203">
        <v>5520000</v>
      </c>
      <c r="R807" s="203">
        <v>60720000</v>
      </c>
      <c r="S807" s="199"/>
      <c r="T807" s="199" t="s">
        <v>310</v>
      </c>
      <c r="U807" s="197">
        <v>61313</v>
      </c>
      <c r="V807" s="197"/>
      <c r="W807" s="196" t="s">
        <v>356</v>
      </c>
      <c r="X807" s="196" t="str">
        <f>+IFERROR(VLOOKUP($F807,'[2]Chuyển đổi mã'!$A$1:$C$91,3,0),$F807)&amp;AC807</f>
        <v>NPP00000119320445</v>
      </c>
      <c r="Y807" s="196" t="str">
        <f>+IFERROR(VLOOKUP($F807,'[2]Chuyển đổi mã'!$A$1:$C$184,3,0),F807)</f>
        <v>NPP00000119</v>
      </c>
      <c r="Z807" s="196" t="str">
        <f>VLOOKUP($G807,'[2]Thông tin NPP'!$B:$D,3,0)</f>
        <v>NGUYỄN DUNG</v>
      </c>
      <c r="AA807" s="196" t="str">
        <f t="shared" si="223"/>
        <v>Na 58g</v>
      </c>
      <c r="AB807" s="196" t="str">
        <f>+IFERROR(VLOOKUP(DAY(B807),'[2]Chuyển đổi mã'!$F$1:$G$32,2,0),0)</f>
        <v>W5</v>
      </c>
      <c r="AC807" s="196" t="str">
        <f t="shared" si="224"/>
        <v>320445</v>
      </c>
      <c r="AD807" s="196" t="str">
        <f t="shared" si="225"/>
        <v>NPP</v>
      </c>
      <c r="AE807" s="196" t="str">
        <f t="shared" si="226"/>
        <v>NPP320445</v>
      </c>
      <c r="AF807" s="196">
        <f t="shared" si="227"/>
        <v>0</v>
      </c>
    </row>
    <row r="808" spans="1:32" ht="12.95" hidden="1" customHeight="1">
      <c r="A808" s="197">
        <v>63593</v>
      </c>
      <c r="B808" s="198">
        <v>43584</v>
      </c>
      <c r="C808" s="197" t="s">
        <v>457</v>
      </c>
      <c r="D808" s="197" t="s">
        <v>718</v>
      </c>
      <c r="E808" s="197" t="s">
        <v>346</v>
      </c>
      <c r="F808" s="197" t="s">
        <v>414</v>
      </c>
      <c r="G808" s="199" t="s">
        <v>415</v>
      </c>
      <c r="H808" s="199" t="s">
        <v>296</v>
      </c>
      <c r="I808" s="199" t="s">
        <v>416</v>
      </c>
      <c r="J808" s="199" t="s">
        <v>350</v>
      </c>
      <c r="K808" s="197" t="s">
        <v>367</v>
      </c>
      <c r="L808" s="197" t="s">
        <v>357</v>
      </c>
      <c r="M808" s="200" t="s">
        <v>358</v>
      </c>
      <c r="N808" s="201">
        <v>50</v>
      </c>
      <c r="O808" s="202">
        <v>187680</v>
      </c>
      <c r="P808" s="203">
        <v>9384000</v>
      </c>
      <c r="Q808" s="203">
        <v>938400</v>
      </c>
      <c r="R808" s="203">
        <v>10322400</v>
      </c>
      <c r="S808" s="199"/>
      <c r="T808" s="199" t="s">
        <v>310</v>
      </c>
      <c r="U808" s="197">
        <v>61313</v>
      </c>
      <c r="V808" s="197"/>
      <c r="W808" s="196" t="s">
        <v>356</v>
      </c>
      <c r="X808" s="196" t="str">
        <f>+IFERROR(VLOOKUP($F808,'[2]Chuyển đổi mã'!$A$1:$C$91,3,0),$F808)&amp;AC808</f>
        <v>NPP00000119323555</v>
      </c>
      <c r="Y808" s="196" t="str">
        <f>+IFERROR(VLOOKUP($F808,'[2]Chuyển đổi mã'!$A$1:$C$184,3,0),F808)</f>
        <v>NPP00000119</v>
      </c>
      <c r="Z808" s="196" t="str">
        <f>VLOOKUP($G808,'[2]Thông tin NPP'!$B:$D,3,0)</f>
        <v>NGUYỄN DUNG</v>
      </c>
      <c r="AA808" s="196" t="str">
        <f t="shared" si="223"/>
        <v>Na 17g - M</v>
      </c>
      <c r="AB808" s="196" t="str">
        <f>+IFERROR(VLOOKUP(DAY(B808),'[2]Chuyển đổi mã'!$F$1:$G$32,2,0),0)</f>
        <v>W5</v>
      </c>
      <c r="AC808" s="196" t="str">
        <f t="shared" si="224"/>
        <v>323555</v>
      </c>
      <c r="AD808" s="196" t="str">
        <f t="shared" si="225"/>
        <v>NPP</v>
      </c>
      <c r="AE808" s="196" t="str">
        <f t="shared" si="226"/>
        <v>NPP323555</v>
      </c>
      <c r="AF808" s="196">
        <f t="shared" si="227"/>
        <v>0</v>
      </c>
    </row>
    <row r="809" spans="1:32" ht="12.95" hidden="1" customHeight="1">
      <c r="A809" s="197">
        <v>63594</v>
      </c>
      <c r="B809" s="198">
        <v>43584</v>
      </c>
      <c r="C809" s="197" t="s">
        <v>457</v>
      </c>
      <c r="D809" s="197" t="s">
        <v>719</v>
      </c>
      <c r="E809" s="197" t="s">
        <v>346</v>
      </c>
      <c r="F809" s="197" t="s">
        <v>414</v>
      </c>
      <c r="G809" s="199" t="s">
        <v>415</v>
      </c>
      <c r="H809" s="199" t="s">
        <v>296</v>
      </c>
      <c r="I809" s="199" t="s">
        <v>416</v>
      </c>
      <c r="J809" s="199" t="s">
        <v>350</v>
      </c>
      <c r="K809" s="197" t="s">
        <v>367</v>
      </c>
      <c r="L809" s="197" t="s">
        <v>378</v>
      </c>
      <c r="M809" s="200" t="s">
        <v>379</v>
      </c>
      <c r="N809" s="201">
        <v>90</v>
      </c>
      <c r="O809" s="202">
        <v>187680</v>
      </c>
      <c r="P809" s="203">
        <v>16891200</v>
      </c>
      <c r="Q809" s="203">
        <v>1689120</v>
      </c>
      <c r="R809" s="203">
        <v>18580320</v>
      </c>
      <c r="S809" s="199"/>
      <c r="T809" s="199" t="s">
        <v>310</v>
      </c>
      <c r="U809" s="197">
        <v>61314</v>
      </c>
      <c r="V809" s="197"/>
      <c r="W809" s="196" t="s">
        <v>356</v>
      </c>
      <c r="X809" s="196" t="str">
        <f>+IFERROR(VLOOKUP($F809,'[2]Chuyển đổi mã'!$A$1:$C$91,3,0),$F809)&amp;AC809</f>
        <v>NPP00000119321238</v>
      </c>
      <c r="Y809" s="196" t="str">
        <f>+IFERROR(VLOOKUP($F809,'[2]Chuyển đổi mã'!$A$1:$C$184,3,0),F809)</f>
        <v>NPP00000119</v>
      </c>
      <c r="Z809" s="196" t="str">
        <f>VLOOKUP($G809,'[2]Thông tin NPP'!$B:$D,3,0)</f>
        <v>NGUYỄN DUNG</v>
      </c>
      <c r="AA809" s="196" t="str">
        <f t="shared" ref="AA809:AA838" si="228">+LEFT($M809,10)</f>
        <v>Richoco Wf</v>
      </c>
      <c r="AB809" s="196" t="str">
        <f>+IFERROR(VLOOKUP(DAY(B809),'[2]Chuyển đổi mã'!$F$1:$G$32,2,0),0)</f>
        <v>W5</v>
      </c>
      <c r="AC809" s="196" t="str">
        <f t="shared" ref="AC809:AC838" si="229">+LEFT(L809,6)</f>
        <v>321238</v>
      </c>
      <c r="AD809" s="196" t="str">
        <f t="shared" si="225"/>
        <v>NPP</v>
      </c>
      <c r="AE809" s="196" t="str">
        <f t="shared" si="226"/>
        <v>NPP321238</v>
      </c>
      <c r="AF809" s="196">
        <f t="shared" si="227"/>
        <v>0</v>
      </c>
    </row>
    <row r="810" spans="1:32" ht="12.95" hidden="1" customHeight="1">
      <c r="A810" s="197">
        <v>63594</v>
      </c>
      <c r="B810" s="198">
        <v>43584</v>
      </c>
      <c r="C810" s="197" t="s">
        <v>457</v>
      </c>
      <c r="D810" s="197" t="s">
        <v>719</v>
      </c>
      <c r="E810" s="197" t="s">
        <v>346</v>
      </c>
      <c r="F810" s="197" t="s">
        <v>414</v>
      </c>
      <c r="G810" s="199" t="s">
        <v>415</v>
      </c>
      <c r="H810" s="199" t="s">
        <v>296</v>
      </c>
      <c r="I810" s="199" t="s">
        <v>416</v>
      </c>
      <c r="J810" s="199" t="s">
        <v>350</v>
      </c>
      <c r="K810" s="197" t="s">
        <v>367</v>
      </c>
      <c r="L810" s="197" t="s">
        <v>359</v>
      </c>
      <c r="M810" s="200" t="s">
        <v>360</v>
      </c>
      <c r="N810" s="201">
        <v>141</v>
      </c>
      <c r="O810" s="202">
        <v>276000</v>
      </c>
      <c r="P810" s="203">
        <v>38916000</v>
      </c>
      <c r="Q810" s="203">
        <v>3891600</v>
      </c>
      <c r="R810" s="203">
        <v>42807600</v>
      </c>
      <c r="S810" s="199"/>
      <c r="T810" s="199" t="s">
        <v>310</v>
      </c>
      <c r="U810" s="197">
        <v>61314</v>
      </c>
      <c r="V810" s="197"/>
      <c r="W810" s="196" t="s">
        <v>356</v>
      </c>
      <c r="X810" s="196" t="str">
        <f>+IFERROR(VLOOKUP($F810,'[2]Chuyển đổi mã'!$A$1:$C$91,3,0),$F810)&amp;AC810</f>
        <v>NPP00000119320445</v>
      </c>
      <c r="Y810" s="196" t="str">
        <f>+IFERROR(VLOOKUP($F810,'[2]Chuyển đổi mã'!$A$1:$C$184,3,0),F810)</f>
        <v>NPP00000119</v>
      </c>
      <c r="Z810" s="196" t="str">
        <f>VLOOKUP($G810,'[2]Thông tin NPP'!$B:$D,3,0)</f>
        <v>NGUYỄN DUNG</v>
      </c>
      <c r="AA810" s="196" t="str">
        <f t="shared" si="228"/>
        <v>Na 58g</v>
      </c>
      <c r="AB810" s="196" t="str">
        <f>+IFERROR(VLOOKUP(DAY(B810),'[2]Chuyển đổi mã'!$F$1:$G$32,2,0),0)</f>
        <v>W5</v>
      </c>
      <c r="AC810" s="196" t="str">
        <f t="shared" si="229"/>
        <v>320445</v>
      </c>
      <c r="AD810" s="196" t="str">
        <f t="shared" si="225"/>
        <v>NPP</v>
      </c>
      <c r="AE810" s="196" t="str">
        <f t="shared" si="226"/>
        <v>NPP320445</v>
      </c>
      <c r="AF810" s="196">
        <f t="shared" si="227"/>
        <v>0</v>
      </c>
    </row>
    <row r="811" spans="1:32" ht="12.95" hidden="1" customHeight="1">
      <c r="A811" s="197">
        <v>63594</v>
      </c>
      <c r="B811" s="198">
        <v>43584</v>
      </c>
      <c r="C811" s="197" t="s">
        <v>457</v>
      </c>
      <c r="D811" s="197" t="s">
        <v>719</v>
      </c>
      <c r="E811" s="197" t="s">
        <v>346</v>
      </c>
      <c r="F811" s="197" t="s">
        <v>414</v>
      </c>
      <c r="G811" s="199" t="s">
        <v>415</v>
      </c>
      <c r="H811" s="199" t="s">
        <v>296</v>
      </c>
      <c r="I811" s="199" t="s">
        <v>416</v>
      </c>
      <c r="J811" s="199" t="s">
        <v>350</v>
      </c>
      <c r="K811" s="197" t="s">
        <v>367</v>
      </c>
      <c r="L811" s="197" t="s">
        <v>387</v>
      </c>
      <c r="M811" s="200" t="s">
        <v>388</v>
      </c>
      <c r="N811" s="201">
        <v>20</v>
      </c>
      <c r="O811" s="202">
        <v>312800</v>
      </c>
      <c r="P811" s="203">
        <v>6256000</v>
      </c>
      <c r="Q811" s="203">
        <v>625600</v>
      </c>
      <c r="R811" s="203">
        <v>6881600</v>
      </c>
      <c r="S811" s="199"/>
      <c r="T811" s="199" t="s">
        <v>310</v>
      </c>
      <c r="U811" s="197">
        <v>61314</v>
      </c>
      <c r="V811" s="197"/>
      <c r="W811" s="196" t="s">
        <v>356</v>
      </c>
      <c r="X811" s="196" t="str">
        <f>+IFERROR(VLOOKUP($F811,'[2]Chuyển đổi mã'!$A$1:$C$91,3,0),$F811)&amp;AC811</f>
        <v>NPP00000119323620</v>
      </c>
      <c r="Y811" s="196" t="str">
        <f>+IFERROR(VLOOKUP($F811,'[2]Chuyển đổi mã'!$A$1:$C$184,3,0),F811)</f>
        <v>NPP00000119</v>
      </c>
      <c r="Z811" s="196" t="str">
        <f>VLOOKUP($G811,'[2]Thông tin NPP'!$B:$D,3,0)</f>
        <v>NGUYỄN DUNG</v>
      </c>
      <c r="AA811" s="196" t="str">
        <f t="shared" si="228"/>
        <v>Ahh 16g</v>
      </c>
      <c r="AB811" s="196" t="str">
        <f>+IFERROR(VLOOKUP(DAY(B811),'[2]Chuyển đổi mã'!$F$1:$G$32,2,0),0)</f>
        <v>W5</v>
      </c>
      <c r="AC811" s="196" t="str">
        <f t="shared" si="229"/>
        <v>323620</v>
      </c>
      <c r="AD811" s="196" t="str">
        <f t="shared" si="225"/>
        <v>NPP</v>
      </c>
      <c r="AE811" s="196" t="str">
        <f t="shared" si="226"/>
        <v>NPP323620</v>
      </c>
      <c r="AF811" s="196">
        <f t="shared" si="227"/>
        <v>0</v>
      </c>
    </row>
    <row r="812" spans="1:32" ht="12.95" hidden="1" customHeight="1">
      <c r="A812" s="197">
        <v>63595</v>
      </c>
      <c r="B812" s="198">
        <v>43584</v>
      </c>
      <c r="C812" s="197" t="s">
        <v>457</v>
      </c>
      <c r="D812" s="197" t="s">
        <v>720</v>
      </c>
      <c r="E812" s="197" t="s">
        <v>346</v>
      </c>
      <c r="F812" s="197" t="s">
        <v>414</v>
      </c>
      <c r="G812" s="199" t="s">
        <v>415</v>
      </c>
      <c r="H812" s="199" t="s">
        <v>296</v>
      </c>
      <c r="I812" s="199" t="s">
        <v>416</v>
      </c>
      <c r="J812" s="199" t="s">
        <v>350</v>
      </c>
      <c r="K812" s="197" t="s">
        <v>367</v>
      </c>
      <c r="L812" s="197" t="s">
        <v>378</v>
      </c>
      <c r="M812" s="200" t="s">
        <v>379</v>
      </c>
      <c r="N812" s="201">
        <v>50</v>
      </c>
      <c r="O812" s="202">
        <v>187680</v>
      </c>
      <c r="P812" s="203">
        <v>9384000</v>
      </c>
      <c r="Q812" s="203">
        <v>938400</v>
      </c>
      <c r="R812" s="203">
        <v>10322400</v>
      </c>
      <c r="S812" s="199"/>
      <c r="T812" s="199" t="s">
        <v>310</v>
      </c>
      <c r="U812" s="197">
        <v>61315</v>
      </c>
      <c r="V812" s="197"/>
      <c r="W812" s="196" t="s">
        <v>356</v>
      </c>
      <c r="X812" s="196" t="str">
        <f>+IFERROR(VLOOKUP($F812,'[2]Chuyển đổi mã'!$A$1:$C$91,3,0),$F812)&amp;AC812</f>
        <v>NPP00000119321238</v>
      </c>
      <c r="Y812" s="196" t="str">
        <f>+IFERROR(VLOOKUP($F812,'[2]Chuyển đổi mã'!$A$1:$C$184,3,0),F812)</f>
        <v>NPP00000119</v>
      </c>
      <c r="Z812" s="196" t="str">
        <f>VLOOKUP($G812,'[2]Thông tin NPP'!$B:$D,3,0)</f>
        <v>NGUYỄN DUNG</v>
      </c>
      <c r="AA812" s="196" t="str">
        <f t="shared" si="228"/>
        <v>Richoco Wf</v>
      </c>
      <c r="AB812" s="196" t="str">
        <f>+IFERROR(VLOOKUP(DAY(B812),'[2]Chuyển đổi mã'!$F$1:$G$32,2,0),0)</f>
        <v>W5</v>
      </c>
      <c r="AC812" s="196" t="str">
        <f t="shared" si="229"/>
        <v>321238</v>
      </c>
      <c r="AD812" s="196" t="str">
        <f t="shared" si="225"/>
        <v>NPP</v>
      </c>
      <c r="AE812" s="196" t="str">
        <f t="shared" si="226"/>
        <v>NPP321238</v>
      </c>
      <c r="AF812" s="196">
        <f t="shared" si="227"/>
        <v>0</v>
      </c>
    </row>
    <row r="813" spans="1:32" ht="12.95" hidden="1" customHeight="1">
      <c r="A813" s="197">
        <v>63595</v>
      </c>
      <c r="B813" s="198">
        <v>43584</v>
      </c>
      <c r="C813" s="197" t="s">
        <v>457</v>
      </c>
      <c r="D813" s="197" t="s">
        <v>720</v>
      </c>
      <c r="E813" s="197" t="s">
        <v>346</v>
      </c>
      <c r="F813" s="197" t="s">
        <v>414</v>
      </c>
      <c r="G813" s="199" t="s">
        <v>415</v>
      </c>
      <c r="H813" s="199" t="s">
        <v>296</v>
      </c>
      <c r="I813" s="199" t="s">
        <v>416</v>
      </c>
      <c r="J813" s="199" t="s">
        <v>350</v>
      </c>
      <c r="K813" s="197" t="s">
        <v>367</v>
      </c>
      <c r="L813" s="197" t="s">
        <v>359</v>
      </c>
      <c r="M813" s="200" t="s">
        <v>360</v>
      </c>
      <c r="N813" s="201">
        <v>250</v>
      </c>
      <c r="O813" s="202">
        <v>276000</v>
      </c>
      <c r="P813" s="203">
        <v>69000000</v>
      </c>
      <c r="Q813" s="203">
        <v>6900000</v>
      </c>
      <c r="R813" s="203">
        <v>75900000</v>
      </c>
      <c r="S813" s="199"/>
      <c r="T813" s="199" t="s">
        <v>310</v>
      </c>
      <c r="U813" s="197">
        <v>61315</v>
      </c>
      <c r="V813" s="197"/>
      <c r="W813" s="196" t="s">
        <v>356</v>
      </c>
      <c r="X813" s="196" t="str">
        <f>+IFERROR(VLOOKUP($F813,'[2]Chuyển đổi mã'!$A$1:$C$91,3,0),$F813)&amp;AC813</f>
        <v>NPP00000119320445</v>
      </c>
      <c r="Y813" s="196" t="str">
        <f>+IFERROR(VLOOKUP($F813,'[2]Chuyển đổi mã'!$A$1:$C$184,3,0),F813)</f>
        <v>NPP00000119</v>
      </c>
      <c r="Z813" s="196" t="str">
        <f>VLOOKUP($G813,'[2]Thông tin NPP'!$B:$D,3,0)</f>
        <v>NGUYỄN DUNG</v>
      </c>
      <c r="AA813" s="196" t="str">
        <f t="shared" si="228"/>
        <v>Na 58g</v>
      </c>
      <c r="AB813" s="196" t="str">
        <f>+IFERROR(VLOOKUP(DAY(B813),'[2]Chuyển đổi mã'!$F$1:$G$32,2,0),0)</f>
        <v>W5</v>
      </c>
      <c r="AC813" s="196" t="str">
        <f t="shared" si="229"/>
        <v>320445</v>
      </c>
      <c r="AD813" s="196" t="str">
        <f t="shared" si="225"/>
        <v>NPP</v>
      </c>
      <c r="AE813" s="196" t="str">
        <f t="shared" si="226"/>
        <v>NPP320445</v>
      </c>
      <c r="AF813" s="196">
        <f t="shared" si="227"/>
        <v>0</v>
      </c>
    </row>
    <row r="814" spans="1:32" ht="12.95" hidden="1" customHeight="1">
      <c r="A814" s="197">
        <v>63596</v>
      </c>
      <c r="B814" s="198">
        <v>43584</v>
      </c>
      <c r="C814" s="197" t="s">
        <v>457</v>
      </c>
      <c r="D814" s="197" t="s">
        <v>721</v>
      </c>
      <c r="E814" s="197" t="s">
        <v>346</v>
      </c>
      <c r="F814" s="197" t="s">
        <v>414</v>
      </c>
      <c r="G814" s="199" t="s">
        <v>415</v>
      </c>
      <c r="H814" s="199" t="s">
        <v>296</v>
      </c>
      <c r="I814" s="199" t="s">
        <v>416</v>
      </c>
      <c r="J814" s="199" t="s">
        <v>350</v>
      </c>
      <c r="K814" s="197" t="s">
        <v>367</v>
      </c>
      <c r="L814" s="197" t="s">
        <v>378</v>
      </c>
      <c r="M814" s="200" t="s">
        <v>379</v>
      </c>
      <c r="N814" s="201">
        <v>50</v>
      </c>
      <c r="O814" s="202">
        <v>187680</v>
      </c>
      <c r="P814" s="203">
        <v>9384000</v>
      </c>
      <c r="Q814" s="203">
        <v>938400</v>
      </c>
      <c r="R814" s="203">
        <v>10322400</v>
      </c>
      <c r="S814" s="199"/>
      <c r="T814" s="199" t="s">
        <v>310</v>
      </c>
      <c r="U814" s="197">
        <v>61316</v>
      </c>
      <c r="V814" s="197"/>
      <c r="W814" s="196" t="s">
        <v>356</v>
      </c>
      <c r="X814" s="196" t="str">
        <f>+IFERROR(VLOOKUP($F814,'[2]Chuyển đổi mã'!$A$1:$C$91,3,0),$F814)&amp;AC814</f>
        <v>NPP00000119321238</v>
      </c>
      <c r="Y814" s="196" t="str">
        <f>+IFERROR(VLOOKUP($F814,'[2]Chuyển đổi mã'!$A$1:$C$184,3,0),F814)</f>
        <v>NPP00000119</v>
      </c>
      <c r="Z814" s="196" t="str">
        <f>VLOOKUP($G814,'[2]Thông tin NPP'!$B:$D,3,0)</f>
        <v>NGUYỄN DUNG</v>
      </c>
      <c r="AA814" s="196" t="str">
        <f t="shared" si="228"/>
        <v>Richoco Wf</v>
      </c>
      <c r="AB814" s="196" t="str">
        <f>+IFERROR(VLOOKUP(DAY(B814),'[2]Chuyển đổi mã'!$F$1:$G$32,2,0),0)</f>
        <v>W5</v>
      </c>
      <c r="AC814" s="196" t="str">
        <f t="shared" si="229"/>
        <v>321238</v>
      </c>
      <c r="AD814" s="196" t="str">
        <f t="shared" si="225"/>
        <v>NPP</v>
      </c>
      <c r="AE814" s="196" t="str">
        <f t="shared" si="226"/>
        <v>NPP321238</v>
      </c>
      <c r="AF814" s="196">
        <f t="shared" si="227"/>
        <v>0</v>
      </c>
    </row>
    <row r="815" spans="1:32" ht="12.95" hidden="1" customHeight="1">
      <c r="A815" s="197">
        <v>63596</v>
      </c>
      <c r="B815" s="198">
        <v>43584</v>
      </c>
      <c r="C815" s="197" t="s">
        <v>457</v>
      </c>
      <c r="D815" s="197" t="s">
        <v>721</v>
      </c>
      <c r="E815" s="197" t="s">
        <v>346</v>
      </c>
      <c r="F815" s="197" t="s">
        <v>414</v>
      </c>
      <c r="G815" s="199" t="s">
        <v>415</v>
      </c>
      <c r="H815" s="199" t="s">
        <v>296</v>
      </c>
      <c r="I815" s="199" t="s">
        <v>416</v>
      </c>
      <c r="J815" s="199" t="s">
        <v>350</v>
      </c>
      <c r="K815" s="197" t="s">
        <v>367</v>
      </c>
      <c r="L815" s="197" t="s">
        <v>359</v>
      </c>
      <c r="M815" s="200" t="s">
        <v>360</v>
      </c>
      <c r="N815" s="201">
        <v>125</v>
      </c>
      <c r="O815" s="202">
        <v>276000</v>
      </c>
      <c r="P815" s="203">
        <v>34500000</v>
      </c>
      <c r="Q815" s="203">
        <v>3450000</v>
      </c>
      <c r="R815" s="203">
        <v>37950000</v>
      </c>
      <c r="S815" s="199"/>
      <c r="T815" s="199" t="s">
        <v>310</v>
      </c>
      <c r="U815" s="197">
        <v>61316</v>
      </c>
      <c r="V815" s="197"/>
      <c r="W815" s="196" t="s">
        <v>356</v>
      </c>
      <c r="X815" s="196" t="str">
        <f>+IFERROR(VLOOKUP($F815,'[2]Chuyển đổi mã'!$A$1:$C$91,3,0),$F815)&amp;AC815</f>
        <v>NPP00000119320445</v>
      </c>
      <c r="Y815" s="196" t="str">
        <f>+IFERROR(VLOOKUP($F815,'[2]Chuyển đổi mã'!$A$1:$C$184,3,0),F815)</f>
        <v>NPP00000119</v>
      </c>
      <c r="Z815" s="196" t="str">
        <f>VLOOKUP($G815,'[2]Thông tin NPP'!$B:$D,3,0)</f>
        <v>NGUYỄN DUNG</v>
      </c>
      <c r="AA815" s="196" t="str">
        <f t="shared" si="228"/>
        <v>Na 58g</v>
      </c>
      <c r="AB815" s="196" t="str">
        <f>+IFERROR(VLOOKUP(DAY(B815),'[2]Chuyển đổi mã'!$F$1:$G$32,2,0),0)</f>
        <v>W5</v>
      </c>
      <c r="AC815" s="196" t="str">
        <f t="shared" si="229"/>
        <v>320445</v>
      </c>
      <c r="AD815" s="196" t="str">
        <f t="shared" si="225"/>
        <v>NPP</v>
      </c>
      <c r="AE815" s="196" t="str">
        <f t="shared" si="226"/>
        <v>NPP320445</v>
      </c>
      <c r="AF815" s="196">
        <f t="shared" si="227"/>
        <v>0</v>
      </c>
    </row>
    <row r="816" spans="1:32" ht="12.95" hidden="1" customHeight="1">
      <c r="A816" s="197">
        <v>63596</v>
      </c>
      <c r="B816" s="198">
        <v>43584</v>
      </c>
      <c r="C816" s="197" t="s">
        <v>457</v>
      </c>
      <c r="D816" s="197" t="s">
        <v>721</v>
      </c>
      <c r="E816" s="197" t="s">
        <v>346</v>
      </c>
      <c r="F816" s="197" t="s">
        <v>414</v>
      </c>
      <c r="G816" s="199" t="s">
        <v>415</v>
      </c>
      <c r="H816" s="199" t="s">
        <v>296</v>
      </c>
      <c r="I816" s="199" t="s">
        <v>416</v>
      </c>
      <c r="J816" s="199" t="s">
        <v>350</v>
      </c>
      <c r="K816" s="197" t="s">
        <v>367</v>
      </c>
      <c r="L816" s="197" t="s">
        <v>357</v>
      </c>
      <c r="M816" s="200" t="s">
        <v>358</v>
      </c>
      <c r="N816" s="201">
        <v>65</v>
      </c>
      <c r="O816" s="202">
        <v>187680</v>
      </c>
      <c r="P816" s="203">
        <v>12199200</v>
      </c>
      <c r="Q816" s="203">
        <v>1219920</v>
      </c>
      <c r="R816" s="203">
        <v>13419120</v>
      </c>
      <c r="S816" s="199"/>
      <c r="T816" s="199" t="s">
        <v>310</v>
      </c>
      <c r="U816" s="197">
        <v>61316</v>
      </c>
      <c r="V816" s="197"/>
      <c r="W816" s="196" t="s">
        <v>356</v>
      </c>
      <c r="X816" s="196" t="str">
        <f>+IFERROR(VLOOKUP($F816,'[2]Chuyển đổi mã'!$A$1:$C$91,3,0),$F816)&amp;AC816</f>
        <v>NPP00000119323555</v>
      </c>
      <c r="Y816" s="196" t="str">
        <f>+IFERROR(VLOOKUP($F816,'[2]Chuyển đổi mã'!$A$1:$C$184,3,0),F816)</f>
        <v>NPP00000119</v>
      </c>
      <c r="Z816" s="196" t="str">
        <f>VLOOKUP($G816,'[2]Thông tin NPP'!$B:$D,3,0)</f>
        <v>NGUYỄN DUNG</v>
      </c>
      <c r="AA816" s="196" t="str">
        <f t="shared" si="228"/>
        <v>Na 17g - M</v>
      </c>
      <c r="AB816" s="196" t="str">
        <f>+IFERROR(VLOOKUP(DAY(B816),'[2]Chuyển đổi mã'!$F$1:$G$32,2,0),0)</f>
        <v>W5</v>
      </c>
      <c r="AC816" s="196" t="str">
        <f t="shared" si="229"/>
        <v>323555</v>
      </c>
      <c r="AD816" s="196" t="str">
        <f t="shared" si="225"/>
        <v>NPP</v>
      </c>
      <c r="AE816" s="196" t="str">
        <f t="shared" si="226"/>
        <v>NPP323555</v>
      </c>
      <c r="AF816" s="196">
        <f t="shared" si="227"/>
        <v>0</v>
      </c>
    </row>
    <row r="817" spans="1:32" ht="12.95" hidden="1" customHeight="1">
      <c r="A817" s="197">
        <v>63596</v>
      </c>
      <c r="B817" s="198">
        <v>43584</v>
      </c>
      <c r="C817" s="197" t="s">
        <v>457</v>
      </c>
      <c r="D817" s="197" t="s">
        <v>721</v>
      </c>
      <c r="E817" s="197" t="s">
        <v>346</v>
      </c>
      <c r="F817" s="197" t="s">
        <v>414</v>
      </c>
      <c r="G817" s="199" t="s">
        <v>415</v>
      </c>
      <c r="H817" s="199" t="s">
        <v>296</v>
      </c>
      <c r="I817" s="199" t="s">
        <v>416</v>
      </c>
      <c r="J817" s="199" t="s">
        <v>350</v>
      </c>
      <c r="K817" s="197" t="s">
        <v>367</v>
      </c>
      <c r="L817" s="197" t="s">
        <v>408</v>
      </c>
      <c r="M817" s="200" t="s">
        <v>409</v>
      </c>
      <c r="N817" s="201">
        <v>40</v>
      </c>
      <c r="O817" s="202">
        <v>176640</v>
      </c>
      <c r="P817" s="203">
        <v>7065600</v>
      </c>
      <c r="Q817" s="203">
        <v>706560</v>
      </c>
      <c r="R817" s="203">
        <v>7772160</v>
      </c>
      <c r="S817" s="199"/>
      <c r="T817" s="199" t="s">
        <v>310</v>
      </c>
      <c r="U817" s="197">
        <v>61316</v>
      </c>
      <c r="V817" s="197"/>
      <c r="W817" s="196" t="s">
        <v>356</v>
      </c>
      <c r="X817" s="196" t="str">
        <f>+IFERROR(VLOOKUP($F817,'[2]Chuyển đổi mã'!$A$1:$C$91,3,0),$F817)&amp;AC817</f>
        <v>NPP00000119324136</v>
      </c>
      <c r="Y817" s="196" t="str">
        <f>+IFERROR(VLOOKUP($F817,'[2]Chuyển đổi mã'!$A$1:$C$184,3,0),F817)</f>
        <v>NPP00000119</v>
      </c>
      <c r="Z817" s="196" t="str">
        <f>VLOOKUP($G817,'[2]Thông tin NPP'!$B:$D,3,0)</f>
        <v>NGUYỄN DUNG</v>
      </c>
      <c r="AA817" s="196" t="str">
        <f t="shared" si="228"/>
        <v>Na 145g</v>
      </c>
      <c r="AB817" s="196" t="str">
        <f>+IFERROR(VLOOKUP(DAY(B817),'[2]Chuyển đổi mã'!$F$1:$G$32,2,0),0)</f>
        <v>W5</v>
      </c>
      <c r="AC817" s="196" t="str">
        <f t="shared" si="229"/>
        <v>324136</v>
      </c>
      <c r="AD817" s="196" t="str">
        <f t="shared" si="225"/>
        <v>NPP</v>
      </c>
      <c r="AE817" s="196" t="str">
        <f t="shared" si="226"/>
        <v>NPP324136</v>
      </c>
      <c r="AF817" s="196">
        <f t="shared" si="227"/>
        <v>0</v>
      </c>
    </row>
    <row r="818" spans="1:32" ht="12.95" hidden="1" customHeight="1">
      <c r="A818" s="197">
        <v>63596</v>
      </c>
      <c r="B818" s="198">
        <v>43584</v>
      </c>
      <c r="C818" s="197" t="s">
        <v>457</v>
      </c>
      <c r="D818" s="197" t="s">
        <v>721</v>
      </c>
      <c r="E818" s="197" t="s">
        <v>346</v>
      </c>
      <c r="F818" s="197" t="s">
        <v>414</v>
      </c>
      <c r="G818" s="199" t="s">
        <v>415</v>
      </c>
      <c r="H818" s="199" t="s">
        <v>296</v>
      </c>
      <c r="I818" s="199" t="s">
        <v>416</v>
      </c>
      <c r="J818" s="199" t="s">
        <v>350</v>
      </c>
      <c r="K818" s="197" t="s">
        <v>367</v>
      </c>
      <c r="L818" s="197" t="s">
        <v>387</v>
      </c>
      <c r="M818" s="200" t="s">
        <v>388</v>
      </c>
      <c r="N818" s="201">
        <v>20</v>
      </c>
      <c r="O818" s="202">
        <v>312800</v>
      </c>
      <c r="P818" s="203">
        <v>6256000</v>
      </c>
      <c r="Q818" s="203">
        <v>625600</v>
      </c>
      <c r="R818" s="203">
        <v>6881600</v>
      </c>
      <c r="S818" s="199"/>
      <c r="T818" s="199" t="s">
        <v>310</v>
      </c>
      <c r="U818" s="197">
        <v>61316</v>
      </c>
      <c r="V818" s="197"/>
      <c r="W818" s="196" t="s">
        <v>356</v>
      </c>
      <c r="X818" s="196" t="str">
        <f>+IFERROR(VLOOKUP($F818,'[2]Chuyển đổi mã'!$A$1:$C$91,3,0),$F818)&amp;AC818</f>
        <v>NPP00000119323620</v>
      </c>
      <c r="Y818" s="196" t="str">
        <f>+IFERROR(VLOOKUP($F818,'[2]Chuyển đổi mã'!$A$1:$C$184,3,0),F818)</f>
        <v>NPP00000119</v>
      </c>
      <c r="Z818" s="196" t="str">
        <f>VLOOKUP($G818,'[2]Thông tin NPP'!$B:$D,3,0)</f>
        <v>NGUYỄN DUNG</v>
      </c>
      <c r="AA818" s="196" t="str">
        <f t="shared" si="228"/>
        <v>Ahh 16g</v>
      </c>
      <c r="AB818" s="196" t="str">
        <f>+IFERROR(VLOOKUP(DAY(B818),'[2]Chuyển đổi mã'!$F$1:$G$32,2,0),0)</f>
        <v>W5</v>
      </c>
      <c r="AC818" s="196" t="str">
        <f t="shared" si="229"/>
        <v>323620</v>
      </c>
      <c r="AD818" s="196" t="str">
        <f t="shared" si="225"/>
        <v>NPP</v>
      </c>
      <c r="AE818" s="196" t="str">
        <f t="shared" si="226"/>
        <v>NPP323620</v>
      </c>
      <c r="AF818" s="196">
        <f t="shared" si="227"/>
        <v>0</v>
      </c>
    </row>
    <row r="819" spans="1:32" ht="12.95" hidden="1" customHeight="1">
      <c r="A819" s="197">
        <v>63611</v>
      </c>
      <c r="B819" s="198">
        <v>43584</v>
      </c>
      <c r="C819" s="197" t="s">
        <v>457</v>
      </c>
      <c r="D819" s="197" t="s">
        <v>722</v>
      </c>
      <c r="E819" s="197" t="s">
        <v>346</v>
      </c>
      <c r="F819" s="197" t="s">
        <v>414</v>
      </c>
      <c r="G819" s="199" t="s">
        <v>415</v>
      </c>
      <c r="H819" s="199" t="s">
        <v>296</v>
      </c>
      <c r="I819" s="199" t="s">
        <v>416</v>
      </c>
      <c r="J819" s="199" t="s">
        <v>350</v>
      </c>
      <c r="K819" s="197" t="s">
        <v>367</v>
      </c>
      <c r="L819" s="197" t="s">
        <v>352</v>
      </c>
      <c r="M819" s="200" t="s">
        <v>353</v>
      </c>
      <c r="N819" s="201">
        <v>200</v>
      </c>
      <c r="O819" s="202">
        <v>107728.25</v>
      </c>
      <c r="P819" s="203">
        <v>21545650</v>
      </c>
      <c r="Q819" s="203">
        <v>2154565</v>
      </c>
      <c r="R819" s="203">
        <v>23700215</v>
      </c>
      <c r="S819" s="199" t="s">
        <v>723</v>
      </c>
      <c r="T819" s="199" t="s">
        <v>724</v>
      </c>
      <c r="U819" s="197">
        <v>61317</v>
      </c>
      <c r="V819" s="197"/>
      <c r="W819" s="196" t="s">
        <v>356</v>
      </c>
      <c r="X819" s="196" t="str">
        <f>+IFERROR(VLOOKUP($F819,'[2]Chuyển đổi mã'!$A$1:$C$91,3,0),$F819)&amp;AC819</f>
        <v>NPP00000119320463</v>
      </c>
      <c r="Y819" s="196" t="str">
        <f>+IFERROR(VLOOKUP($F819,'[2]Chuyển đổi mã'!$A$1:$C$184,3,0),F819)</f>
        <v>NPP00000119</v>
      </c>
      <c r="Z819" s="196" t="str">
        <f>VLOOKUP($G819,'[2]Thông tin NPP'!$B:$D,3,0)</f>
        <v>NGUYỄN DUNG</v>
      </c>
      <c r="AA819" s="196" t="str">
        <f t="shared" si="228"/>
        <v>Na 8,5g</v>
      </c>
      <c r="AB819" s="196" t="str">
        <f>+IFERROR(VLOOKUP(DAY(B819),'[2]Chuyển đổi mã'!$F$1:$G$32,2,0),0)</f>
        <v>W5</v>
      </c>
      <c r="AC819" s="196" t="str">
        <f t="shared" si="229"/>
        <v>320463</v>
      </c>
      <c r="AD819" s="196" t="str">
        <f t="shared" ref="AD819:AD852" si="230">LEFT(F819,3)</f>
        <v>NPP</v>
      </c>
      <c r="AE819" s="196" t="str">
        <f t="shared" ref="AE819:AE852" si="231">AD819&amp;AC819</f>
        <v>NPP320463</v>
      </c>
      <c r="AF819" s="196">
        <f t="shared" ref="AF819:AF852" si="232">IF(RIGHT(L819,1)="P","P",0)</f>
        <v>0</v>
      </c>
    </row>
    <row r="820" spans="1:32" ht="12.95" hidden="1" customHeight="1">
      <c r="A820" s="197">
        <v>63611</v>
      </c>
      <c r="B820" s="198">
        <v>43584</v>
      </c>
      <c r="C820" s="197" t="s">
        <v>457</v>
      </c>
      <c r="D820" s="197" t="s">
        <v>722</v>
      </c>
      <c r="E820" s="197" t="s">
        <v>346</v>
      </c>
      <c r="F820" s="197" t="s">
        <v>414</v>
      </c>
      <c r="G820" s="199" t="s">
        <v>415</v>
      </c>
      <c r="H820" s="199" t="s">
        <v>296</v>
      </c>
      <c r="I820" s="199" t="s">
        <v>416</v>
      </c>
      <c r="J820" s="199" t="s">
        <v>350</v>
      </c>
      <c r="K820" s="197" t="s">
        <v>367</v>
      </c>
      <c r="L820" s="197" t="s">
        <v>378</v>
      </c>
      <c r="M820" s="200" t="s">
        <v>379</v>
      </c>
      <c r="N820" s="201">
        <v>50</v>
      </c>
      <c r="O820" s="202">
        <v>187680</v>
      </c>
      <c r="P820" s="203">
        <v>9384000</v>
      </c>
      <c r="Q820" s="203">
        <v>938400</v>
      </c>
      <c r="R820" s="203">
        <v>10322400</v>
      </c>
      <c r="S820" s="199"/>
      <c r="T820" s="199" t="s">
        <v>310</v>
      </c>
      <c r="U820" s="197">
        <v>61317</v>
      </c>
      <c r="V820" s="197"/>
      <c r="W820" s="196" t="s">
        <v>356</v>
      </c>
      <c r="X820" s="196" t="str">
        <f>+IFERROR(VLOOKUP($F820,'[2]Chuyển đổi mã'!$A$1:$C$91,3,0),$F820)&amp;AC820</f>
        <v>NPP00000119321238</v>
      </c>
      <c r="Y820" s="196" t="str">
        <f>+IFERROR(VLOOKUP($F820,'[2]Chuyển đổi mã'!$A$1:$C$184,3,0),F820)</f>
        <v>NPP00000119</v>
      </c>
      <c r="Z820" s="196" t="str">
        <f>VLOOKUP($G820,'[2]Thông tin NPP'!$B:$D,3,0)</f>
        <v>NGUYỄN DUNG</v>
      </c>
      <c r="AA820" s="196" t="str">
        <f t="shared" si="228"/>
        <v>Richoco Wf</v>
      </c>
      <c r="AB820" s="196" t="str">
        <f>+IFERROR(VLOOKUP(DAY(B820),'[2]Chuyển đổi mã'!$F$1:$G$32,2,0),0)</f>
        <v>W5</v>
      </c>
      <c r="AC820" s="196" t="str">
        <f t="shared" si="229"/>
        <v>321238</v>
      </c>
      <c r="AD820" s="196" t="str">
        <f t="shared" si="230"/>
        <v>NPP</v>
      </c>
      <c r="AE820" s="196" t="str">
        <f t="shared" si="231"/>
        <v>NPP321238</v>
      </c>
      <c r="AF820" s="196">
        <f t="shared" si="232"/>
        <v>0</v>
      </c>
    </row>
    <row r="821" spans="1:32" ht="12.95" hidden="1" customHeight="1">
      <c r="A821" s="197">
        <v>63611</v>
      </c>
      <c r="B821" s="198">
        <v>43584</v>
      </c>
      <c r="C821" s="197" t="s">
        <v>457</v>
      </c>
      <c r="D821" s="197" t="s">
        <v>722</v>
      </c>
      <c r="E821" s="197" t="s">
        <v>346</v>
      </c>
      <c r="F821" s="197" t="s">
        <v>414</v>
      </c>
      <c r="G821" s="199" t="s">
        <v>415</v>
      </c>
      <c r="H821" s="199" t="s">
        <v>296</v>
      </c>
      <c r="I821" s="199" t="s">
        <v>416</v>
      </c>
      <c r="J821" s="199" t="s">
        <v>350</v>
      </c>
      <c r="K821" s="197" t="s">
        <v>367</v>
      </c>
      <c r="L821" s="197" t="s">
        <v>359</v>
      </c>
      <c r="M821" s="200" t="s">
        <v>360</v>
      </c>
      <c r="N821" s="201">
        <v>50</v>
      </c>
      <c r="O821" s="202">
        <v>276000</v>
      </c>
      <c r="P821" s="203">
        <v>13800000</v>
      </c>
      <c r="Q821" s="203">
        <v>1380000</v>
      </c>
      <c r="R821" s="203">
        <v>15180000</v>
      </c>
      <c r="S821" s="199"/>
      <c r="T821" s="199" t="s">
        <v>310</v>
      </c>
      <c r="U821" s="197">
        <v>61317</v>
      </c>
      <c r="V821" s="197"/>
      <c r="W821" s="196" t="s">
        <v>356</v>
      </c>
      <c r="X821" s="196" t="str">
        <f>+IFERROR(VLOOKUP($F821,'[2]Chuyển đổi mã'!$A$1:$C$91,3,0),$F821)&amp;AC821</f>
        <v>NPP00000119320445</v>
      </c>
      <c r="Y821" s="196" t="str">
        <f>+IFERROR(VLOOKUP($F821,'[2]Chuyển đổi mã'!$A$1:$C$184,3,0),F821)</f>
        <v>NPP00000119</v>
      </c>
      <c r="Z821" s="196" t="str">
        <f>VLOOKUP($G821,'[2]Thông tin NPP'!$B:$D,3,0)</f>
        <v>NGUYỄN DUNG</v>
      </c>
      <c r="AA821" s="196" t="str">
        <f t="shared" si="228"/>
        <v>Na 58g</v>
      </c>
      <c r="AB821" s="196" t="str">
        <f>+IFERROR(VLOOKUP(DAY(B821),'[2]Chuyển đổi mã'!$F$1:$G$32,2,0),0)</f>
        <v>W5</v>
      </c>
      <c r="AC821" s="196" t="str">
        <f t="shared" si="229"/>
        <v>320445</v>
      </c>
      <c r="AD821" s="196" t="str">
        <f t="shared" si="230"/>
        <v>NPP</v>
      </c>
      <c r="AE821" s="196" t="str">
        <f t="shared" si="231"/>
        <v>NPP320445</v>
      </c>
      <c r="AF821" s="196">
        <f t="shared" si="232"/>
        <v>0</v>
      </c>
    </row>
    <row r="822" spans="1:32" ht="12.95" hidden="1" customHeight="1">
      <c r="A822" s="197">
        <v>63611</v>
      </c>
      <c r="B822" s="198">
        <v>43584</v>
      </c>
      <c r="C822" s="197" t="s">
        <v>457</v>
      </c>
      <c r="D822" s="197" t="s">
        <v>722</v>
      </c>
      <c r="E822" s="197" t="s">
        <v>346</v>
      </c>
      <c r="F822" s="197" t="s">
        <v>414</v>
      </c>
      <c r="G822" s="199" t="s">
        <v>415</v>
      </c>
      <c r="H822" s="199" t="s">
        <v>296</v>
      </c>
      <c r="I822" s="199" t="s">
        <v>416</v>
      </c>
      <c r="J822" s="199" t="s">
        <v>350</v>
      </c>
      <c r="K822" s="197" t="s">
        <v>367</v>
      </c>
      <c r="L822" s="197" t="s">
        <v>357</v>
      </c>
      <c r="M822" s="200" t="s">
        <v>358</v>
      </c>
      <c r="N822" s="201">
        <v>50</v>
      </c>
      <c r="O822" s="202">
        <v>187680</v>
      </c>
      <c r="P822" s="203">
        <v>9384000</v>
      </c>
      <c r="Q822" s="203">
        <v>938400</v>
      </c>
      <c r="R822" s="203">
        <v>10322400</v>
      </c>
      <c r="S822" s="199"/>
      <c r="T822" s="199" t="s">
        <v>310</v>
      </c>
      <c r="U822" s="197">
        <v>61317</v>
      </c>
      <c r="V822" s="197"/>
      <c r="W822" s="196" t="s">
        <v>356</v>
      </c>
      <c r="X822" s="196" t="str">
        <f>+IFERROR(VLOOKUP($F822,'[2]Chuyển đổi mã'!$A$1:$C$91,3,0),$F822)&amp;AC822</f>
        <v>NPP00000119323555</v>
      </c>
      <c r="Y822" s="196" t="str">
        <f>+IFERROR(VLOOKUP($F822,'[2]Chuyển đổi mã'!$A$1:$C$184,3,0),F822)</f>
        <v>NPP00000119</v>
      </c>
      <c r="Z822" s="196" t="str">
        <f>VLOOKUP($G822,'[2]Thông tin NPP'!$B:$D,3,0)</f>
        <v>NGUYỄN DUNG</v>
      </c>
      <c r="AA822" s="196" t="str">
        <f t="shared" si="228"/>
        <v>Na 17g - M</v>
      </c>
      <c r="AB822" s="196" t="str">
        <f>+IFERROR(VLOOKUP(DAY(B822),'[2]Chuyển đổi mã'!$F$1:$G$32,2,0),0)</f>
        <v>W5</v>
      </c>
      <c r="AC822" s="196" t="str">
        <f t="shared" si="229"/>
        <v>323555</v>
      </c>
      <c r="AD822" s="196" t="str">
        <f t="shared" si="230"/>
        <v>NPP</v>
      </c>
      <c r="AE822" s="196" t="str">
        <f t="shared" si="231"/>
        <v>NPP323555</v>
      </c>
      <c r="AF822" s="196">
        <f t="shared" si="232"/>
        <v>0</v>
      </c>
    </row>
    <row r="823" spans="1:32" ht="12.95" hidden="1" customHeight="1">
      <c r="A823" s="197">
        <v>63611</v>
      </c>
      <c r="B823" s="198">
        <v>43584</v>
      </c>
      <c r="C823" s="197" t="s">
        <v>457</v>
      </c>
      <c r="D823" s="197" t="s">
        <v>722</v>
      </c>
      <c r="E823" s="197" t="s">
        <v>346</v>
      </c>
      <c r="F823" s="197" t="s">
        <v>414</v>
      </c>
      <c r="G823" s="199" t="s">
        <v>415</v>
      </c>
      <c r="H823" s="199" t="s">
        <v>296</v>
      </c>
      <c r="I823" s="199" t="s">
        <v>416</v>
      </c>
      <c r="J823" s="199" t="s">
        <v>350</v>
      </c>
      <c r="K823" s="197" t="s">
        <v>367</v>
      </c>
      <c r="L823" s="197" t="s">
        <v>408</v>
      </c>
      <c r="M823" s="200" t="s">
        <v>409</v>
      </c>
      <c r="N823" s="201">
        <v>50</v>
      </c>
      <c r="O823" s="202">
        <v>176640</v>
      </c>
      <c r="P823" s="203">
        <v>8832000</v>
      </c>
      <c r="Q823" s="203">
        <v>883200</v>
      </c>
      <c r="R823" s="203">
        <v>9715200</v>
      </c>
      <c r="S823" s="199"/>
      <c r="T823" s="199" t="s">
        <v>310</v>
      </c>
      <c r="U823" s="197">
        <v>61317</v>
      </c>
      <c r="V823" s="197"/>
      <c r="W823" s="196" t="s">
        <v>356</v>
      </c>
      <c r="X823" s="196" t="str">
        <f>+IFERROR(VLOOKUP($F823,'[2]Chuyển đổi mã'!$A$1:$C$91,3,0),$F823)&amp;AC823</f>
        <v>NPP00000119324136</v>
      </c>
      <c r="Y823" s="196" t="str">
        <f>+IFERROR(VLOOKUP($F823,'[2]Chuyển đổi mã'!$A$1:$C$184,3,0),F823)</f>
        <v>NPP00000119</v>
      </c>
      <c r="Z823" s="196" t="str">
        <f>VLOOKUP($G823,'[2]Thông tin NPP'!$B:$D,3,0)</f>
        <v>NGUYỄN DUNG</v>
      </c>
      <c r="AA823" s="196" t="str">
        <f t="shared" si="228"/>
        <v>Na 145g</v>
      </c>
      <c r="AB823" s="196" t="str">
        <f>+IFERROR(VLOOKUP(DAY(B823),'[2]Chuyển đổi mã'!$F$1:$G$32,2,0),0)</f>
        <v>W5</v>
      </c>
      <c r="AC823" s="196" t="str">
        <f t="shared" si="229"/>
        <v>324136</v>
      </c>
      <c r="AD823" s="196" t="str">
        <f t="shared" si="230"/>
        <v>NPP</v>
      </c>
      <c r="AE823" s="196" t="str">
        <f t="shared" si="231"/>
        <v>NPP324136</v>
      </c>
      <c r="AF823" s="196">
        <f t="shared" si="232"/>
        <v>0</v>
      </c>
    </row>
    <row r="824" spans="1:32" ht="12.95" hidden="1" customHeight="1">
      <c r="A824" s="197">
        <v>63611</v>
      </c>
      <c r="B824" s="198">
        <v>43584</v>
      </c>
      <c r="C824" s="197" t="s">
        <v>457</v>
      </c>
      <c r="D824" s="197" t="s">
        <v>722</v>
      </c>
      <c r="E824" s="197" t="s">
        <v>346</v>
      </c>
      <c r="F824" s="197" t="s">
        <v>414</v>
      </c>
      <c r="G824" s="199" t="s">
        <v>415</v>
      </c>
      <c r="H824" s="199" t="s">
        <v>296</v>
      </c>
      <c r="I824" s="199" t="s">
        <v>416</v>
      </c>
      <c r="J824" s="199" t="s">
        <v>350</v>
      </c>
      <c r="K824" s="197" t="s">
        <v>367</v>
      </c>
      <c r="L824" s="197" t="s">
        <v>387</v>
      </c>
      <c r="M824" s="200" t="s">
        <v>388</v>
      </c>
      <c r="N824" s="201">
        <v>20</v>
      </c>
      <c r="O824" s="202">
        <v>312800</v>
      </c>
      <c r="P824" s="203">
        <v>6256000</v>
      </c>
      <c r="Q824" s="203">
        <v>625600</v>
      </c>
      <c r="R824" s="203">
        <v>6881600</v>
      </c>
      <c r="S824" s="199"/>
      <c r="T824" s="199" t="s">
        <v>310</v>
      </c>
      <c r="U824" s="197">
        <v>61317</v>
      </c>
      <c r="V824" s="197"/>
      <c r="W824" s="196" t="s">
        <v>356</v>
      </c>
      <c r="X824" s="196" t="str">
        <f>+IFERROR(VLOOKUP($F824,'[2]Chuyển đổi mã'!$A$1:$C$91,3,0),$F824)&amp;AC824</f>
        <v>NPP00000119323620</v>
      </c>
      <c r="Y824" s="196" t="str">
        <f>+IFERROR(VLOOKUP($F824,'[2]Chuyển đổi mã'!$A$1:$C$184,3,0),F824)</f>
        <v>NPP00000119</v>
      </c>
      <c r="Z824" s="196" t="str">
        <f>VLOOKUP($G824,'[2]Thông tin NPP'!$B:$D,3,0)</f>
        <v>NGUYỄN DUNG</v>
      </c>
      <c r="AA824" s="196" t="str">
        <f t="shared" si="228"/>
        <v>Ahh 16g</v>
      </c>
      <c r="AB824" s="196" t="str">
        <f>+IFERROR(VLOOKUP(DAY(B824),'[2]Chuyển đổi mã'!$F$1:$G$32,2,0),0)</f>
        <v>W5</v>
      </c>
      <c r="AC824" s="196" t="str">
        <f t="shared" si="229"/>
        <v>323620</v>
      </c>
      <c r="AD824" s="196" t="str">
        <f t="shared" si="230"/>
        <v>NPP</v>
      </c>
      <c r="AE824" s="196" t="str">
        <f t="shared" si="231"/>
        <v>NPP323620</v>
      </c>
      <c r="AF824" s="196">
        <f t="shared" si="232"/>
        <v>0</v>
      </c>
    </row>
    <row r="825" spans="1:32" ht="12.95" hidden="1" customHeight="1">
      <c r="A825" s="197">
        <v>63612</v>
      </c>
      <c r="B825" s="198">
        <v>43584</v>
      </c>
      <c r="C825" s="197" t="s">
        <v>457</v>
      </c>
      <c r="D825" s="197" t="s">
        <v>725</v>
      </c>
      <c r="E825" s="197" t="s">
        <v>346</v>
      </c>
      <c r="F825" s="197" t="s">
        <v>414</v>
      </c>
      <c r="G825" s="199" t="s">
        <v>415</v>
      </c>
      <c r="H825" s="199" t="s">
        <v>296</v>
      </c>
      <c r="I825" s="199" t="s">
        <v>416</v>
      </c>
      <c r="J825" s="199" t="s">
        <v>350</v>
      </c>
      <c r="K825" s="197" t="s">
        <v>367</v>
      </c>
      <c r="L825" s="197" t="s">
        <v>352</v>
      </c>
      <c r="M825" s="200" t="s">
        <v>353</v>
      </c>
      <c r="N825" s="201">
        <v>200</v>
      </c>
      <c r="O825" s="202">
        <v>107728.25</v>
      </c>
      <c r="P825" s="203">
        <v>21545650</v>
      </c>
      <c r="Q825" s="203">
        <v>2154565</v>
      </c>
      <c r="R825" s="203">
        <v>23700215</v>
      </c>
      <c r="S825" s="199" t="s">
        <v>723</v>
      </c>
      <c r="T825" s="199" t="s">
        <v>724</v>
      </c>
      <c r="U825" s="197">
        <v>61318</v>
      </c>
      <c r="V825" s="197"/>
      <c r="W825" s="196" t="s">
        <v>356</v>
      </c>
      <c r="X825" s="196" t="str">
        <f>+IFERROR(VLOOKUP($F825,'[2]Chuyển đổi mã'!$A$1:$C$91,3,0),$F825)&amp;AC825</f>
        <v>NPP00000119320463</v>
      </c>
      <c r="Y825" s="196" t="str">
        <f>+IFERROR(VLOOKUP($F825,'[2]Chuyển đổi mã'!$A$1:$C$184,3,0),F825)</f>
        <v>NPP00000119</v>
      </c>
      <c r="Z825" s="196" t="str">
        <f>VLOOKUP($G825,'[2]Thông tin NPP'!$B:$D,3,0)</f>
        <v>NGUYỄN DUNG</v>
      </c>
      <c r="AA825" s="196" t="str">
        <f t="shared" si="228"/>
        <v>Na 8,5g</v>
      </c>
      <c r="AB825" s="196" t="str">
        <f>+IFERROR(VLOOKUP(DAY(B825),'[2]Chuyển đổi mã'!$F$1:$G$32,2,0),0)</f>
        <v>W5</v>
      </c>
      <c r="AC825" s="196" t="str">
        <f t="shared" si="229"/>
        <v>320463</v>
      </c>
      <c r="AD825" s="196" t="str">
        <f t="shared" si="230"/>
        <v>NPP</v>
      </c>
      <c r="AE825" s="196" t="str">
        <f t="shared" si="231"/>
        <v>NPP320463</v>
      </c>
      <c r="AF825" s="196">
        <f t="shared" si="232"/>
        <v>0</v>
      </c>
    </row>
    <row r="826" spans="1:32" ht="12.95" hidden="1" customHeight="1">
      <c r="A826" s="197">
        <v>63612</v>
      </c>
      <c r="B826" s="198">
        <v>43584</v>
      </c>
      <c r="C826" s="197" t="s">
        <v>457</v>
      </c>
      <c r="D826" s="197" t="s">
        <v>725</v>
      </c>
      <c r="E826" s="197" t="s">
        <v>346</v>
      </c>
      <c r="F826" s="197" t="s">
        <v>414</v>
      </c>
      <c r="G826" s="199" t="s">
        <v>415</v>
      </c>
      <c r="H826" s="199" t="s">
        <v>296</v>
      </c>
      <c r="I826" s="199" t="s">
        <v>416</v>
      </c>
      <c r="J826" s="199" t="s">
        <v>350</v>
      </c>
      <c r="K826" s="197" t="s">
        <v>367</v>
      </c>
      <c r="L826" s="197" t="s">
        <v>359</v>
      </c>
      <c r="M826" s="200" t="s">
        <v>360</v>
      </c>
      <c r="N826" s="201">
        <v>50</v>
      </c>
      <c r="O826" s="202">
        <v>276000</v>
      </c>
      <c r="P826" s="203">
        <v>13800000</v>
      </c>
      <c r="Q826" s="203">
        <v>1380000</v>
      </c>
      <c r="R826" s="203">
        <v>15180000</v>
      </c>
      <c r="S826" s="199"/>
      <c r="T826" s="199" t="s">
        <v>310</v>
      </c>
      <c r="U826" s="197">
        <v>61318</v>
      </c>
      <c r="V826" s="197"/>
      <c r="W826" s="196" t="s">
        <v>356</v>
      </c>
      <c r="X826" s="196" t="str">
        <f>+IFERROR(VLOOKUP($F826,'[2]Chuyển đổi mã'!$A$1:$C$91,3,0),$F826)&amp;AC826</f>
        <v>NPP00000119320445</v>
      </c>
      <c r="Y826" s="196" t="str">
        <f>+IFERROR(VLOOKUP($F826,'[2]Chuyển đổi mã'!$A$1:$C$184,3,0),F826)</f>
        <v>NPP00000119</v>
      </c>
      <c r="Z826" s="196" t="str">
        <f>VLOOKUP($G826,'[2]Thông tin NPP'!$B:$D,3,0)</f>
        <v>NGUYỄN DUNG</v>
      </c>
      <c r="AA826" s="196" t="str">
        <f t="shared" si="228"/>
        <v>Na 58g</v>
      </c>
      <c r="AB826" s="196" t="str">
        <f>+IFERROR(VLOOKUP(DAY(B826),'[2]Chuyển đổi mã'!$F$1:$G$32,2,0),0)</f>
        <v>W5</v>
      </c>
      <c r="AC826" s="196" t="str">
        <f t="shared" si="229"/>
        <v>320445</v>
      </c>
      <c r="AD826" s="196" t="str">
        <f t="shared" si="230"/>
        <v>NPP</v>
      </c>
      <c r="AE826" s="196" t="str">
        <f t="shared" si="231"/>
        <v>NPP320445</v>
      </c>
      <c r="AF826" s="196">
        <f t="shared" si="232"/>
        <v>0</v>
      </c>
    </row>
    <row r="827" spans="1:32" ht="12.95" hidden="1" customHeight="1">
      <c r="A827" s="197">
        <v>63612</v>
      </c>
      <c r="B827" s="198">
        <v>43584</v>
      </c>
      <c r="C827" s="197" t="s">
        <v>457</v>
      </c>
      <c r="D827" s="197" t="s">
        <v>725</v>
      </c>
      <c r="E827" s="197" t="s">
        <v>346</v>
      </c>
      <c r="F827" s="197" t="s">
        <v>414</v>
      </c>
      <c r="G827" s="199" t="s">
        <v>415</v>
      </c>
      <c r="H827" s="199" t="s">
        <v>296</v>
      </c>
      <c r="I827" s="199" t="s">
        <v>416</v>
      </c>
      <c r="J827" s="199" t="s">
        <v>350</v>
      </c>
      <c r="K827" s="197" t="s">
        <v>367</v>
      </c>
      <c r="L827" s="197" t="s">
        <v>408</v>
      </c>
      <c r="M827" s="200" t="s">
        <v>409</v>
      </c>
      <c r="N827" s="201">
        <v>50</v>
      </c>
      <c r="O827" s="202">
        <v>176640</v>
      </c>
      <c r="P827" s="203">
        <v>8832000</v>
      </c>
      <c r="Q827" s="203">
        <v>883200</v>
      </c>
      <c r="R827" s="203">
        <v>9715200</v>
      </c>
      <c r="S827" s="199"/>
      <c r="T827" s="199" t="s">
        <v>310</v>
      </c>
      <c r="U827" s="197">
        <v>61318</v>
      </c>
      <c r="V827" s="197"/>
      <c r="W827" s="196" t="s">
        <v>356</v>
      </c>
      <c r="X827" s="196" t="str">
        <f>+IFERROR(VLOOKUP($F827,'[2]Chuyển đổi mã'!$A$1:$C$91,3,0),$F827)&amp;AC827</f>
        <v>NPP00000119324136</v>
      </c>
      <c r="Y827" s="196" t="str">
        <f>+IFERROR(VLOOKUP($F827,'[2]Chuyển đổi mã'!$A$1:$C$184,3,0),F827)</f>
        <v>NPP00000119</v>
      </c>
      <c r="Z827" s="196" t="str">
        <f>VLOOKUP($G827,'[2]Thông tin NPP'!$B:$D,3,0)</f>
        <v>NGUYỄN DUNG</v>
      </c>
      <c r="AA827" s="196" t="str">
        <f t="shared" si="228"/>
        <v>Na 145g</v>
      </c>
      <c r="AB827" s="196" t="str">
        <f>+IFERROR(VLOOKUP(DAY(B827),'[2]Chuyển đổi mã'!$F$1:$G$32,2,0),0)</f>
        <v>W5</v>
      </c>
      <c r="AC827" s="196" t="str">
        <f t="shared" si="229"/>
        <v>324136</v>
      </c>
      <c r="AD827" s="196" t="str">
        <f t="shared" si="230"/>
        <v>NPP</v>
      </c>
      <c r="AE827" s="196" t="str">
        <f t="shared" si="231"/>
        <v>NPP324136</v>
      </c>
      <c r="AF827" s="196">
        <f t="shared" si="232"/>
        <v>0</v>
      </c>
    </row>
    <row r="828" spans="1:32" ht="12.95" hidden="1" customHeight="1">
      <c r="A828" s="197">
        <v>63612</v>
      </c>
      <c r="B828" s="198">
        <v>43584</v>
      </c>
      <c r="C828" s="197" t="s">
        <v>457</v>
      </c>
      <c r="D828" s="197" t="s">
        <v>725</v>
      </c>
      <c r="E828" s="197" t="s">
        <v>346</v>
      </c>
      <c r="F828" s="197" t="s">
        <v>414</v>
      </c>
      <c r="G828" s="199" t="s">
        <v>415</v>
      </c>
      <c r="H828" s="199" t="s">
        <v>296</v>
      </c>
      <c r="I828" s="199" t="s">
        <v>416</v>
      </c>
      <c r="J828" s="199" t="s">
        <v>350</v>
      </c>
      <c r="K828" s="197" t="s">
        <v>367</v>
      </c>
      <c r="L828" s="197" t="s">
        <v>387</v>
      </c>
      <c r="M828" s="200" t="s">
        <v>388</v>
      </c>
      <c r="N828" s="201">
        <v>10</v>
      </c>
      <c r="O828" s="202">
        <v>312800</v>
      </c>
      <c r="P828" s="203">
        <v>3128000</v>
      </c>
      <c r="Q828" s="203">
        <v>312800</v>
      </c>
      <c r="R828" s="203">
        <v>3440800</v>
      </c>
      <c r="S828" s="199"/>
      <c r="T828" s="199" t="s">
        <v>310</v>
      </c>
      <c r="U828" s="197">
        <v>61318</v>
      </c>
      <c r="V828" s="197"/>
      <c r="W828" s="196" t="s">
        <v>356</v>
      </c>
      <c r="X828" s="196" t="str">
        <f>+IFERROR(VLOOKUP($F828,'[2]Chuyển đổi mã'!$A$1:$C$91,3,0),$F828)&amp;AC828</f>
        <v>NPP00000119323620</v>
      </c>
      <c r="Y828" s="196" t="str">
        <f>+IFERROR(VLOOKUP($F828,'[2]Chuyển đổi mã'!$A$1:$C$184,3,0),F828)</f>
        <v>NPP00000119</v>
      </c>
      <c r="Z828" s="196" t="str">
        <f>VLOOKUP($G828,'[2]Thông tin NPP'!$B:$D,3,0)</f>
        <v>NGUYỄN DUNG</v>
      </c>
      <c r="AA828" s="196" t="str">
        <f t="shared" si="228"/>
        <v>Ahh 16g</v>
      </c>
      <c r="AB828" s="196" t="str">
        <f>+IFERROR(VLOOKUP(DAY(B828),'[2]Chuyển đổi mã'!$F$1:$G$32,2,0),0)</f>
        <v>W5</v>
      </c>
      <c r="AC828" s="196" t="str">
        <f t="shared" si="229"/>
        <v>323620</v>
      </c>
      <c r="AD828" s="196" t="str">
        <f t="shared" si="230"/>
        <v>NPP</v>
      </c>
      <c r="AE828" s="196" t="str">
        <f t="shared" si="231"/>
        <v>NPP323620</v>
      </c>
      <c r="AF828" s="196">
        <f t="shared" si="232"/>
        <v>0</v>
      </c>
    </row>
    <row r="829" spans="1:32" ht="12.95" hidden="1" customHeight="1">
      <c r="A829" s="197">
        <v>63613</v>
      </c>
      <c r="B829" s="198">
        <v>43584</v>
      </c>
      <c r="C829" s="197" t="s">
        <v>457</v>
      </c>
      <c r="D829" s="197" t="s">
        <v>726</v>
      </c>
      <c r="E829" s="197" t="s">
        <v>346</v>
      </c>
      <c r="F829" s="197" t="s">
        <v>414</v>
      </c>
      <c r="G829" s="199" t="s">
        <v>415</v>
      </c>
      <c r="H829" s="199" t="s">
        <v>296</v>
      </c>
      <c r="I829" s="199" t="s">
        <v>416</v>
      </c>
      <c r="J829" s="199" t="s">
        <v>350</v>
      </c>
      <c r="K829" s="197" t="s">
        <v>367</v>
      </c>
      <c r="L829" s="197" t="s">
        <v>352</v>
      </c>
      <c r="M829" s="200" t="s">
        <v>353</v>
      </c>
      <c r="N829" s="201">
        <v>250</v>
      </c>
      <c r="O829" s="202">
        <v>107728.25</v>
      </c>
      <c r="P829" s="203">
        <v>26932062.5</v>
      </c>
      <c r="Q829" s="203">
        <v>2693206.25</v>
      </c>
      <c r="R829" s="203">
        <v>29625268.75</v>
      </c>
      <c r="S829" s="199" t="s">
        <v>723</v>
      </c>
      <c r="T829" s="199" t="s">
        <v>724</v>
      </c>
      <c r="U829" s="197">
        <v>61319</v>
      </c>
      <c r="V829" s="197"/>
      <c r="W829" s="196" t="s">
        <v>356</v>
      </c>
      <c r="X829" s="196" t="str">
        <f>+IFERROR(VLOOKUP($F829,'[2]Chuyển đổi mã'!$A$1:$C$91,3,0),$F829)&amp;AC829</f>
        <v>NPP00000119320463</v>
      </c>
      <c r="Y829" s="196" t="str">
        <f>+IFERROR(VLOOKUP($F829,'[2]Chuyển đổi mã'!$A$1:$C$184,3,0),F829)</f>
        <v>NPP00000119</v>
      </c>
      <c r="Z829" s="196" t="str">
        <f>VLOOKUP($G829,'[2]Thông tin NPP'!$B:$D,3,0)</f>
        <v>NGUYỄN DUNG</v>
      </c>
      <c r="AA829" s="196" t="str">
        <f t="shared" si="228"/>
        <v>Na 8,5g</v>
      </c>
      <c r="AB829" s="196" t="str">
        <f>+IFERROR(VLOOKUP(DAY(B829),'[2]Chuyển đổi mã'!$F$1:$G$32,2,0),0)</f>
        <v>W5</v>
      </c>
      <c r="AC829" s="196" t="str">
        <f t="shared" si="229"/>
        <v>320463</v>
      </c>
      <c r="AD829" s="196" t="str">
        <f t="shared" si="230"/>
        <v>NPP</v>
      </c>
      <c r="AE829" s="196" t="str">
        <f t="shared" si="231"/>
        <v>NPP320463</v>
      </c>
      <c r="AF829" s="196">
        <f t="shared" si="232"/>
        <v>0</v>
      </c>
    </row>
    <row r="830" spans="1:32" ht="12.95" hidden="1" customHeight="1">
      <c r="A830" s="197">
        <v>63613</v>
      </c>
      <c r="B830" s="198">
        <v>43584</v>
      </c>
      <c r="C830" s="197" t="s">
        <v>457</v>
      </c>
      <c r="D830" s="197" t="s">
        <v>726</v>
      </c>
      <c r="E830" s="197" t="s">
        <v>346</v>
      </c>
      <c r="F830" s="197" t="s">
        <v>414</v>
      </c>
      <c r="G830" s="199" t="s">
        <v>415</v>
      </c>
      <c r="H830" s="199" t="s">
        <v>296</v>
      </c>
      <c r="I830" s="199" t="s">
        <v>416</v>
      </c>
      <c r="J830" s="199" t="s">
        <v>350</v>
      </c>
      <c r="K830" s="197" t="s">
        <v>367</v>
      </c>
      <c r="L830" s="197" t="s">
        <v>378</v>
      </c>
      <c r="M830" s="200" t="s">
        <v>379</v>
      </c>
      <c r="N830" s="201">
        <v>50</v>
      </c>
      <c r="O830" s="202">
        <v>187680</v>
      </c>
      <c r="P830" s="203">
        <v>9384000</v>
      </c>
      <c r="Q830" s="203">
        <v>938400</v>
      </c>
      <c r="R830" s="203">
        <v>10322400</v>
      </c>
      <c r="S830" s="199"/>
      <c r="T830" s="199" t="s">
        <v>310</v>
      </c>
      <c r="U830" s="197">
        <v>61319</v>
      </c>
      <c r="V830" s="197"/>
      <c r="W830" s="196" t="s">
        <v>356</v>
      </c>
      <c r="X830" s="196" t="str">
        <f>+IFERROR(VLOOKUP($F830,'[2]Chuyển đổi mã'!$A$1:$C$91,3,0),$F830)&amp;AC830</f>
        <v>NPP00000119321238</v>
      </c>
      <c r="Y830" s="196" t="str">
        <f>+IFERROR(VLOOKUP($F830,'[2]Chuyển đổi mã'!$A$1:$C$184,3,0),F830)</f>
        <v>NPP00000119</v>
      </c>
      <c r="Z830" s="196" t="str">
        <f>VLOOKUP($G830,'[2]Thông tin NPP'!$B:$D,3,0)</f>
        <v>NGUYỄN DUNG</v>
      </c>
      <c r="AA830" s="196" t="str">
        <f t="shared" si="228"/>
        <v>Richoco Wf</v>
      </c>
      <c r="AB830" s="196" t="str">
        <f>+IFERROR(VLOOKUP(DAY(B830),'[2]Chuyển đổi mã'!$F$1:$G$32,2,0),0)</f>
        <v>W5</v>
      </c>
      <c r="AC830" s="196" t="str">
        <f t="shared" si="229"/>
        <v>321238</v>
      </c>
      <c r="AD830" s="196" t="str">
        <f t="shared" si="230"/>
        <v>NPP</v>
      </c>
      <c r="AE830" s="196" t="str">
        <f t="shared" si="231"/>
        <v>NPP321238</v>
      </c>
      <c r="AF830" s="196">
        <f t="shared" si="232"/>
        <v>0</v>
      </c>
    </row>
    <row r="831" spans="1:32" ht="12.95" hidden="1" customHeight="1">
      <c r="A831" s="197">
        <v>63613</v>
      </c>
      <c r="B831" s="198">
        <v>43584</v>
      </c>
      <c r="C831" s="197" t="s">
        <v>457</v>
      </c>
      <c r="D831" s="197" t="s">
        <v>726</v>
      </c>
      <c r="E831" s="197" t="s">
        <v>346</v>
      </c>
      <c r="F831" s="197" t="s">
        <v>414</v>
      </c>
      <c r="G831" s="199" t="s">
        <v>415</v>
      </c>
      <c r="H831" s="199" t="s">
        <v>296</v>
      </c>
      <c r="I831" s="199" t="s">
        <v>416</v>
      </c>
      <c r="J831" s="199" t="s">
        <v>350</v>
      </c>
      <c r="K831" s="197" t="s">
        <v>367</v>
      </c>
      <c r="L831" s="197" t="s">
        <v>359</v>
      </c>
      <c r="M831" s="200" t="s">
        <v>360</v>
      </c>
      <c r="N831" s="201">
        <v>50</v>
      </c>
      <c r="O831" s="202">
        <v>276000</v>
      </c>
      <c r="P831" s="203">
        <v>13800000</v>
      </c>
      <c r="Q831" s="203">
        <v>1380000</v>
      </c>
      <c r="R831" s="203">
        <v>15180000</v>
      </c>
      <c r="S831" s="199"/>
      <c r="T831" s="199" t="s">
        <v>310</v>
      </c>
      <c r="U831" s="197">
        <v>61319</v>
      </c>
      <c r="V831" s="197"/>
      <c r="W831" s="196" t="s">
        <v>356</v>
      </c>
      <c r="X831" s="196" t="str">
        <f>+IFERROR(VLOOKUP($F831,'[2]Chuyển đổi mã'!$A$1:$C$91,3,0),$F831)&amp;AC831</f>
        <v>NPP00000119320445</v>
      </c>
      <c r="Y831" s="196" t="str">
        <f>+IFERROR(VLOOKUP($F831,'[2]Chuyển đổi mã'!$A$1:$C$184,3,0),F831)</f>
        <v>NPP00000119</v>
      </c>
      <c r="Z831" s="196" t="str">
        <f>VLOOKUP($G831,'[2]Thông tin NPP'!$B:$D,3,0)</f>
        <v>NGUYỄN DUNG</v>
      </c>
      <c r="AA831" s="196" t="str">
        <f t="shared" si="228"/>
        <v>Na 58g</v>
      </c>
      <c r="AB831" s="196" t="str">
        <f>+IFERROR(VLOOKUP(DAY(B831),'[2]Chuyển đổi mã'!$F$1:$G$32,2,0),0)</f>
        <v>W5</v>
      </c>
      <c r="AC831" s="196" t="str">
        <f t="shared" si="229"/>
        <v>320445</v>
      </c>
      <c r="AD831" s="196" t="str">
        <f t="shared" si="230"/>
        <v>NPP</v>
      </c>
      <c r="AE831" s="196" t="str">
        <f t="shared" si="231"/>
        <v>NPP320445</v>
      </c>
      <c r="AF831" s="196">
        <f t="shared" si="232"/>
        <v>0</v>
      </c>
    </row>
    <row r="832" spans="1:32" ht="12.95" hidden="1" customHeight="1">
      <c r="A832" s="197">
        <v>63616</v>
      </c>
      <c r="B832" s="198">
        <v>43584</v>
      </c>
      <c r="C832" s="197" t="s">
        <v>457</v>
      </c>
      <c r="D832" s="197" t="s">
        <v>727</v>
      </c>
      <c r="E832" s="197" t="s">
        <v>346</v>
      </c>
      <c r="F832" s="197" t="s">
        <v>414</v>
      </c>
      <c r="G832" s="199" t="s">
        <v>415</v>
      </c>
      <c r="H832" s="199" t="s">
        <v>296</v>
      </c>
      <c r="I832" s="199" t="s">
        <v>416</v>
      </c>
      <c r="J832" s="199" t="s">
        <v>350</v>
      </c>
      <c r="K832" s="197" t="s">
        <v>367</v>
      </c>
      <c r="L832" s="197" t="s">
        <v>352</v>
      </c>
      <c r="M832" s="200" t="s">
        <v>353</v>
      </c>
      <c r="N832" s="201">
        <v>100</v>
      </c>
      <c r="O832" s="202">
        <v>107728.25</v>
      </c>
      <c r="P832" s="203">
        <v>10772825</v>
      </c>
      <c r="Q832" s="203">
        <v>1077282.5</v>
      </c>
      <c r="R832" s="203">
        <v>11850107.5</v>
      </c>
      <c r="S832" s="199" t="s">
        <v>723</v>
      </c>
      <c r="T832" s="199" t="s">
        <v>724</v>
      </c>
      <c r="U832" s="197">
        <v>61320</v>
      </c>
      <c r="V832" s="197"/>
      <c r="W832" s="196" t="s">
        <v>356</v>
      </c>
      <c r="X832" s="196" t="str">
        <f>+IFERROR(VLOOKUP($F832,'[2]Chuyển đổi mã'!$A$1:$C$91,3,0),$F832)&amp;AC832</f>
        <v>NPP00000119320463</v>
      </c>
      <c r="Y832" s="196" t="str">
        <f>+IFERROR(VLOOKUP($F832,'[2]Chuyển đổi mã'!$A$1:$C$184,3,0),F832)</f>
        <v>NPP00000119</v>
      </c>
      <c r="Z832" s="196" t="str">
        <f>VLOOKUP($G832,'[2]Thông tin NPP'!$B:$D,3,0)</f>
        <v>NGUYỄN DUNG</v>
      </c>
      <c r="AA832" s="196" t="str">
        <f t="shared" si="228"/>
        <v>Na 8,5g</v>
      </c>
      <c r="AB832" s="196" t="str">
        <f>+IFERROR(VLOOKUP(DAY(B832),'[2]Chuyển đổi mã'!$F$1:$G$32,2,0),0)</f>
        <v>W5</v>
      </c>
      <c r="AC832" s="196" t="str">
        <f t="shared" si="229"/>
        <v>320463</v>
      </c>
      <c r="AD832" s="196" t="str">
        <f t="shared" si="230"/>
        <v>NPP</v>
      </c>
      <c r="AE832" s="196" t="str">
        <f t="shared" si="231"/>
        <v>NPP320463</v>
      </c>
      <c r="AF832" s="196">
        <f t="shared" si="232"/>
        <v>0</v>
      </c>
    </row>
    <row r="833" spans="1:32" ht="12.95" hidden="1" customHeight="1">
      <c r="A833" s="197">
        <v>63616</v>
      </c>
      <c r="B833" s="198">
        <v>43584</v>
      </c>
      <c r="C833" s="197" t="s">
        <v>457</v>
      </c>
      <c r="D833" s="197" t="s">
        <v>727</v>
      </c>
      <c r="E833" s="197" t="s">
        <v>346</v>
      </c>
      <c r="F833" s="197" t="s">
        <v>414</v>
      </c>
      <c r="G833" s="199" t="s">
        <v>415</v>
      </c>
      <c r="H833" s="199" t="s">
        <v>296</v>
      </c>
      <c r="I833" s="199" t="s">
        <v>416</v>
      </c>
      <c r="J833" s="199" t="s">
        <v>350</v>
      </c>
      <c r="K833" s="197" t="s">
        <v>367</v>
      </c>
      <c r="L833" s="197" t="s">
        <v>378</v>
      </c>
      <c r="M833" s="200" t="s">
        <v>379</v>
      </c>
      <c r="N833" s="201">
        <v>35</v>
      </c>
      <c r="O833" s="202">
        <v>187680</v>
      </c>
      <c r="P833" s="203">
        <v>6568800</v>
      </c>
      <c r="Q833" s="203">
        <v>656880</v>
      </c>
      <c r="R833" s="203">
        <v>7225680</v>
      </c>
      <c r="S833" s="199"/>
      <c r="T833" s="199" t="s">
        <v>310</v>
      </c>
      <c r="U833" s="197">
        <v>61320</v>
      </c>
      <c r="V833" s="197"/>
      <c r="W833" s="196" t="s">
        <v>356</v>
      </c>
      <c r="X833" s="196" t="str">
        <f>+IFERROR(VLOOKUP($F833,'[2]Chuyển đổi mã'!$A$1:$C$91,3,0),$F833)&amp;AC833</f>
        <v>NPP00000119321238</v>
      </c>
      <c r="Y833" s="196" t="str">
        <f>+IFERROR(VLOOKUP($F833,'[2]Chuyển đổi mã'!$A$1:$C$184,3,0),F833)</f>
        <v>NPP00000119</v>
      </c>
      <c r="Z833" s="196" t="str">
        <f>VLOOKUP($G833,'[2]Thông tin NPP'!$B:$D,3,0)</f>
        <v>NGUYỄN DUNG</v>
      </c>
      <c r="AA833" s="196" t="str">
        <f t="shared" si="228"/>
        <v>Richoco Wf</v>
      </c>
      <c r="AB833" s="196" t="str">
        <f>+IFERROR(VLOOKUP(DAY(B833),'[2]Chuyển đổi mã'!$F$1:$G$32,2,0),0)</f>
        <v>W5</v>
      </c>
      <c r="AC833" s="196" t="str">
        <f t="shared" si="229"/>
        <v>321238</v>
      </c>
      <c r="AD833" s="196" t="str">
        <f t="shared" si="230"/>
        <v>NPP</v>
      </c>
      <c r="AE833" s="196" t="str">
        <f t="shared" si="231"/>
        <v>NPP321238</v>
      </c>
      <c r="AF833" s="196">
        <f t="shared" si="232"/>
        <v>0</v>
      </c>
    </row>
    <row r="834" spans="1:32" ht="12.95" hidden="1" customHeight="1">
      <c r="A834" s="197">
        <v>63616</v>
      </c>
      <c r="B834" s="198">
        <v>43584</v>
      </c>
      <c r="C834" s="197" t="s">
        <v>457</v>
      </c>
      <c r="D834" s="197" t="s">
        <v>727</v>
      </c>
      <c r="E834" s="197" t="s">
        <v>346</v>
      </c>
      <c r="F834" s="197" t="s">
        <v>414</v>
      </c>
      <c r="G834" s="199" t="s">
        <v>415</v>
      </c>
      <c r="H834" s="199" t="s">
        <v>296</v>
      </c>
      <c r="I834" s="199" t="s">
        <v>416</v>
      </c>
      <c r="J834" s="199" t="s">
        <v>350</v>
      </c>
      <c r="K834" s="197" t="s">
        <v>367</v>
      </c>
      <c r="L834" s="197" t="s">
        <v>359</v>
      </c>
      <c r="M834" s="200" t="s">
        <v>360</v>
      </c>
      <c r="N834" s="201">
        <v>80</v>
      </c>
      <c r="O834" s="202">
        <v>276000</v>
      </c>
      <c r="P834" s="203">
        <v>22080000</v>
      </c>
      <c r="Q834" s="203">
        <v>2208000</v>
      </c>
      <c r="R834" s="203">
        <v>24288000</v>
      </c>
      <c r="S834" s="199"/>
      <c r="T834" s="199" t="s">
        <v>310</v>
      </c>
      <c r="U834" s="197">
        <v>61320</v>
      </c>
      <c r="V834" s="197"/>
      <c r="W834" s="196" t="s">
        <v>356</v>
      </c>
      <c r="X834" s="196" t="str">
        <f>+IFERROR(VLOOKUP($F834,'[2]Chuyển đổi mã'!$A$1:$C$91,3,0),$F834)&amp;AC834</f>
        <v>NPP00000119320445</v>
      </c>
      <c r="Y834" s="196" t="str">
        <f>+IFERROR(VLOOKUP($F834,'[2]Chuyển đổi mã'!$A$1:$C$184,3,0),F834)</f>
        <v>NPP00000119</v>
      </c>
      <c r="Z834" s="196" t="str">
        <f>VLOOKUP($G834,'[2]Thông tin NPP'!$B:$D,3,0)</f>
        <v>NGUYỄN DUNG</v>
      </c>
      <c r="AA834" s="196" t="str">
        <f t="shared" si="228"/>
        <v>Na 58g</v>
      </c>
      <c r="AB834" s="196" t="str">
        <f>+IFERROR(VLOOKUP(DAY(B834),'[2]Chuyển đổi mã'!$F$1:$G$32,2,0),0)</f>
        <v>W5</v>
      </c>
      <c r="AC834" s="196" t="str">
        <f t="shared" si="229"/>
        <v>320445</v>
      </c>
      <c r="AD834" s="196" t="str">
        <f t="shared" si="230"/>
        <v>NPP</v>
      </c>
      <c r="AE834" s="196" t="str">
        <f t="shared" si="231"/>
        <v>NPP320445</v>
      </c>
      <c r="AF834" s="196">
        <f t="shared" si="232"/>
        <v>0</v>
      </c>
    </row>
    <row r="835" spans="1:32" ht="12.95" hidden="1" customHeight="1">
      <c r="A835" s="197">
        <v>63616</v>
      </c>
      <c r="B835" s="198">
        <v>43584</v>
      </c>
      <c r="C835" s="197" t="s">
        <v>457</v>
      </c>
      <c r="D835" s="197" t="s">
        <v>727</v>
      </c>
      <c r="E835" s="197" t="s">
        <v>346</v>
      </c>
      <c r="F835" s="197" t="s">
        <v>414</v>
      </c>
      <c r="G835" s="199" t="s">
        <v>415</v>
      </c>
      <c r="H835" s="199" t="s">
        <v>296</v>
      </c>
      <c r="I835" s="199" t="s">
        <v>416</v>
      </c>
      <c r="J835" s="199" t="s">
        <v>350</v>
      </c>
      <c r="K835" s="197" t="s">
        <v>367</v>
      </c>
      <c r="L835" s="197" t="s">
        <v>357</v>
      </c>
      <c r="M835" s="200" t="s">
        <v>358</v>
      </c>
      <c r="N835" s="201">
        <v>100</v>
      </c>
      <c r="O835" s="202">
        <v>187680</v>
      </c>
      <c r="P835" s="203">
        <v>18768000</v>
      </c>
      <c r="Q835" s="203">
        <v>1876800</v>
      </c>
      <c r="R835" s="203">
        <v>20644800</v>
      </c>
      <c r="S835" s="199"/>
      <c r="T835" s="199" t="s">
        <v>310</v>
      </c>
      <c r="U835" s="197">
        <v>61320</v>
      </c>
      <c r="V835" s="197"/>
      <c r="W835" s="196" t="s">
        <v>356</v>
      </c>
      <c r="X835" s="196" t="str">
        <f>+IFERROR(VLOOKUP($F835,'[2]Chuyển đổi mã'!$A$1:$C$91,3,0),$F835)&amp;AC835</f>
        <v>NPP00000119323555</v>
      </c>
      <c r="Y835" s="196" t="str">
        <f>+IFERROR(VLOOKUP($F835,'[2]Chuyển đổi mã'!$A$1:$C$184,3,0),F835)</f>
        <v>NPP00000119</v>
      </c>
      <c r="Z835" s="196" t="str">
        <f>VLOOKUP($G835,'[2]Thông tin NPP'!$B:$D,3,0)</f>
        <v>NGUYỄN DUNG</v>
      </c>
      <c r="AA835" s="196" t="str">
        <f t="shared" si="228"/>
        <v>Na 17g - M</v>
      </c>
      <c r="AB835" s="196" t="str">
        <f>+IFERROR(VLOOKUP(DAY(B835),'[2]Chuyển đổi mã'!$F$1:$G$32,2,0),0)</f>
        <v>W5</v>
      </c>
      <c r="AC835" s="196" t="str">
        <f t="shared" si="229"/>
        <v>323555</v>
      </c>
      <c r="AD835" s="196" t="str">
        <f t="shared" si="230"/>
        <v>NPP</v>
      </c>
      <c r="AE835" s="196" t="str">
        <f t="shared" si="231"/>
        <v>NPP323555</v>
      </c>
      <c r="AF835" s="196">
        <f t="shared" si="232"/>
        <v>0</v>
      </c>
    </row>
    <row r="836" spans="1:32" ht="12.95" hidden="1" customHeight="1">
      <c r="A836" s="197">
        <v>63617</v>
      </c>
      <c r="B836" s="198">
        <v>43584</v>
      </c>
      <c r="C836" s="197" t="s">
        <v>457</v>
      </c>
      <c r="D836" s="197" t="s">
        <v>728</v>
      </c>
      <c r="E836" s="197" t="s">
        <v>346</v>
      </c>
      <c r="F836" s="197" t="s">
        <v>414</v>
      </c>
      <c r="G836" s="199" t="s">
        <v>415</v>
      </c>
      <c r="H836" s="199" t="s">
        <v>296</v>
      </c>
      <c r="I836" s="199" t="s">
        <v>416</v>
      </c>
      <c r="J836" s="199" t="s">
        <v>350</v>
      </c>
      <c r="K836" s="197" t="s">
        <v>367</v>
      </c>
      <c r="L836" s="197" t="s">
        <v>352</v>
      </c>
      <c r="M836" s="200" t="s">
        <v>353</v>
      </c>
      <c r="N836" s="201">
        <v>300</v>
      </c>
      <c r="O836" s="202">
        <v>107728.25</v>
      </c>
      <c r="P836" s="203">
        <v>32318475</v>
      </c>
      <c r="Q836" s="203">
        <v>3231847.5</v>
      </c>
      <c r="R836" s="203">
        <v>35550322.5</v>
      </c>
      <c r="S836" s="199" t="s">
        <v>723</v>
      </c>
      <c r="T836" s="199" t="s">
        <v>724</v>
      </c>
      <c r="U836" s="197">
        <v>61321</v>
      </c>
      <c r="V836" s="197"/>
      <c r="W836" s="196" t="s">
        <v>356</v>
      </c>
      <c r="X836" s="196" t="str">
        <f>+IFERROR(VLOOKUP($F836,'[2]Chuyển đổi mã'!$A$1:$C$91,3,0),$F836)&amp;AC836</f>
        <v>NPP00000119320463</v>
      </c>
      <c r="Y836" s="196" t="str">
        <f>+IFERROR(VLOOKUP($F836,'[2]Chuyển đổi mã'!$A$1:$C$184,3,0),F836)</f>
        <v>NPP00000119</v>
      </c>
      <c r="Z836" s="196" t="str">
        <f>VLOOKUP($G836,'[2]Thông tin NPP'!$B:$D,3,0)</f>
        <v>NGUYỄN DUNG</v>
      </c>
      <c r="AA836" s="196" t="str">
        <f t="shared" si="228"/>
        <v>Na 8,5g</v>
      </c>
      <c r="AB836" s="196" t="str">
        <f>+IFERROR(VLOOKUP(DAY(B836),'[2]Chuyển đổi mã'!$F$1:$G$32,2,0),0)</f>
        <v>W5</v>
      </c>
      <c r="AC836" s="196" t="str">
        <f t="shared" si="229"/>
        <v>320463</v>
      </c>
      <c r="AD836" s="196" t="str">
        <f t="shared" si="230"/>
        <v>NPP</v>
      </c>
      <c r="AE836" s="196" t="str">
        <f t="shared" si="231"/>
        <v>NPP320463</v>
      </c>
      <c r="AF836" s="196">
        <f t="shared" si="232"/>
        <v>0</v>
      </c>
    </row>
    <row r="837" spans="1:32" ht="12.95" hidden="1" customHeight="1">
      <c r="A837" s="197">
        <v>63617</v>
      </c>
      <c r="B837" s="198">
        <v>43584</v>
      </c>
      <c r="C837" s="197" t="s">
        <v>457</v>
      </c>
      <c r="D837" s="197" t="s">
        <v>728</v>
      </c>
      <c r="E837" s="197" t="s">
        <v>346</v>
      </c>
      <c r="F837" s="197" t="s">
        <v>414</v>
      </c>
      <c r="G837" s="199" t="s">
        <v>415</v>
      </c>
      <c r="H837" s="199" t="s">
        <v>296</v>
      </c>
      <c r="I837" s="199" t="s">
        <v>416</v>
      </c>
      <c r="J837" s="199" t="s">
        <v>350</v>
      </c>
      <c r="K837" s="197" t="s">
        <v>367</v>
      </c>
      <c r="L837" s="197" t="s">
        <v>357</v>
      </c>
      <c r="M837" s="200" t="s">
        <v>358</v>
      </c>
      <c r="N837" s="201">
        <v>50</v>
      </c>
      <c r="O837" s="202">
        <v>187680</v>
      </c>
      <c r="P837" s="203">
        <v>9384000</v>
      </c>
      <c r="Q837" s="203">
        <v>938400</v>
      </c>
      <c r="R837" s="203">
        <v>10322400</v>
      </c>
      <c r="S837" s="199"/>
      <c r="T837" s="199" t="s">
        <v>310</v>
      </c>
      <c r="U837" s="197">
        <v>61321</v>
      </c>
      <c r="V837" s="197"/>
      <c r="W837" s="196" t="s">
        <v>356</v>
      </c>
      <c r="X837" s="196" t="str">
        <f>+IFERROR(VLOOKUP($F837,'[2]Chuyển đổi mã'!$A$1:$C$91,3,0),$F837)&amp;AC837</f>
        <v>NPP00000119323555</v>
      </c>
      <c r="Y837" s="196" t="str">
        <f>+IFERROR(VLOOKUP($F837,'[2]Chuyển đổi mã'!$A$1:$C$184,3,0),F837)</f>
        <v>NPP00000119</v>
      </c>
      <c r="Z837" s="196" t="str">
        <f>VLOOKUP($G837,'[2]Thông tin NPP'!$B:$D,3,0)</f>
        <v>NGUYỄN DUNG</v>
      </c>
      <c r="AA837" s="196" t="str">
        <f t="shared" si="228"/>
        <v>Na 17g - M</v>
      </c>
      <c r="AB837" s="196" t="str">
        <f>+IFERROR(VLOOKUP(DAY(B837),'[2]Chuyển đổi mã'!$F$1:$G$32,2,0),0)</f>
        <v>W5</v>
      </c>
      <c r="AC837" s="196" t="str">
        <f t="shared" si="229"/>
        <v>323555</v>
      </c>
      <c r="AD837" s="196" t="str">
        <f t="shared" si="230"/>
        <v>NPP</v>
      </c>
      <c r="AE837" s="196" t="str">
        <f t="shared" si="231"/>
        <v>NPP323555</v>
      </c>
      <c r="AF837" s="196">
        <f t="shared" si="232"/>
        <v>0</v>
      </c>
    </row>
    <row r="838" spans="1:32" ht="12.95" hidden="1" customHeight="1">
      <c r="A838" s="197">
        <v>63619</v>
      </c>
      <c r="B838" s="198">
        <v>43584</v>
      </c>
      <c r="C838" s="197" t="s">
        <v>457</v>
      </c>
      <c r="D838" s="197" t="s">
        <v>729</v>
      </c>
      <c r="E838" s="197" t="s">
        <v>346</v>
      </c>
      <c r="F838" s="197" t="s">
        <v>414</v>
      </c>
      <c r="G838" s="199" t="s">
        <v>415</v>
      </c>
      <c r="H838" s="199" t="s">
        <v>296</v>
      </c>
      <c r="I838" s="199" t="s">
        <v>416</v>
      </c>
      <c r="J838" s="199" t="s">
        <v>350</v>
      </c>
      <c r="K838" s="197" t="s">
        <v>367</v>
      </c>
      <c r="L838" s="197" t="s">
        <v>352</v>
      </c>
      <c r="M838" s="200" t="s">
        <v>353</v>
      </c>
      <c r="N838" s="201">
        <v>300</v>
      </c>
      <c r="O838" s="202">
        <v>107728.25</v>
      </c>
      <c r="P838" s="203">
        <v>32318475</v>
      </c>
      <c r="Q838" s="203">
        <v>3231847.5</v>
      </c>
      <c r="R838" s="203">
        <v>35550322.5</v>
      </c>
      <c r="S838" s="199" t="s">
        <v>723</v>
      </c>
      <c r="T838" s="199" t="s">
        <v>724</v>
      </c>
      <c r="U838" s="197">
        <v>61322</v>
      </c>
      <c r="V838" s="197"/>
      <c r="W838" s="196" t="s">
        <v>356</v>
      </c>
      <c r="X838" s="196" t="str">
        <f>+IFERROR(VLOOKUP($F838,'[2]Chuyển đổi mã'!$A$1:$C$91,3,0),$F838)&amp;AC838</f>
        <v>NPP00000119320463</v>
      </c>
      <c r="Y838" s="196" t="str">
        <f>+IFERROR(VLOOKUP($F838,'[2]Chuyển đổi mã'!$A$1:$C$184,3,0),F838)</f>
        <v>NPP00000119</v>
      </c>
      <c r="Z838" s="196" t="str">
        <f>VLOOKUP($G838,'[2]Thông tin NPP'!$B:$D,3,0)</f>
        <v>NGUYỄN DUNG</v>
      </c>
      <c r="AA838" s="196" t="str">
        <f t="shared" si="228"/>
        <v>Na 8,5g</v>
      </c>
      <c r="AB838" s="196" t="str">
        <f>+IFERROR(VLOOKUP(DAY(B838),'[2]Chuyển đổi mã'!$F$1:$G$32,2,0),0)</f>
        <v>W5</v>
      </c>
      <c r="AC838" s="196" t="str">
        <f t="shared" si="229"/>
        <v>320463</v>
      </c>
      <c r="AD838" s="196" t="str">
        <f t="shared" si="230"/>
        <v>NPP</v>
      </c>
      <c r="AE838" s="196" t="str">
        <f t="shared" si="231"/>
        <v>NPP320463</v>
      </c>
      <c r="AF838" s="196">
        <f t="shared" si="232"/>
        <v>0</v>
      </c>
    </row>
    <row r="839" spans="1:32" ht="12.95" hidden="1" customHeight="1">
      <c r="A839" s="197">
        <v>63619</v>
      </c>
      <c r="B839" s="198">
        <v>43584</v>
      </c>
      <c r="C839" s="197" t="s">
        <v>457</v>
      </c>
      <c r="D839" s="197" t="s">
        <v>729</v>
      </c>
      <c r="E839" s="197" t="s">
        <v>346</v>
      </c>
      <c r="F839" s="197" t="s">
        <v>414</v>
      </c>
      <c r="G839" s="199" t="s">
        <v>415</v>
      </c>
      <c r="H839" s="199" t="s">
        <v>296</v>
      </c>
      <c r="I839" s="199" t="s">
        <v>416</v>
      </c>
      <c r="J839" s="199" t="s">
        <v>350</v>
      </c>
      <c r="K839" s="197" t="s">
        <v>367</v>
      </c>
      <c r="L839" s="197" t="s">
        <v>357</v>
      </c>
      <c r="M839" s="200" t="s">
        <v>358</v>
      </c>
      <c r="N839" s="201">
        <v>50</v>
      </c>
      <c r="O839" s="202">
        <v>187680</v>
      </c>
      <c r="P839" s="203">
        <v>9384000</v>
      </c>
      <c r="Q839" s="203">
        <v>938400</v>
      </c>
      <c r="R839" s="203">
        <v>10322400</v>
      </c>
      <c r="S839" s="199"/>
      <c r="T839" s="199" t="s">
        <v>310</v>
      </c>
      <c r="U839" s="197">
        <v>61322</v>
      </c>
      <c r="V839" s="197"/>
      <c r="W839" s="196" t="s">
        <v>356</v>
      </c>
      <c r="X839" s="196" t="str">
        <f>+IFERROR(VLOOKUP($F839,'[2]Chuyển đổi mã'!$A$1:$C$91,3,0),$F839)&amp;AC839</f>
        <v>NPP00000119323555</v>
      </c>
      <c r="Y839" s="196" t="str">
        <f>+IFERROR(VLOOKUP($F839,'[2]Chuyển đổi mã'!$A$1:$C$184,3,0),F839)</f>
        <v>NPP00000119</v>
      </c>
      <c r="Z839" s="196" t="str">
        <f>VLOOKUP($G839,'[2]Thông tin NPP'!$B:$D,3,0)</f>
        <v>NGUYỄN DUNG</v>
      </c>
      <c r="AA839" s="196" t="str">
        <f t="shared" ref="AA839:AA852" si="233">+LEFT($M839,10)</f>
        <v>Na 17g - M</v>
      </c>
      <c r="AB839" s="196" t="str">
        <f>+IFERROR(VLOOKUP(DAY(B839),'[2]Chuyển đổi mã'!$F$1:$G$32,2,0),0)</f>
        <v>W5</v>
      </c>
      <c r="AC839" s="196" t="str">
        <f t="shared" ref="AC839:AC852" si="234">+LEFT(L839,6)</f>
        <v>323555</v>
      </c>
      <c r="AD839" s="196" t="str">
        <f t="shared" si="230"/>
        <v>NPP</v>
      </c>
      <c r="AE839" s="196" t="str">
        <f t="shared" si="231"/>
        <v>NPP323555</v>
      </c>
      <c r="AF839" s="196">
        <f t="shared" si="232"/>
        <v>0</v>
      </c>
    </row>
    <row r="840" spans="1:32" ht="12.95" hidden="1" customHeight="1">
      <c r="A840" s="197">
        <v>63620</v>
      </c>
      <c r="B840" s="198">
        <v>43584</v>
      </c>
      <c r="C840" s="197" t="s">
        <v>457</v>
      </c>
      <c r="D840" s="197" t="s">
        <v>730</v>
      </c>
      <c r="E840" s="197" t="s">
        <v>346</v>
      </c>
      <c r="F840" s="197" t="s">
        <v>414</v>
      </c>
      <c r="G840" s="199" t="s">
        <v>415</v>
      </c>
      <c r="H840" s="199" t="s">
        <v>296</v>
      </c>
      <c r="I840" s="199" t="s">
        <v>416</v>
      </c>
      <c r="J840" s="199" t="s">
        <v>350</v>
      </c>
      <c r="K840" s="197" t="s">
        <v>367</v>
      </c>
      <c r="L840" s="197" t="s">
        <v>378</v>
      </c>
      <c r="M840" s="200" t="s">
        <v>379</v>
      </c>
      <c r="N840" s="201">
        <v>70</v>
      </c>
      <c r="O840" s="202">
        <v>187680</v>
      </c>
      <c r="P840" s="203">
        <v>13137600</v>
      </c>
      <c r="Q840" s="203">
        <v>1313760</v>
      </c>
      <c r="R840" s="203">
        <v>14451360</v>
      </c>
      <c r="S840" s="199"/>
      <c r="T840" s="199" t="s">
        <v>310</v>
      </c>
      <c r="U840" s="197">
        <v>61323</v>
      </c>
      <c r="V840" s="197"/>
      <c r="W840" s="196" t="s">
        <v>356</v>
      </c>
      <c r="X840" s="196" t="str">
        <f>+IFERROR(VLOOKUP($F840,'[2]Chuyển đổi mã'!$A$1:$C$91,3,0),$F840)&amp;AC840</f>
        <v>NPP00000119321238</v>
      </c>
      <c r="Y840" s="196" t="str">
        <f>+IFERROR(VLOOKUP($F840,'[2]Chuyển đổi mã'!$A$1:$C$184,3,0),F840)</f>
        <v>NPP00000119</v>
      </c>
      <c r="Z840" s="196" t="str">
        <f>VLOOKUP($G840,'[2]Thông tin NPP'!$B:$D,3,0)</f>
        <v>NGUYỄN DUNG</v>
      </c>
      <c r="AA840" s="196" t="str">
        <f t="shared" si="233"/>
        <v>Richoco Wf</v>
      </c>
      <c r="AB840" s="196" t="str">
        <f>+IFERROR(VLOOKUP(DAY(B840),'[2]Chuyển đổi mã'!$F$1:$G$32,2,0),0)</f>
        <v>W5</v>
      </c>
      <c r="AC840" s="196" t="str">
        <f t="shared" si="234"/>
        <v>321238</v>
      </c>
      <c r="AD840" s="196" t="str">
        <f t="shared" si="230"/>
        <v>NPP</v>
      </c>
      <c r="AE840" s="196" t="str">
        <f t="shared" si="231"/>
        <v>NPP321238</v>
      </c>
      <c r="AF840" s="196">
        <f t="shared" si="232"/>
        <v>0</v>
      </c>
    </row>
    <row r="841" spans="1:32" ht="12.95" hidden="1" customHeight="1">
      <c r="A841" s="197">
        <v>63620</v>
      </c>
      <c r="B841" s="198">
        <v>43584</v>
      </c>
      <c r="C841" s="197" t="s">
        <v>457</v>
      </c>
      <c r="D841" s="197" t="s">
        <v>730</v>
      </c>
      <c r="E841" s="197" t="s">
        <v>346</v>
      </c>
      <c r="F841" s="197" t="s">
        <v>414</v>
      </c>
      <c r="G841" s="199" t="s">
        <v>415</v>
      </c>
      <c r="H841" s="199" t="s">
        <v>296</v>
      </c>
      <c r="I841" s="199" t="s">
        <v>416</v>
      </c>
      <c r="J841" s="199" t="s">
        <v>350</v>
      </c>
      <c r="K841" s="197" t="s">
        <v>367</v>
      </c>
      <c r="L841" s="197" t="s">
        <v>359</v>
      </c>
      <c r="M841" s="200" t="s">
        <v>360</v>
      </c>
      <c r="N841" s="201">
        <v>70</v>
      </c>
      <c r="O841" s="202">
        <v>276000</v>
      </c>
      <c r="P841" s="203">
        <v>19320000</v>
      </c>
      <c r="Q841" s="203">
        <v>1932000</v>
      </c>
      <c r="R841" s="203">
        <v>21252000</v>
      </c>
      <c r="S841" s="199"/>
      <c r="T841" s="199" t="s">
        <v>310</v>
      </c>
      <c r="U841" s="197">
        <v>61323</v>
      </c>
      <c r="V841" s="197"/>
      <c r="W841" s="196" t="s">
        <v>356</v>
      </c>
      <c r="X841" s="196" t="str">
        <f>+IFERROR(VLOOKUP($F841,'[2]Chuyển đổi mã'!$A$1:$C$91,3,0),$F841)&amp;AC841</f>
        <v>NPP00000119320445</v>
      </c>
      <c r="Y841" s="196" t="str">
        <f>+IFERROR(VLOOKUP($F841,'[2]Chuyển đổi mã'!$A$1:$C$184,3,0),F841)</f>
        <v>NPP00000119</v>
      </c>
      <c r="Z841" s="196" t="str">
        <f>VLOOKUP($G841,'[2]Thông tin NPP'!$B:$D,3,0)</f>
        <v>NGUYỄN DUNG</v>
      </c>
      <c r="AA841" s="196" t="str">
        <f t="shared" si="233"/>
        <v>Na 58g</v>
      </c>
      <c r="AB841" s="196" t="str">
        <f>+IFERROR(VLOOKUP(DAY(B841),'[2]Chuyển đổi mã'!$F$1:$G$32,2,0),0)</f>
        <v>W5</v>
      </c>
      <c r="AC841" s="196" t="str">
        <f t="shared" si="234"/>
        <v>320445</v>
      </c>
      <c r="AD841" s="196" t="str">
        <f t="shared" si="230"/>
        <v>NPP</v>
      </c>
      <c r="AE841" s="196" t="str">
        <f t="shared" si="231"/>
        <v>NPP320445</v>
      </c>
      <c r="AF841" s="196">
        <f t="shared" si="232"/>
        <v>0</v>
      </c>
    </row>
    <row r="842" spans="1:32" ht="12.95" hidden="1" customHeight="1">
      <c r="A842" s="197">
        <v>63620</v>
      </c>
      <c r="B842" s="198">
        <v>43584</v>
      </c>
      <c r="C842" s="197" t="s">
        <v>457</v>
      </c>
      <c r="D842" s="197" t="s">
        <v>730</v>
      </c>
      <c r="E842" s="197" t="s">
        <v>346</v>
      </c>
      <c r="F842" s="197" t="s">
        <v>414</v>
      </c>
      <c r="G842" s="199" t="s">
        <v>415</v>
      </c>
      <c r="H842" s="199" t="s">
        <v>296</v>
      </c>
      <c r="I842" s="199" t="s">
        <v>416</v>
      </c>
      <c r="J842" s="199" t="s">
        <v>350</v>
      </c>
      <c r="K842" s="197" t="s">
        <v>367</v>
      </c>
      <c r="L842" s="197" t="s">
        <v>357</v>
      </c>
      <c r="M842" s="200" t="s">
        <v>358</v>
      </c>
      <c r="N842" s="201">
        <v>70</v>
      </c>
      <c r="O842" s="202">
        <v>187680</v>
      </c>
      <c r="P842" s="203">
        <v>13137600</v>
      </c>
      <c r="Q842" s="203">
        <v>1313760</v>
      </c>
      <c r="R842" s="203">
        <v>14451360</v>
      </c>
      <c r="S842" s="199"/>
      <c r="T842" s="199" t="s">
        <v>310</v>
      </c>
      <c r="U842" s="197">
        <v>61323</v>
      </c>
      <c r="V842" s="197"/>
      <c r="W842" s="196" t="s">
        <v>356</v>
      </c>
      <c r="X842" s="196" t="str">
        <f>+IFERROR(VLOOKUP($F842,'[2]Chuyển đổi mã'!$A$1:$C$91,3,0),$F842)&amp;AC842</f>
        <v>NPP00000119323555</v>
      </c>
      <c r="Y842" s="196" t="str">
        <f>+IFERROR(VLOOKUP($F842,'[2]Chuyển đổi mã'!$A$1:$C$184,3,0),F842)</f>
        <v>NPP00000119</v>
      </c>
      <c r="Z842" s="196" t="str">
        <f>VLOOKUP($G842,'[2]Thông tin NPP'!$B:$D,3,0)</f>
        <v>NGUYỄN DUNG</v>
      </c>
      <c r="AA842" s="196" t="str">
        <f t="shared" si="233"/>
        <v>Na 17g - M</v>
      </c>
      <c r="AB842" s="196" t="str">
        <f>+IFERROR(VLOOKUP(DAY(B842),'[2]Chuyển đổi mã'!$F$1:$G$32,2,0),0)</f>
        <v>W5</v>
      </c>
      <c r="AC842" s="196" t="str">
        <f t="shared" si="234"/>
        <v>323555</v>
      </c>
      <c r="AD842" s="196" t="str">
        <f t="shared" si="230"/>
        <v>NPP</v>
      </c>
      <c r="AE842" s="196" t="str">
        <f t="shared" si="231"/>
        <v>NPP323555</v>
      </c>
      <c r="AF842" s="196">
        <f t="shared" si="232"/>
        <v>0</v>
      </c>
    </row>
    <row r="843" spans="1:32" ht="12.95" hidden="1" customHeight="1">
      <c r="A843" s="197">
        <v>63620</v>
      </c>
      <c r="B843" s="198">
        <v>43584</v>
      </c>
      <c r="C843" s="197" t="s">
        <v>457</v>
      </c>
      <c r="D843" s="197" t="s">
        <v>730</v>
      </c>
      <c r="E843" s="197" t="s">
        <v>346</v>
      </c>
      <c r="F843" s="197" t="s">
        <v>414</v>
      </c>
      <c r="G843" s="199" t="s">
        <v>415</v>
      </c>
      <c r="H843" s="199" t="s">
        <v>296</v>
      </c>
      <c r="I843" s="199" t="s">
        <v>416</v>
      </c>
      <c r="J843" s="199" t="s">
        <v>350</v>
      </c>
      <c r="K843" s="197" t="s">
        <v>367</v>
      </c>
      <c r="L843" s="197" t="s">
        <v>408</v>
      </c>
      <c r="M843" s="200" t="s">
        <v>409</v>
      </c>
      <c r="N843" s="201">
        <v>70</v>
      </c>
      <c r="O843" s="202">
        <v>176640</v>
      </c>
      <c r="P843" s="203">
        <v>12364800</v>
      </c>
      <c r="Q843" s="203">
        <v>1236480</v>
      </c>
      <c r="R843" s="203">
        <v>13601280</v>
      </c>
      <c r="S843" s="199"/>
      <c r="T843" s="199" t="s">
        <v>310</v>
      </c>
      <c r="U843" s="197">
        <v>61323</v>
      </c>
      <c r="V843" s="197"/>
      <c r="W843" s="196" t="s">
        <v>356</v>
      </c>
      <c r="X843" s="196" t="str">
        <f>+IFERROR(VLOOKUP($F843,'[2]Chuyển đổi mã'!$A$1:$C$91,3,0),$F843)&amp;AC843</f>
        <v>NPP00000119324136</v>
      </c>
      <c r="Y843" s="196" t="str">
        <f>+IFERROR(VLOOKUP($F843,'[2]Chuyển đổi mã'!$A$1:$C$184,3,0),F843)</f>
        <v>NPP00000119</v>
      </c>
      <c r="Z843" s="196" t="str">
        <f>VLOOKUP($G843,'[2]Thông tin NPP'!$B:$D,3,0)</f>
        <v>NGUYỄN DUNG</v>
      </c>
      <c r="AA843" s="196" t="str">
        <f t="shared" si="233"/>
        <v>Na 145g</v>
      </c>
      <c r="AB843" s="196" t="str">
        <f>+IFERROR(VLOOKUP(DAY(B843),'[2]Chuyển đổi mã'!$F$1:$G$32,2,0),0)</f>
        <v>W5</v>
      </c>
      <c r="AC843" s="196" t="str">
        <f t="shared" si="234"/>
        <v>324136</v>
      </c>
      <c r="AD843" s="196" t="str">
        <f t="shared" si="230"/>
        <v>NPP</v>
      </c>
      <c r="AE843" s="196" t="str">
        <f t="shared" si="231"/>
        <v>NPP324136</v>
      </c>
      <c r="AF843" s="196">
        <f t="shared" si="232"/>
        <v>0</v>
      </c>
    </row>
    <row r="844" spans="1:32" ht="12.95" hidden="1" customHeight="1">
      <c r="A844" s="197">
        <v>63620</v>
      </c>
      <c r="B844" s="198">
        <v>43584</v>
      </c>
      <c r="C844" s="197" t="s">
        <v>457</v>
      </c>
      <c r="D844" s="197" t="s">
        <v>730</v>
      </c>
      <c r="E844" s="197" t="s">
        <v>346</v>
      </c>
      <c r="F844" s="197" t="s">
        <v>414</v>
      </c>
      <c r="G844" s="199" t="s">
        <v>415</v>
      </c>
      <c r="H844" s="199" t="s">
        <v>296</v>
      </c>
      <c r="I844" s="199" t="s">
        <v>416</v>
      </c>
      <c r="J844" s="199" t="s">
        <v>350</v>
      </c>
      <c r="K844" s="197" t="s">
        <v>367</v>
      </c>
      <c r="L844" s="197" t="s">
        <v>387</v>
      </c>
      <c r="M844" s="200" t="s">
        <v>388</v>
      </c>
      <c r="N844" s="201">
        <v>20</v>
      </c>
      <c r="O844" s="202">
        <v>312800</v>
      </c>
      <c r="P844" s="203">
        <v>6256000</v>
      </c>
      <c r="Q844" s="203">
        <v>625600</v>
      </c>
      <c r="R844" s="203">
        <v>6881600</v>
      </c>
      <c r="S844" s="199"/>
      <c r="T844" s="199" t="s">
        <v>310</v>
      </c>
      <c r="U844" s="197">
        <v>61323</v>
      </c>
      <c r="V844" s="197"/>
      <c r="W844" s="196" t="s">
        <v>356</v>
      </c>
      <c r="X844" s="196" t="str">
        <f>+IFERROR(VLOOKUP($F844,'[2]Chuyển đổi mã'!$A$1:$C$91,3,0),$F844)&amp;AC844</f>
        <v>NPP00000119323620</v>
      </c>
      <c r="Y844" s="196" t="str">
        <f>+IFERROR(VLOOKUP($F844,'[2]Chuyển đổi mã'!$A$1:$C$184,3,0),F844)</f>
        <v>NPP00000119</v>
      </c>
      <c r="Z844" s="196" t="str">
        <f>VLOOKUP($G844,'[2]Thông tin NPP'!$B:$D,3,0)</f>
        <v>NGUYỄN DUNG</v>
      </c>
      <c r="AA844" s="196" t="str">
        <f t="shared" si="233"/>
        <v>Ahh 16g</v>
      </c>
      <c r="AB844" s="196" t="str">
        <f>+IFERROR(VLOOKUP(DAY(B844),'[2]Chuyển đổi mã'!$F$1:$G$32,2,0),0)</f>
        <v>W5</v>
      </c>
      <c r="AC844" s="196" t="str">
        <f t="shared" si="234"/>
        <v>323620</v>
      </c>
      <c r="AD844" s="196" t="str">
        <f t="shared" si="230"/>
        <v>NPP</v>
      </c>
      <c r="AE844" s="196" t="str">
        <f t="shared" si="231"/>
        <v>NPP323620</v>
      </c>
      <c r="AF844" s="196">
        <f t="shared" si="232"/>
        <v>0</v>
      </c>
    </row>
    <row r="845" spans="1:32" ht="12.95" hidden="1" customHeight="1">
      <c r="A845" s="197">
        <v>63621</v>
      </c>
      <c r="B845" s="198">
        <v>43584</v>
      </c>
      <c r="C845" s="197" t="s">
        <v>457</v>
      </c>
      <c r="D845" s="197" t="s">
        <v>731</v>
      </c>
      <c r="E845" s="197" t="s">
        <v>346</v>
      </c>
      <c r="F845" s="197" t="s">
        <v>414</v>
      </c>
      <c r="G845" s="199" t="s">
        <v>415</v>
      </c>
      <c r="H845" s="199" t="s">
        <v>296</v>
      </c>
      <c r="I845" s="199" t="s">
        <v>416</v>
      </c>
      <c r="J845" s="199" t="s">
        <v>350</v>
      </c>
      <c r="K845" s="197" t="s">
        <v>367</v>
      </c>
      <c r="L845" s="197" t="s">
        <v>352</v>
      </c>
      <c r="M845" s="200" t="s">
        <v>353</v>
      </c>
      <c r="N845" s="201">
        <v>250</v>
      </c>
      <c r="O845" s="202">
        <v>107728.25</v>
      </c>
      <c r="P845" s="203">
        <v>26932062.5</v>
      </c>
      <c r="Q845" s="203">
        <v>2693206.25</v>
      </c>
      <c r="R845" s="203">
        <v>29625268.75</v>
      </c>
      <c r="S845" s="199" t="s">
        <v>723</v>
      </c>
      <c r="T845" s="199" t="s">
        <v>724</v>
      </c>
      <c r="U845" s="197">
        <v>61324</v>
      </c>
      <c r="V845" s="197"/>
      <c r="W845" s="196" t="s">
        <v>356</v>
      </c>
      <c r="X845" s="196" t="str">
        <f>+IFERROR(VLOOKUP($F845,'[2]Chuyển đổi mã'!$A$1:$C$91,3,0),$F845)&amp;AC845</f>
        <v>NPP00000119320463</v>
      </c>
      <c r="Y845" s="196" t="str">
        <f>+IFERROR(VLOOKUP($F845,'[2]Chuyển đổi mã'!$A$1:$C$184,3,0),F845)</f>
        <v>NPP00000119</v>
      </c>
      <c r="Z845" s="196" t="str">
        <f>VLOOKUP($G845,'[2]Thông tin NPP'!$B:$D,3,0)</f>
        <v>NGUYỄN DUNG</v>
      </c>
      <c r="AA845" s="196" t="str">
        <f t="shared" si="233"/>
        <v>Na 8,5g</v>
      </c>
      <c r="AB845" s="196" t="str">
        <f>+IFERROR(VLOOKUP(DAY(B845),'[2]Chuyển đổi mã'!$F$1:$G$32,2,0),0)</f>
        <v>W5</v>
      </c>
      <c r="AC845" s="196" t="str">
        <f t="shared" si="234"/>
        <v>320463</v>
      </c>
      <c r="AD845" s="196" t="str">
        <f t="shared" si="230"/>
        <v>NPP</v>
      </c>
      <c r="AE845" s="196" t="str">
        <f t="shared" si="231"/>
        <v>NPP320463</v>
      </c>
      <c r="AF845" s="196">
        <f t="shared" si="232"/>
        <v>0</v>
      </c>
    </row>
    <row r="846" spans="1:32" ht="12.95" hidden="1" customHeight="1">
      <c r="A846" s="197">
        <v>63621</v>
      </c>
      <c r="B846" s="198">
        <v>43584</v>
      </c>
      <c r="C846" s="197" t="s">
        <v>457</v>
      </c>
      <c r="D846" s="197" t="s">
        <v>731</v>
      </c>
      <c r="E846" s="197" t="s">
        <v>346</v>
      </c>
      <c r="F846" s="197" t="s">
        <v>414</v>
      </c>
      <c r="G846" s="199" t="s">
        <v>415</v>
      </c>
      <c r="H846" s="199" t="s">
        <v>296</v>
      </c>
      <c r="I846" s="199" t="s">
        <v>416</v>
      </c>
      <c r="J846" s="199" t="s">
        <v>350</v>
      </c>
      <c r="K846" s="197" t="s">
        <v>367</v>
      </c>
      <c r="L846" s="197" t="s">
        <v>357</v>
      </c>
      <c r="M846" s="200" t="s">
        <v>358</v>
      </c>
      <c r="N846" s="201">
        <v>100</v>
      </c>
      <c r="O846" s="202">
        <v>187680</v>
      </c>
      <c r="P846" s="203">
        <v>18768000</v>
      </c>
      <c r="Q846" s="203">
        <v>1876800</v>
      </c>
      <c r="R846" s="203">
        <v>20644800</v>
      </c>
      <c r="S846" s="199"/>
      <c r="T846" s="199" t="s">
        <v>310</v>
      </c>
      <c r="U846" s="197">
        <v>61324</v>
      </c>
      <c r="V846" s="197"/>
      <c r="W846" s="196" t="s">
        <v>356</v>
      </c>
      <c r="X846" s="196" t="str">
        <f>+IFERROR(VLOOKUP($F846,'[2]Chuyển đổi mã'!$A$1:$C$91,3,0),$F846)&amp;AC846</f>
        <v>NPP00000119323555</v>
      </c>
      <c r="Y846" s="196" t="str">
        <f>+IFERROR(VLOOKUP($F846,'[2]Chuyển đổi mã'!$A$1:$C$184,3,0),F846)</f>
        <v>NPP00000119</v>
      </c>
      <c r="Z846" s="196" t="str">
        <f>VLOOKUP($G846,'[2]Thông tin NPP'!$B:$D,3,0)</f>
        <v>NGUYỄN DUNG</v>
      </c>
      <c r="AA846" s="196" t="str">
        <f t="shared" si="233"/>
        <v>Na 17g - M</v>
      </c>
      <c r="AB846" s="196" t="str">
        <f>+IFERROR(VLOOKUP(DAY(B846),'[2]Chuyển đổi mã'!$F$1:$G$32,2,0),0)</f>
        <v>W5</v>
      </c>
      <c r="AC846" s="196" t="str">
        <f t="shared" si="234"/>
        <v>323555</v>
      </c>
      <c r="AD846" s="196" t="str">
        <f t="shared" si="230"/>
        <v>NPP</v>
      </c>
      <c r="AE846" s="196" t="str">
        <f t="shared" si="231"/>
        <v>NPP323555</v>
      </c>
      <c r="AF846" s="196">
        <f t="shared" si="232"/>
        <v>0</v>
      </c>
    </row>
    <row r="847" spans="1:32" ht="12.95" hidden="1" customHeight="1">
      <c r="A847" s="197">
        <v>63622</v>
      </c>
      <c r="B847" s="198">
        <v>43584</v>
      </c>
      <c r="C847" s="197" t="s">
        <v>457</v>
      </c>
      <c r="D847" s="197" t="s">
        <v>732</v>
      </c>
      <c r="E847" s="197" t="s">
        <v>346</v>
      </c>
      <c r="F847" s="197" t="s">
        <v>414</v>
      </c>
      <c r="G847" s="199" t="s">
        <v>415</v>
      </c>
      <c r="H847" s="199" t="s">
        <v>296</v>
      </c>
      <c r="I847" s="199" t="s">
        <v>416</v>
      </c>
      <c r="J847" s="199" t="s">
        <v>350</v>
      </c>
      <c r="K847" s="197" t="s">
        <v>367</v>
      </c>
      <c r="L847" s="197" t="s">
        <v>352</v>
      </c>
      <c r="M847" s="200" t="s">
        <v>353</v>
      </c>
      <c r="N847" s="201">
        <v>230</v>
      </c>
      <c r="O847" s="202">
        <v>107728.25</v>
      </c>
      <c r="P847" s="203">
        <v>24777497.5</v>
      </c>
      <c r="Q847" s="203">
        <v>2477749.75</v>
      </c>
      <c r="R847" s="203">
        <v>27255247.25</v>
      </c>
      <c r="S847" s="199" t="s">
        <v>723</v>
      </c>
      <c r="T847" s="199" t="s">
        <v>724</v>
      </c>
      <c r="U847" s="197">
        <v>61325</v>
      </c>
      <c r="V847" s="197"/>
      <c r="W847" s="196" t="s">
        <v>356</v>
      </c>
      <c r="X847" s="196" t="str">
        <f>+IFERROR(VLOOKUP($F847,'[2]Chuyển đổi mã'!$A$1:$C$91,3,0),$F847)&amp;AC847</f>
        <v>NPP00000119320463</v>
      </c>
      <c r="Y847" s="196" t="str">
        <f>+IFERROR(VLOOKUP($F847,'[2]Chuyển đổi mã'!$A$1:$C$184,3,0),F847)</f>
        <v>NPP00000119</v>
      </c>
      <c r="Z847" s="196" t="str">
        <f>VLOOKUP($G847,'[2]Thông tin NPP'!$B:$D,3,0)</f>
        <v>NGUYỄN DUNG</v>
      </c>
      <c r="AA847" s="196" t="str">
        <f t="shared" si="233"/>
        <v>Na 8,5g</v>
      </c>
      <c r="AB847" s="196" t="str">
        <f>+IFERROR(VLOOKUP(DAY(B847),'[2]Chuyển đổi mã'!$F$1:$G$32,2,0),0)</f>
        <v>W5</v>
      </c>
      <c r="AC847" s="196" t="str">
        <f t="shared" si="234"/>
        <v>320463</v>
      </c>
      <c r="AD847" s="196" t="str">
        <f t="shared" si="230"/>
        <v>NPP</v>
      </c>
      <c r="AE847" s="196" t="str">
        <f t="shared" si="231"/>
        <v>NPP320463</v>
      </c>
      <c r="AF847" s="196">
        <f t="shared" si="232"/>
        <v>0</v>
      </c>
    </row>
    <row r="848" spans="1:32" ht="12.95" hidden="1" customHeight="1">
      <c r="A848" s="197">
        <v>63622</v>
      </c>
      <c r="B848" s="198">
        <v>43584</v>
      </c>
      <c r="C848" s="197" t="s">
        <v>457</v>
      </c>
      <c r="D848" s="197" t="s">
        <v>732</v>
      </c>
      <c r="E848" s="197" t="s">
        <v>346</v>
      </c>
      <c r="F848" s="197" t="s">
        <v>414</v>
      </c>
      <c r="G848" s="199" t="s">
        <v>415</v>
      </c>
      <c r="H848" s="199" t="s">
        <v>296</v>
      </c>
      <c r="I848" s="199" t="s">
        <v>416</v>
      </c>
      <c r="J848" s="199" t="s">
        <v>350</v>
      </c>
      <c r="K848" s="197" t="s">
        <v>367</v>
      </c>
      <c r="L848" s="197" t="s">
        <v>357</v>
      </c>
      <c r="M848" s="200" t="s">
        <v>358</v>
      </c>
      <c r="N848" s="201">
        <v>100</v>
      </c>
      <c r="O848" s="202">
        <v>187680</v>
      </c>
      <c r="P848" s="203">
        <v>18768000</v>
      </c>
      <c r="Q848" s="203">
        <v>1876800</v>
      </c>
      <c r="R848" s="203">
        <v>20644800</v>
      </c>
      <c r="S848" s="199"/>
      <c r="T848" s="199" t="s">
        <v>310</v>
      </c>
      <c r="U848" s="197">
        <v>61325</v>
      </c>
      <c r="V848" s="197"/>
      <c r="W848" s="196" t="s">
        <v>356</v>
      </c>
      <c r="X848" s="196" t="str">
        <f>+IFERROR(VLOOKUP($F848,'[2]Chuyển đổi mã'!$A$1:$C$91,3,0),$F848)&amp;AC848</f>
        <v>NPP00000119323555</v>
      </c>
      <c r="Y848" s="196" t="str">
        <f>+IFERROR(VLOOKUP($F848,'[2]Chuyển đổi mã'!$A$1:$C$184,3,0),F848)</f>
        <v>NPP00000119</v>
      </c>
      <c r="Z848" s="196" t="str">
        <f>VLOOKUP($G848,'[2]Thông tin NPP'!$B:$D,3,0)</f>
        <v>NGUYỄN DUNG</v>
      </c>
      <c r="AA848" s="196" t="str">
        <f t="shared" si="233"/>
        <v>Na 17g - M</v>
      </c>
      <c r="AB848" s="196" t="str">
        <f>+IFERROR(VLOOKUP(DAY(B848),'[2]Chuyển đổi mã'!$F$1:$G$32,2,0),0)</f>
        <v>W5</v>
      </c>
      <c r="AC848" s="196" t="str">
        <f t="shared" si="234"/>
        <v>323555</v>
      </c>
      <c r="AD848" s="196" t="str">
        <f t="shared" si="230"/>
        <v>NPP</v>
      </c>
      <c r="AE848" s="196" t="str">
        <f t="shared" si="231"/>
        <v>NPP323555</v>
      </c>
      <c r="AF848" s="196">
        <f t="shared" si="232"/>
        <v>0</v>
      </c>
    </row>
    <row r="849" spans="1:32" ht="12.95" hidden="1" customHeight="1">
      <c r="A849" s="197">
        <v>63623</v>
      </c>
      <c r="B849" s="198">
        <v>43584</v>
      </c>
      <c r="C849" s="197" t="s">
        <v>457</v>
      </c>
      <c r="D849" s="197" t="s">
        <v>733</v>
      </c>
      <c r="E849" s="197" t="s">
        <v>346</v>
      </c>
      <c r="F849" s="197" t="s">
        <v>414</v>
      </c>
      <c r="G849" s="199" t="s">
        <v>415</v>
      </c>
      <c r="H849" s="199" t="s">
        <v>296</v>
      </c>
      <c r="I849" s="199" t="s">
        <v>416</v>
      </c>
      <c r="J849" s="199" t="s">
        <v>350</v>
      </c>
      <c r="K849" s="197" t="s">
        <v>367</v>
      </c>
      <c r="L849" s="197" t="s">
        <v>352</v>
      </c>
      <c r="M849" s="200" t="s">
        <v>353</v>
      </c>
      <c r="N849" s="201">
        <v>200</v>
      </c>
      <c r="O849" s="202">
        <v>107728.25</v>
      </c>
      <c r="P849" s="203">
        <v>21545650</v>
      </c>
      <c r="Q849" s="203">
        <v>2154565</v>
      </c>
      <c r="R849" s="203">
        <v>23700215</v>
      </c>
      <c r="S849" s="199" t="s">
        <v>723</v>
      </c>
      <c r="T849" s="199" t="s">
        <v>724</v>
      </c>
      <c r="U849" s="197">
        <v>61326</v>
      </c>
      <c r="V849" s="197"/>
      <c r="W849" s="196" t="s">
        <v>356</v>
      </c>
      <c r="X849" s="196" t="str">
        <f>+IFERROR(VLOOKUP($F849,'[2]Chuyển đổi mã'!$A$1:$C$91,3,0),$F849)&amp;AC849</f>
        <v>NPP00000119320463</v>
      </c>
      <c r="Y849" s="196" t="str">
        <f>+IFERROR(VLOOKUP($F849,'[2]Chuyển đổi mã'!$A$1:$C$184,3,0),F849)</f>
        <v>NPP00000119</v>
      </c>
      <c r="Z849" s="196" t="str">
        <f>VLOOKUP($G849,'[2]Thông tin NPP'!$B:$D,3,0)</f>
        <v>NGUYỄN DUNG</v>
      </c>
      <c r="AA849" s="196" t="str">
        <f t="shared" si="233"/>
        <v>Na 8,5g</v>
      </c>
      <c r="AB849" s="196" t="str">
        <f>+IFERROR(VLOOKUP(DAY(B849),'[2]Chuyển đổi mã'!$F$1:$G$32,2,0),0)</f>
        <v>W5</v>
      </c>
      <c r="AC849" s="196" t="str">
        <f t="shared" si="234"/>
        <v>320463</v>
      </c>
      <c r="AD849" s="196" t="str">
        <f t="shared" si="230"/>
        <v>NPP</v>
      </c>
      <c r="AE849" s="196" t="str">
        <f t="shared" si="231"/>
        <v>NPP320463</v>
      </c>
      <c r="AF849" s="196">
        <f t="shared" si="232"/>
        <v>0</v>
      </c>
    </row>
    <row r="850" spans="1:32" ht="12.95" hidden="1" customHeight="1">
      <c r="A850" s="197">
        <v>63623</v>
      </c>
      <c r="B850" s="198">
        <v>43584</v>
      </c>
      <c r="C850" s="197" t="s">
        <v>457</v>
      </c>
      <c r="D850" s="197" t="s">
        <v>733</v>
      </c>
      <c r="E850" s="197" t="s">
        <v>346</v>
      </c>
      <c r="F850" s="197" t="s">
        <v>414</v>
      </c>
      <c r="G850" s="199" t="s">
        <v>415</v>
      </c>
      <c r="H850" s="199" t="s">
        <v>296</v>
      </c>
      <c r="I850" s="199" t="s">
        <v>416</v>
      </c>
      <c r="J850" s="199" t="s">
        <v>350</v>
      </c>
      <c r="K850" s="197" t="s">
        <v>367</v>
      </c>
      <c r="L850" s="197" t="s">
        <v>378</v>
      </c>
      <c r="M850" s="200" t="s">
        <v>379</v>
      </c>
      <c r="N850" s="201">
        <v>50</v>
      </c>
      <c r="O850" s="202">
        <v>187680</v>
      </c>
      <c r="P850" s="203">
        <v>9384000</v>
      </c>
      <c r="Q850" s="203">
        <v>938400</v>
      </c>
      <c r="R850" s="203">
        <v>10322400</v>
      </c>
      <c r="S850" s="199"/>
      <c r="T850" s="199" t="s">
        <v>310</v>
      </c>
      <c r="U850" s="197">
        <v>61326</v>
      </c>
      <c r="V850" s="197"/>
      <c r="W850" s="196" t="s">
        <v>356</v>
      </c>
      <c r="X850" s="196" t="str">
        <f>+IFERROR(VLOOKUP($F850,'[2]Chuyển đổi mã'!$A$1:$C$91,3,0),$F850)&amp;AC850</f>
        <v>NPP00000119321238</v>
      </c>
      <c r="Y850" s="196" t="str">
        <f>+IFERROR(VLOOKUP($F850,'[2]Chuyển đổi mã'!$A$1:$C$184,3,0),F850)</f>
        <v>NPP00000119</v>
      </c>
      <c r="Z850" s="196" t="str">
        <f>VLOOKUP($G850,'[2]Thông tin NPP'!$B:$D,3,0)</f>
        <v>NGUYỄN DUNG</v>
      </c>
      <c r="AA850" s="196" t="str">
        <f t="shared" si="233"/>
        <v>Richoco Wf</v>
      </c>
      <c r="AB850" s="196" t="str">
        <f>+IFERROR(VLOOKUP(DAY(B850),'[2]Chuyển đổi mã'!$F$1:$G$32,2,0),0)</f>
        <v>W5</v>
      </c>
      <c r="AC850" s="196" t="str">
        <f t="shared" si="234"/>
        <v>321238</v>
      </c>
      <c r="AD850" s="196" t="str">
        <f t="shared" si="230"/>
        <v>NPP</v>
      </c>
      <c r="AE850" s="196" t="str">
        <f t="shared" si="231"/>
        <v>NPP321238</v>
      </c>
      <c r="AF850" s="196">
        <f t="shared" si="232"/>
        <v>0</v>
      </c>
    </row>
    <row r="851" spans="1:32" ht="12.95" hidden="1" customHeight="1">
      <c r="A851" s="197">
        <v>63623</v>
      </c>
      <c r="B851" s="198">
        <v>43584</v>
      </c>
      <c r="C851" s="197" t="s">
        <v>457</v>
      </c>
      <c r="D851" s="197" t="s">
        <v>733</v>
      </c>
      <c r="E851" s="197" t="s">
        <v>346</v>
      </c>
      <c r="F851" s="197" t="s">
        <v>414</v>
      </c>
      <c r="G851" s="199" t="s">
        <v>415</v>
      </c>
      <c r="H851" s="199" t="s">
        <v>296</v>
      </c>
      <c r="I851" s="199" t="s">
        <v>416</v>
      </c>
      <c r="J851" s="199" t="s">
        <v>350</v>
      </c>
      <c r="K851" s="197" t="s">
        <v>367</v>
      </c>
      <c r="L851" s="197" t="s">
        <v>357</v>
      </c>
      <c r="M851" s="200" t="s">
        <v>358</v>
      </c>
      <c r="N851" s="201">
        <v>50</v>
      </c>
      <c r="O851" s="202">
        <v>187680</v>
      </c>
      <c r="P851" s="203">
        <v>9384000</v>
      </c>
      <c r="Q851" s="203">
        <v>938400</v>
      </c>
      <c r="R851" s="203">
        <v>10322400</v>
      </c>
      <c r="S851" s="199"/>
      <c r="T851" s="199" t="s">
        <v>310</v>
      </c>
      <c r="U851" s="197">
        <v>61326</v>
      </c>
      <c r="V851" s="197"/>
      <c r="W851" s="196" t="s">
        <v>356</v>
      </c>
      <c r="X851" s="196" t="str">
        <f>+IFERROR(VLOOKUP($F851,'[2]Chuyển đổi mã'!$A$1:$C$91,3,0),$F851)&amp;AC851</f>
        <v>NPP00000119323555</v>
      </c>
      <c r="Y851" s="196" t="str">
        <f>+IFERROR(VLOOKUP($F851,'[2]Chuyển đổi mã'!$A$1:$C$184,3,0),F851)</f>
        <v>NPP00000119</v>
      </c>
      <c r="Z851" s="196" t="str">
        <f>VLOOKUP($G851,'[2]Thông tin NPP'!$B:$D,3,0)</f>
        <v>NGUYỄN DUNG</v>
      </c>
      <c r="AA851" s="196" t="str">
        <f t="shared" si="233"/>
        <v>Na 17g - M</v>
      </c>
      <c r="AB851" s="196" t="str">
        <f>+IFERROR(VLOOKUP(DAY(B851),'[2]Chuyển đổi mã'!$F$1:$G$32,2,0),0)</f>
        <v>W5</v>
      </c>
      <c r="AC851" s="196" t="str">
        <f t="shared" si="234"/>
        <v>323555</v>
      </c>
      <c r="AD851" s="196" t="str">
        <f t="shared" si="230"/>
        <v>NPP</v>
      </c>
      <c r="AE851" s="196" t="str">
        <f t="shared" si="231"/>
        <v>NPP323555</v>
      </c>
      <c r="AF851" s="196">
        <f t="shared" si="232"/>
        <v>0</v>
      </c>
    </row>
    <row r="852" spans="1:32" ht="12.95" hidden="1" customHeight="1">
      <c r="A852" s="197">
        <v>63623</v>
      </c>
      <c r="B852" s="198">
        <v>43584</v>
      </c>
      <c r="C852" s="197" t="s">
        <v>457</v>
      </c>
      <c r="D852" s="197" t="s">
        <v>733</v>
      </c>
      <c r="E852" s="197" t="s">
        <v>346</v>
      </c>
      <c r="F852" s="197" t="s">
        <v>414</v>
      </c>
      <c r="G852" s="199" t="s">
        <v>415</v>
      </c>
      <c r="H852" s="199" t="s">
        <v>296</v>
      </c>
      <c r="I852" s="199" t="s">
        <v>416</v>
      </c>
      <c r="J852" s="199" t="s">
        <v>350</v>
      </c>
      <c r="K852" s="197" t="s">
        <v>367</v>
      </c>
      <c r="L852" s="197" t="s">
        <v>387</v>
      </c>
      <c r="M852" s="200" t="s">
        <v>388</v>
      </c>
      <c r="N852" s="201">
        <v>20</v>
      </c>
      <c r="O852" s="202">
        <v>312800</v>
      </c>
      <c r="P852" s="203">
        <v>6256000</v>
      </c>
      <c r="Q852" s="203">
        <v>625600</v>
      </c>
      <c r="R852" s="203">
        <v>6881600</v>
      </c>
      <c r="S852" s="199"/>
      <c r="T852" s="199" t="s">
        <v>310</v>
      </c>
      <c r="U852" s="197">
        <v>61326</v>
      </c>
      <c r="V852" s="197"/>
      <c r="W852" s="196" t="s">
        <v>356</v>
      </c>
      <c r="X852" s="196" t="str">
        <f>+IFERROR(VLOOKUP($F852,'[2]Chuyển đổi mã'!$A$1:$C$91,3,0),$F852)&amp;AC852</f>
        <v>NPP00000119323620</v>
      </c>
      <c r="Y852" s="196" t="str">
        <f>+IFERROR(VLOOKUP($F852,'[2]Chuyển đổi mã'!$A$1:$C$184,3,0),F852)</f>
        <v>NPP00000119</v>
      </c>
      <c r="Z852" s="196" t="str">
        <f>VLOOKUP($G852,'[2]Thông tin NPP'!$B:$D,3,0)</f>
        <v>NGUYỄN DUNG</v>
      </c>
      <c r="AA852" s="196" t="str">
        <f t="shared" si="233"/>
        <v>Ahh 16g</v>
      </c>
      <c r="AB852" s="196" t="str">
        <f>+IFERROR(VLOOKUP(DAY(B852),'[2]Chuyển đổi mã'!$F$1:$G$32,2,0),0)</f>
        <v>W5</v>
      </c>
      <c r="AC852" s="196" t="str">
        <f t="shared" si="234"/>
        <v>323620</v>
      </c>
      <c r="AD852" s="196" t="str">
        <f t="shared" si="230"/>
        <v>NPP</v>
      </c>
      <c r="AE852" s="196" t="str">
        <f t="shared" si="231"/>
        <v>NPP323620</v>
      </c>
      <c r="AF852" s="196">
        <f t="shared" si="232"/>
        <v>0</v>
      </c>
    </row>
  </sheetData>
  <autoFilter ref="A3:AF852">
    <filterColumn colId="8">
      <filters>
        <filter val="MT-DIR-S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11"/>
  <sheetViews>
    <sheetView workbookViewId="0">
      <selection activeCell="C5" sqref="C5:C414"/>
    </sheetView>
  </sheetViews>
  <sheetFormatPr defaultRowHeight="15"/>
  <cols>
    <col min="2" max="2" width="24.42578125" bestFit="1" customWidth="1"/>
    <col min="7" max="7" width="24.42578125" bestFit="1" customWidth="1"/>
    <col min="8" max="8" width="16.85546875" style="204" bestFit="1" customWidth="1"/>
    <col min="9" max="9" width="13.28515625" bestFit="1" customWidth="1"/>
    <col min="10" max="10" width="18.28515625" bestFit="1" customWidth="1"/>
  </cols>
  <sheetData>
    <row r="1" spans="1:14">
      <c r="A1" t="s">
        <v>318</v>
      </c>
      <c r="B1" t="s">
        <v>319</v>
      </c>
      <c r="C1" t="s">
        <v>330</v>
      </c>
    </row>
    <row r="2" spans="1:14" hidden="1">
      <c r="A2" t="s">
        <v>347</v>
      </c>
      <c r="B2" t="s">
        <v>348</v>
      </c>
      <c r="C2">
        <v>-6583519.25</v>
      </c>
      <c r="G2" t="s">
        <v>319</v>
      </c>
      <c r="H2" s="204" t="s">
        <v>330</v>
      </c>
      <c r="J2" t="s">
        <v>19</v>
      </c>
      <c r="K2" t="s">
        <v>737</v>
      </c>
    </row>
    <row r="3" spans="1:14" hidden="1">
      <c r="A3" t="s">
        <v>347</v>
      </c>
      <c r="B3" t="s">
        <v>348</v>
      </c>
      <c r="C3">
        <v>-234600.3</v>
      </c>
      <c r="F3" t="s">
        <v>41</v>
      </c>
      <c r="G3" t="s">
        <v>348</v>
      </c>
      <c r="H3" s="204">
        <v>22657755.450000003</v>
      </c>
      <c r="J3" t="s">
        <v>301</v>
      </c>
      <c r="K3" s="204">
        <f t="shared" ref="K3:K27" si="0">+H3/1000</f>
        <v>22657.755450000004</v>
      </c>
    </row>
    <row r="4" spans="1:14" hidden="1">
      <c r="A4" t="s">
        <v>347</v>
      </c>
      <c r="B4" t="s">
        <v>348</v>
      </c>
      <c r="C4">
        <v>-344999.6</v>
      </c>
      <c r="F4" t="s">
        <v>41</v>
      </c>
      <c r="G4" t="s">
        <v>418</v>
      </c>
      <c r="H4" s="204">
        <v>18121125</v>
      </c>
      <c r="J4" t="s">
        <v>301</v>
      </c>
      <c r="K4" s="204">
        <f t="shared" si="0"/>
        <v>18121.125</v>
      </c>
      <c r="M4" t="s">
        <v>19</v>
      </c>
      <c r="N4" t="s">
        <v>737</v>
      </c>
    </row>
    <row r="5" spans="1:14">
      <c r="A5" t="s">
        <v>347</v>
      </c>
      <c r="B5" t="s">
        <v>348</v>
      </c>
      <c r="C5">
        <v>-344999.6</v>
      </c>
      <c r="F5" t="s">
        <v>41</v>
      </c>
      <c r="G5" t="s">
        <v>422</v>
      </c>
      <c r="H5" s="204">
        <v>43306377.400000006</v>
      </c>
      <c r="J5" t="s">
        <v>270</v>
      </c>
      <c r="K5" s="204">
        <f t="shared" si="0"/>
        <v>43306.377400000005</v>
      </c>
      <c r="M5" t="s">
        <v>734</v>
      </c>
      <c r="N5" s="116">
        <v>234777.29085360002</v>
      </c>
    </row>
    <row r="6" spans="1:14" hidden="1">
      <c r="A6" t="s">
        <v>347</v>
      </c>
      <c r="B6" t="s">
        <v>348</v>
      </c>
      <c r="C6">
        <v>-367999.5</v>
      </c>
      <c r="G6" t="s">
        <v>436</v>
      </c>
      <c r="H6" s="204">
        <v>-58427699.136399999</v>
      </c>
      <c r="J6" t="s">
        <v>301</v>
      </c>
      <c r="K6" s="204">
        <f t="shared" si="0"/>
        <v>-58427.699136399999</v>
      </c>
      <c r="M6" t="s">
        <v>735</v>
      </c>
      <c r="N6" s="116">
        <v>387952.84645500005</v>
      </c>
    </row>
    <row r="7" spans="1:14">
      <c r="A7" t="s">
        <v>347</v>
      </c>
      <c r="B7" t="s">
        <v>348</v>
      </c>
      <c r="C7">
        <v>-344999.6</v>
      </c>
      <c r="F7" t="s">
        <v>41</v>
      </c>
      <c r="G7" t="s">
        <v>439</v>
      </c>
      <c r="H7" s="204">
        <v>11394010.100000001</v>
      </c>
      <c r="J7" t="s">
        <v>270</v>
      </c>
      <c r="K7" s="204">
        <f t="shared" si="0"/>
        <v>11394.010100000001</v>
      </c>
    </row>
    <row r="8" spans="1:14">
      <c r="A8" t="s">
        <v>417</v>
      </c>
      <c r="B8" t="s">
        <v>418</v>
      </c>
      <c r="C8">
        <v>-386100</v>
      </c>
      <c r="F8" t="s">
        <v>41</v>
      </c>
      <c r="G8" t="s">
        <v>451</v>
      </c>
      <c r="H8" s="204">
        <v>39591987.399999999</v>
      </c>
      <c r="J8" t="s">
        <v>270</v>
      </c>
      <c r="K8" s="204">
        <f t="shared" si="0"/>
        <v>39591.987399999998</v>
      </c>
    </row>
    <row r="9" spans="1:14">
      <c r="A9" t="s">
        <v>417</v>
      </c>
      <c r="B9" t="s">
        <v>418</v>
      </c>
      <c r="C9">
        <v>-4712400</v>
      </c>
      <c r="F9" t="s">
        <v>41</v>
      </c>
      <c r="G9" t="s">
        <v>460</v>
      </c>
      <c r="H9" s="204">
        <v>127086056.90000001</v>
      </c>
      <c r="J9" t="s">
        <v>270</v>
      </c>
      <c r="K9" s="204">
        <f t="shared" si="0"/>
        <v>127086.05690000001</v>
      </c>
    </row>
    <row r="10" spans="1:14" hidden="1">
      <c r="A10" t="s">
        <v>417</v>
      </c>
      <c r="B10" t="s">
        <v>418</v>
      </c>
      <c r="C10">
        <v>-1356432</v>
      </c>
      <c r="F10" t="s">
        <v>41</v>
      </c>
      <c r="G10" t="s">
        <v>464</v>
      </c>
      <c r="H10" s="204">
        <v>19404359.425000001</v>
      </c>
      <c r="J10" t="s">
        <v>301</v>
      </c>
      <c r="K10" s="204">
        <f t="shared" si="0"/>
        <v>19404.359425000002</v>
      </c>
    </row>
    <row r="11" spans="1:14">
      <c r="A11" t="s">
        <v>421</v>
      </c>
      <c r="B11" t="s">
        <v>422</v>
      </c>
      <c r="C11">
        <v>-462924</v>
      </c>
      <c r="F11" t="s">
        <v>41</v>
      </c>
      <c r="G11" t="s">
        <v>467</v>
      </c>
      <c r="H11" s="204">
        <v>10975526.76</v>
      </c>
      <c r="J11" t="s">
        <v>270</v>
      </c>
      <c r="K11" s="204">
        <f t="shared" si="0"/>
        <v>10975.526760000001</v>
      </c>
    </row>
    <row r="12" spans="1:14" hidden="1">
      <c r="A12" t="s">
        <v>421</v>
      </c>
      <c r="B12" t="s">
        <v>422</v>
      </c>
      <c r="C12">
        <v>-369600</v>
      </c>
      <c r="F12" t="s">
        <v>41</v>
      </c>
      <c r="G12" t="s">
        <v>470</v>
      </c>
      <c r="H12" s="204">
        <v>10833083.139999999</v>
      </c>
      <c r="J12" t="s">
        <v>301</v>
      </c>
      <c r="K12" s="204">
        <f t="shared" si="0"/>
        <v>10833.083139999999</v>
      </c>
    </row>
    <row r="13" spans="1:14">
      <c r="A13" t="s">
        <v>435</v>
      </c>
      <c r="B13" t="s">
        <v>436</v>
      </c>
      <c r="C13">
        <v>-1360546.11</v>
      </c>
      <c r="F13" t="s">
        <v>41</v>
      </c>
      <c r="G13" t="s">
        <v>473</v>
      </c>
      <c r="H13" s="204">
        <v>5712461.9749999996</v>
      </c>
      <c r="J13" t="s">
        <v>270</v>
      </c>
      <c r="K13" s="204">
        <f t="shared" si="0"/>
        <v>5712.4619749999993</v>
      </c>
    </row>
    <row r="14" spans="1:14" hidden="1">
      <c r="A14" t="s">
        <v>435</v>
      </c>
      <c r="B14" t="s">
        <v>436</v>
      </c>
      <c r="C14">
        <v>-570526.11</v>
      </c>
      <c r="F14" t="s">
        <v>41</v>
      </c>
      <c r="G14" t="s">
        <v>478</v>
      </c>
      <c r="H14" s="204">
        <v>38957088.5</v>
      </c>
      <c r="J14" t="s">
        <v>301</v>
      </c>
      <c r="K14" s="204">
        <f t="shared" si="0"/>
        <v>38957.088499999998</v>
      </c>
    </row>
    <row r="15" spans="1:14" hidden="1">
      <c r="A15" t="s">
        <v>435</v>
      </c>
      <c r="B15" t="s">
        <v>436</v>
      </c>
      <c r="C15">
        <v>-2896740</v>
      </c>
      <c r="F15" t="s">
        <v>41</v>
      </c>
      <c r="G15" t="s">
        <v>485</v>
      </c>
      <c r="H15" s="204">
        <v>93051083.950000018</v>
      </c>
      <c r="J15" t="s">
        <v>301</v>
      </c>
      <c r="K15" s="204">
        <f t="shared" si="0"/>
        <v>93051.083950000015</v>
      </c>
    </row>
    <row r="16" spans="1:14">
      <c r="A16" t="s">
        <v>435</v>
      </c>
      <c r="B16" t="s">
        <v>436</v>
      </c>
      <c r="C16">
        <v>-4059781.11</v>
      </c>
      <c r="F16" t="s">
        <v>41</v>
      </c>
      <c r="G16" t="s">
        <v>500</v>
      </c>
      <c r="H16" s="204">
        <v>22245963.025000002</v>
      </c>
      <c r="J16" t="s">
        <v>270</v>
      </c>
      <c r="K16" s="204">
        <f t="shared" si="0"/>
        <v>22245.963025000001</v>
      </c>
    </row>
    <row r="17" spans="1:11" hidden="1">
      <c r="A17" t="s">
        <v>435</v>
      </c>
      <c r="B17" t="s">
        <v>436</v>
      </c>
      <c r="C17">
        <v>-625679.00009999995</v>
      </c>
      <c r="F17" t="s">
        <v>41</v>
      </c>
      <c r="G17" t="s">
        <v>523</v>
      </c>
      <c r="H17" s="204">
        <v>11970756.325000001</v>
      </c>
      <c r="J17" t="s">
        <v>301</v>
      </c>
      <c r="K17" s="204">
        <f t="shared" si="0"/>
        <v>11970.756325</v>
      </c>
    </row>
    <row r="18" spans="1:11">
      <c r="A18" t="s">
        <v>435</v>
      </c>
      <c r="B18" t="s">
        <v>436</v>
      </c>
      <c r="C18">
        <v>-703800.9</v>
      </c>
      <c r="F18" t="s">
        <v>41</v>
      </c>
      <c r="G18" t="s">
        <v>526</v>
      </c>
      <c r="H18" s="204">
        <v>17344767.824999999</v>
      </c>
      <c r="J18" t="s">
        <v>270</v>
      </c>
      <c r="K18" s="204">
        <f t="shared" si="0"/>
        <v>17344.767824999999</v>
      </c>
    </row>
    <row r="19" spans="1:11" hidden="1">
      <c r="A19" t="s">
        <v>435</v>
      </c>
      <c r="B19" t="s">
        <v>436</v>
      </c>
      <c r="C19">
        <v>-97634.886799999993</v>
      </c>
      <c r="F19" t="s">
        <v>41</v>
      </c>
      <c r="G19" t="s">
        <v>529</v>
      </c>
      <c r="H19" s="204">
        <v>12005355.725</v>
      </c>
      <c r="J19" t="s">
        <v>301</v>
      </c>
      <c r="K19" s="204">
        <f t="shared" si="0"/>
        <v>12005.355724999999</v>
      </c>
    </row>
    <row r="20" spans="1:11">
      <c r="A20" t="s">
        <v>435</v>
      </c>
      <c r="B20" t="s">
        <v>436</v>
      </c>
      <c r="C20">
        <v>-131670</v>
      </c>
      <c r="F20" t="s">
        <v>41</v>
      </c>
      <c r="G20" t="s">
        <v>532</v>
      </c>
      <c r="H20" s="204">
        <v>18661529.149999999</v>
      </c>
      <c r="J20" t="s">
        <v>270</v>
      </c>
      <c r="K20" s="204">
        <f t="shared" si="0"/>
        <v>18661.529149999998</v>
      </c>
    </row>
    <row r="21" spans="1:11" hidden="1">
      <c r="A21" t="s">
        <v>435</v>
      </c>
      <c r="B21" t="s">
        <v>436</v>
      </c>
      <c r="C21">
        <v>-703800.9</v>
      </c>
      <c r="F21" t="s">
        <v>41</v>
      </c>
      <c r="G21" t="s">
        <v>542</v>
      </c>
      <c r="H21" s="204">
        <v>5576856.1749999989</v>
      </c>
      <c r="J21" t="s">
        <v>301</v>
      </c>
      <c r="K21" s="204">
        <f t="shared" si="0"/>
        <v>5576.856174999999</v>
      </c>
    </row>
    <row r="22" spans="1:11">
      <c r="A22" t="s">
        <v>435</v>
      </c>
      <c r="B22" t="s">
        <v>436</v>
      </c>
      <c r="C22">
        <v>-109364.8732</v>
      </c>
      <c r="F22" t="s">
        <v>41</v>
      </c>
      <c r="G22" t="s">
        <v>551</v>
      </c>
      <c r="H22" s="204">
        <v>45999935.520000003</v>
      </c>
      <c r="J22" t="s">
        <v>270</v>
      </c>
      <c r="K22" s="204">
        <f t="shared" si="0"/>
        <v>45999.935520000006</v>
      </c>
    </row>
    <row r="23" spans="1:11">
      <c r="A23" t="s">
        <v>435</v>
      </c>
      <c r="B23" t="s">
        <v>436</v>
      </c>
      <c r="C23">
        <v>-2633400</v>
      </c>
      <c r="F23" t="s">
        <v>41</v>
      </c>
      <c r="G23" t="s">
        <v>554</v>
      </c>
      <c r="H23" s="204">
        <v>23662211.100000001</v>
      </c>
      <c r="J23" t="s">
        <v>270</v>
      </c>
      <c r="K23" s="204">
        <f t="shared" si="0"/>
        <v>23662.2111</v>
      </c>
    </row>
    <row r="24" spans="1:11" hidden="1">
      <c r="A24" t="s">
        <v>435</v>
      </c>
      <c r="B24" t="s">
        <v>436</v>
      </c>
      <c r="C24">
        <v>-14193318.15</v>
      </c>
      <c r="F24" t="s">
        <v>41</v>
      </c>
      <c r="G24" t="s">
        <v>557</v>
      </c>
      <c r="H24" s="204">
        <v>21986450.199999999</v>
      </c>
      <c r="J24" t="s">
        <v>301</v>
      </c>
      <c r="K24" s="204">
        <f t="shared" si="0"/>
        <v>21986.450199999999</v>
      </c>
    </row>
    <row r="25" spans="1:11" hidden="1">
      <c r="A25" t="s">
        <v>435</v>
      </c>
      <c r="B25" t="s">
        <v>436</v>
      </c>
      <c r="C25">
        <v>-12684166.109999999</v>
      </c>
      <c r="F25" t="s">
        <v>41</v>
      </c>
      <c r="G25" t="s">
        <v>560</v>
      </c>
      <c r="H25" s="204">
        <v>27376074</v>
      </c>
      <c r="J25" t="s">
        <v>301</v>
      </c>
      <c r="K25" s="204">
        <f t="shared" si="0"/>
        <v>27376.074000000001</v>
      </c>
    </row>
    <row r="26" spans="1:11">
      <c r="A26" t="s">
        <v>435</v>
      </c>
      <c r="B26" t="s">
        <v>436</v>
      </c>
      <c r="C26">
        <v>-2424124.8999000001</v>
      </c>
      <c r="F26" t="s">
        <v>41</v>
      </c>
      <c r="G26" t="s">
        <v>597</v>
      </c>
      <c r="H26" s="204">
        <v>21972019.300000004</v>
      </c>
      <c r="J26" t="s">
        <v>270</v>
      </c>
      <c r="K26" s="204">
        <f t="shared" si="0"/>
        <v>21972.019300000004</v>
      </c>
    </row>
    <row r="27" spans="1:11" hidden="1">
      <c r="A27" t="s">
        <v>435</v>
      </c>
      <c r="B27" t="s">
        <v>436</v>
      </c>
      <c r="C27">
        <v>-13841417.699999999</v>
      </c>
      <c r="F27" t="s">
        <v>41</v>
      </c>
      <c r="G27" t="s">
        <v>601</v>
      </c>
      <c r="H27" s="204">
        <v>11265002.1</v>
      </c>
      <c r="J27" t="s">
        <v>301</v>
      </c>
      <c r="K27" s="204">
        <f t="shared" si="0"/>
        <v>11265.0021</v>
      </c>
    </row>
    <row r="28" spans="1:11" hidden="1">
      <c r="A28" t="s">
        <v>435</v>
      </c>
      <c r="B28" t="s">
        <v>436</v>
      </c>
      <c r="C28">
        <v>-195614.7732</v>
      </c>
      <c r="H28" s="204">
        <f>SUM(H3:H27)</f>
        <v>622730137.30859995</v>
      </c>
      <c r="K28" s="204">
        <f>SUM(K3:K27)</f>
        <v>622730.13730860013</v>
      </c>
    </row>
    <row r="29" spans="1:11" hidden="1">
      <c r="A29" t="s">
        <v>435</v>
      </c>
      <c r="B29" t="s">
        <v>436</v>
      </c>
      <c r="C29">
        <v>-1196113.6132</v>
      </c>
    </row>
    <row r="30" spans="1:11" hidden="1">
      <c r="A30" t="s">
        <v>438</v>
      </c>
      <c r="B30" t="s">
        <v>439</v>
      </c>
      <c r="C30">
        <v>-4213452.32</v>
      </c>
    </row>
    <row r="31" spans="1:11" hidden="1">
      <c r="A31" t="s">
        <v>438</v>
      </c>
      <c r="B31" t="s">
        <v>439</v>
      </c>
      <c r="C31">
        <v>-6334208.0999999996</v>
      </c>
    </row>
    <row r="32" spans="1:11" hidden="1">
      <c r="A32" t="s">
        <v>438</v>
      </c>
      <c r="B32" t="s">
        <v>439</v>
      </c>
      <c r="C32">
        <v>-5083006.5</v>
      </c>
    </row>
    <row r="33" spans="1:10" hidden="1">
      <c r="A33" t="s">
        <v>438</v>
      </c>
      <c r="B33" t="s">
        <v>439</v>
      </c>
      <c r="C33">
        <v>-1379998.4</v>
      </c>
    </row>
    <row r="34" spans="1:10" hidden="1">
      <c r="A34" t="s">
        <v>438</v>
      </c>
      <c r="B34" t="s">
        <v>439</v>
      </c>
      <c r="C34">
        <v>-2414997.2000000002</v>
      </c>
      <c r="G34" t="s">
        <v>488</v>
      </c>
      <c r="H34" s="204">
        <v>1627036915.6799998</v>
      </c>
      <c r="I34" s="204">
        <f>+H34/1000</f>
        <v>1627036.9156799999</v>
      </c>
      <c r="J34" t="s">
        <v>736</v>
      </c>
    </row>
    <row r="35" spans="1:10" hidden="1">
      <c r="A35" t="s">
        <v>450</v>
      </c>
      <c r="B35" t="s">
        <v>451</v>
      </c>
      <c r="C35">
        <v>-4152905</v>
      </c>
      <c r="G35" t="s">
        <v>494</v>
      </c>
      <c r="H35" s="204">
        <v>333885970</v>
      </c>
      <c r="I35" s="204">
        <f>+H35/1000</f>
        <v>333885.96999999997</v>
      </c>
      <c r="J35" t="s">
        <v>736</v>
      </c>
    </row>
    <row r="36" spans="1:10" hidden="1">
      <c r="A36" t="s">
        <v>347</v>
      </c>
      <c r="B36" t="s">
        <v>348</v>
      </c>
      <c r="C36">
        <v>6583519.25</v>
      </c>
    </row>
    <row r="37" spans="1:10" hidden="1">
      <c r="A37" t="s">
        <v>347</v>
      </c>
      <c r="B37" t="s">
        <v>348</v>
      </c>
      <c r="C37">
        <v>234600.3</v>
      </c>
    </row>
    <row r="38" spans="1:10" hidden="1">
      <c r="A38" t="s">
        <v>347</v>
      </c>
      <c r="B38" t="s">
        <v>348</v>
      </c>
      <c r="C38">
        <v>344999.6</v>
      </c>
    </row>
    <row r="39" spans="1:10" hidden="1">
      <c r="A39" t="s">
        <v>347</v>
      </c>
      <c r="B39" t="s">
        <v>348</v>
      </c>
      <c r="C39">
        <v>344999.6</v>
      </c>
    </row>
    <row r="40" spans="1:10" hidden="1">
      <c r="A40" t="s">
        <v>347</v>
      </c>
      <c r="B40" t="s">
        <v>348</v>
      </c>
      <c r="C40">
        <v>367999.5</v>
      </c>
    </row>
    <row r="41" spans="1:10" hidden="1">
      <c r="A41" t="s">
        <v>347</v>
      </c>
      <c r="B41" t="s">
        <v>348</v>
      </c>
      <c r="C41">
        <v>344999.6</v>
      </c>
    </row>
    <row r="42" spans="1:10" hidden="1">
      <c r="A42" t="s">
        <v>459</v>
      </c>
      <c r="B42" t="s">
        <v>460</v>
      </c>
      <c r="C42">
        <v>855002.5</v>
      </c>
    </row>
    <row r="43" spans="1:10" hidden="1">
      <c r="A43" t="s">
        <v>459</v>
      </c>
      <c r="B43" t="s">
        <v>460</v>
      </c>
      <c r="C43">
        <v>1650000</v>
      </c>
    </row>
    <row r="44" spans="1:10" hidden="1">
      <c r="A44" t="s">
        <v>459</v>
      </c>
      <c r="B44" t="s">
        <v>460</v>
      </c>
      <c r="C44">
        <v>1173001.5</v>
      </c>
    </row>
    <row r="45" spans="1:10" hidden="1">
      <c r="A45" t="s">
        <v>459</v>
      </c>
      <c r="B45" t="s">
        <v>460</v>
      </c>
      <c r="C45">
        <v>660000</v>
      </c>
    </row>
    <row r="46" spans="1:10" hidden="1">
      <c r="A46" t="s">
        <v>459</v>
      </c>
      <c r="B46" t="s">
        <v>460</v>
      </c>
      <c r="C46">
        <v>2346003</v>
      </c>
    </row>
    <row r="47" spans="1:10" hidden="1">
      <c r="A47" t="s">
        <v>463</v>
      </c>
      <c r="B47" t="s">
        <v>464</v>
      </c>
      <c r="C47">
        <v>3291759.625</v>
      </c>
    </row>
    <row r="48" spans="1:10" hidden="1">
      <c r="A48" t="s">
        <v>463</v>
      </c>
      <c r="B48" t="s">
        <v>464</v>
      </c>
      <c r="C48">
        <v>344999.6</v>
      </c>
    </row>
    <row r="49" spans="1:3" hidden="1">
      <c r="A49" t="s">
        <v>463</v>
      </c>
      <c r="B49" t="s">
        <v>464</v>
      </c>
      <c r="C49">
        <v>344999.6</v>
      </c>
    </row>
    <row r="50" spans="1:3" hidden="1">
      <c r="A50" t="s">
        <v>463</v>
      </c>
      <c r="B50" t="s">
        <v>464</v>
      </c>
      <c r="C50">
        <v>1103998.5</v>
      </c>
    </row>
    <row r="51" spans="1:3" hidden="1">
      <c r="A51" t="s">
        <v>463</v>
      </c>
      <c r="B51" t="s">
        <v>464</v>
      </c>
      <c r="C51">
        <v>689999.2</v>
      </c>
    </row>
    <row r="52" spans="1:3" hidden="1">
      <c r="A52" t="s">
        <v>466</v>
      </c>
      <c r="B52" t="s">
        <v>467</v>
      </c>
      <c r="C52">
        <v>1448374.2350000001</v>
      </c>
    </row>
    <row r="53" spans="1:3" hidden="1">
      <c r="A53" t="s">
        <v>466</v>
      </c>
      <c r="B53" t="s">
        <v>467</v>
      </c>
      <c r="C53">
        <v>391000.5</v>
      </c>
    </row>
    <row r="54" spans="1:3" hidden="1">
      <c r="A54" t="s">
        <v>466</v>
      </c>
      <c r="B54" t="s">
        <v>467</v>
      </c>
      <c r="C54">
        <v>1876802.4</v>
      </c>
    </row>
    <row r="55" spans="1:3" hidden="1">
      <c r="A55" t="s">
        <v>466</v>
      </c>
      <c r="B55" t="s">
        <v>467</v>
      </c>
      <c r="C55">
        <v>1379998.4</v>
      </c>
    </row>
    <row r="56" spans="1:3" hidden="1">
      <c r="A56" t="s">
        <v>466</v>
      </c>
      <c r="B56" t="s">
        <v>467</v>
      </c>
      <c r="C56">
        <v>1034998.8</v>
      </c>
    </row>
    <row r="57" spans="1:3" hidden="1">
      <c r="A57" t="s">
        <v>469</v>
      </c>
      <c r="B57" t="s">
        <v>470</v>
      </c>
      <c r="C57">
        <v>526681.54</v>
      </c>
    </row>
    <row r="58" spans="1:3" hidden="1">
      <c r="A58" t="s">
        <v>469</v>
      </c>
      <c r="B58" t="s">
        <v>470</v>
      </c>
      <c r="C58">
        <v>1564002</v>
      </c>
    </row>
    <row r="59" spans="1:3" hidden="1">
      <c r="A59" t="s">
        <v>469</v>
      </c>
      <c r="B59" t="s">
        <v>470</v>
      </c>
      <c r="C59">
        <v>703800.9</v>
      </c>
    </row>
    <row r="60" spans="1:3" hidden="1">
      <c r="A60" t="s">
        <v>469</v>
      </c>
      <c r="B60" t="s">
        <v>470</v>
      </c>
      <c r="C60">
        <v>689999.2</v>
      </c>
    </row>
    <row r="61" spans="1:3" hidden="1">
      <c r="A61" t="s">
        <v>469</v>
      </c>
      <c r="B61" t="s">
        <v>470</v>
      </c>
      <c r="C61">
        <v>344999.6</v>
      </c>
    </row>
    <row r="62" spans="1:3" hidden="1">
      <c r="A62" t="s">
        <v>469</v>
      </c>
      <c r="B62" t="s">
        <v>470</v>
      </c>
      <c r="C62">
        <v>1103998.5</v>
      </c>
    </row>
    <row r="63" spans="1:3" hidden="1">
      <c r="A63" t="s">
        <v>469</v>
      </c>
      <c r="B63" t="s">
        <v>470</v>
      </c>
      <c r="C63">
        <v>689999.2</v>
      </c>
    </row>
    <row r="64" spans="1:3" hidden="1">
      <c r="A64" t="s">
        <v>472</v>
      </c>
      <c r="B64" t="s">
        <v>473</v>
      </c>
      <c r="C64">
        <v>4608463.4749999996</v>
      </c>
    </row>
    <row r="65" spans="1:3" hidden="1">
      <c r="A65" t="s">
        <v>472</v>
      </c>
      <c r="B65" t="s">
        <v>473</v>
      </c>
      <c r="C65">
        <v>1103998.5</v>
      </c>
    </row>
    <row r="66" spans="1:3" hidden="1">
      <c r="A66" t="s">
        <v>347</v>
      </c>
      <c r="B66" t="s">
        <v>348</v>
      </c>
      <c r="C66">
        <v>6583519.25</v>
      </c>
    </row>
    <row r="67" spans="1:3" hidden="1">
      <c r="A67" t="s">
        <v>347</v>
      </c>
      <c r="B67" t="s">
        <v>348</v>
      </c>
      <c r="C67">
        <v>344999.6</v>
      </c>
    </row>
    <row r="68" spans="1:3" hidden="1">
      <c r="A68" t="s">
        <v>347</v>
      </c>
      <c r="B68" t="s">
        <v>348</v>
      </c>
      <c r="C68">
        <v>344999.6</v>
      </c>
    </row>
    <row r="69" spans="1:3" hidden="1">
      <c r="A69" t="s">
        <v>347</v>
      </c>
      <c r="B69" t="s">
        <v>348</v>
      </c>
      <c r="C69">
        <v>367999.5</v>
      </c>
    </row>
    <row r="70" spans="1:3" hidden="1">
      <c r="A70" t="s">
        <v>347</v>
      </c>
      <c r="B70" t="s">
        <v>348</v>
      </c>
      <c r="C70">
        <v>344999.6</v>
      </c>
    </row>
    <row r="71" spans="1:3" hidden="1">
      <c r="A71" t="s">
        <v>421</v>
      </c>
      <c r="B71" t="s">
        <v>422</v>
      </c>
      <c r="C71">
        <v>2565007.5</v>
      </c>
    </row>
    <row r="72" spans="1:3" hidden="1">
      <c r="A72" t="s">
        <v>421</v>
      </c>
      <c r="B72" t="s">
        <v>422</v>
      </c>
      <c r="C72">
        <v>990000</v>
      </c>
    </row>
    <row r="73" spans="1:3" hidden="1">
      <c r="A73" t="s">
        <v>421</v>
      </c>
      <c r="B73" t="s">
        <v>422</v>
      </c>
      <c r="C73">
        <v>1407601.8</v>
      </c>
    </row>
    <row r="74" spans="1:3" hidden="1">
      <c r="A74" t="s">
        <v>421</v>
      </c>
      <c r="B74" t="s">
        <v>422</v>
      </c>
      <c r="C74">
        <v>330000</v>
      </c>
    </row>
    <row r="75" spans="1:3" hidden="1">
      <c r="A75" t="s">
        <v>421</v>
      </c>
      <c r="B75" t="s">
        <v>422</v>
      </c>
      <c r="C75">
        <v>990000</v>
      </c>
    </row>
    <row r="76" spans="1:3" hidden="1">
      <c r="A76" t="s">
        <v>421</v>
      </c>
      <c r="B76" t="s">
        <v>422</v>
      </c>
      <c r="C76">
        <v>1407601.8</v>
      </c>
    </row>
    <row r="77" spans="1:3" hidden="1">
      <c r="A77" t="s">
        <v>421</v>
      </c>
      <c r="B77" t="s">
        <v>422</v>
      </c>
      <c r="C77">
        <v>330000</v>
      </c>
    </row>
    <row r="78" spans="1:3" hidden="1">
      <c r="A78" t="s">
        <v>421</v>
      </c>
      <c r="B78" t="s">
        <v>422</v>
      </c>
      <c r="C78">
        <v>1056000</v>
      </c>
    </row>
    <row r="79" spans="1:3" hidden="1">
      <c r="A79" t="s">
        <v>477</v>
      </c>
      <c r="B79" t="s">
        <v>478</v>
      </c>
      <c r="C79">
        <v>3420010</v>
      </c>
    </row>
    <row r="80" spans="1:3" hidden="1">
      <c r="A80" t="s">
        <v>477</v>
      </c>
      <c r="B80" t="s">
        <v>478</v>
      </c>
      <c r="C80">
        <v>3300000</v>
      </c>
    </row>
    <row r="81" spans="1:3" hidden="1">
      <c r="A81" t="s">
        <v>477</v>
      </c>
      <c r="B81" t="s">
        <v>478</v>
      </c>
      <c r="C81">
        <v>1173001.5</v>
      </c>
    </row>
    <row r="82" spans="1:3" hidden="1">
      <c r="A82" t="s">
        <v>477</v>
      </c>
      <c r="B82" t="s">
        <v>478</v>
      </c>
      <c r="C82">
        <v>1650000</v>
      </c>
    </row>
    <row r="83" spans="1:3" hidden="1">
      <c r="A83" t="s">
        <v>477</v>
      </c>
      <c r="B83" t="s">
        <v>478</v>
      </c>
      <c r="C83">
        <v>1760000</v>
      </c>
    </row>
    <row r="84" spans="1:3" hidden="1">
      <c r="A84" t="s">
        <v>450</v>
      </c>
      <c r="B84" t="s">
        <v>451</v>
      </c>
      <c r="C84">
        <v>1710005</v>
      </c>
    </row>
    <row r="85" spans="1:3" hidden="1">
      <c r="A85" t="s">
        <v>450</v>
      </c>
      <c r="B85" t="s">
        <v>451</v>
      </c>
      <c r="C85">
        <v>1122000</v>
      </c>
    </row>
    <row r="86" spans="1:3" hidden="1">
      <c r="A86" t="s">
        <v>450</v>
      </c>
      <c r="B86" t="s">
        <v>451</v>
      </c>
      <c r="C86">
        <v>1650000</v>
      </c>
    </row>
    <row r="87" spans="1:3" hidden="1">
      <c r="A87" t="s">
        <v>450</v>
      </c>
      <c r="B87" t="s">
        <v>451</v>
      </c>
      <c r="C87">
        <v>3300000</v>
      </c>
    </row>
    <row r="88" spans="1:3" hidden="1">
      <c r="A88" t="s">
        <v>450</v>
      </c>
      <c r="B88" t="s">
        <v>451</v>
      </c>
      <c r="C88">
        <v>2346003</v>
      </c>
    </row>
    <row r="89" spans="1:3" hidden="1">
      <c r="A89" t="s">
        <v>450</v>
      </c>
      <c r="B89" t="s">
        <v>451</v>
      </c>
      <c r="C89">
        <v>330000</v>
      </c>
    </row>
    <row r="90" spans="1:3" hidden="1">
      <c r="A90" t="s">
        <v>450</v>
      </c>
      <c r="B90" t="s">
        <v>451</v>
      </c>
      <c r="C90">
        <v>352000</v>
      </c>
    </row>
    <row r="91" spans="1:3" hidden="1">
      <c r="A91" t="s">
        <v>484</v>
      </c>
      <c r="B91" t="s">
        <v>485</v>
      </c>
      <c r="C91">
        <v>2565007.5</v>
      </c>
    </row>
    <row r="92" spans="1:3" hidden="1">
      <c r="A92" t="s">
        <v>484</v>
      </c>
      <c r="B92" t="s">
        <v>485</v>
      </c>
      <c r="C92">
        <v>660000</v>
      </c>
    </row>
    <row r="93" spans="1:3" hidden="1">
      <c r="A93" t="s">
        <v>484</v>
      </c>
      <c r="B93" t="s">
        <v>485</v>
      </c>
      <c r="C93">
        <v>1122000</v>
      </c>
    </row>
    <row r="94" spans="1:3" hidden="1">
      <c r="A94" t="s">
        <v>484</v>
      </c>
      <c r="B94" t="s">
        <v>485</v>
      </c>
      <c r="C94">
        <v>1173001.5</v>
      </c>
    </row>
    <row r="95" spans="1:3" hidden="1">
      <c r="A95" t="s">
        <v>484</v>
      </c>
      <c r="B95" t="s">
        <v>485</v>
      </c>
      <c r="C95">
        <v>990000</v>
      </c>
    </row>
    <row r="96" spans="1:3" hidden="1">
      <c r="A96" t="s">
        <v>484</v>
      </c>
      <c r="B96" t="s">
        <v>485</v>
      </c>
      <c r="C96">
        <v>1320000</v>
      </c>
    </row>
    <row r="97" spans="1:3" hidden="1">
      <c r="A97" t="s">
        <v>484</v>
      </c>
      <c r="B97" t="s">
        <v>485</v>
      </c>
      <c r="C97">
        <v>4692006</v>
      </c>
    </row>
    <row r="98" spans="1:3" hidden="1">
      <c r="A98" t="s">
        <v>484</v>
      </c>
      <c r="B98" t="s">
        <v>485</v>
      </c>
      <c r="C98">
        <v>330000</v>
      </c>
    </row>
    <row r="99" spans="1:3" hidden="1">
      <c r="A99" t="s">
        <v>484</v>
      </c>
      <c r="B99" t="s">
        <v>485</v>
      </c>
      <c r="C99">
        <v>704000</v>
      </c>
    </row>
    <row r="100" spans="1:3" hidden="1">
      <c r="A100" t="s">
        <v>487</v>
      </c>
      <c r="B100" t="s">
        <v>488</v>
      </c>
      <c r="C100">
        <v>22440000</v>
      </c>
    </row>
    <row r="101" spans="1:3" hidden="1">
      <c r="A101" t="s">
        <v>487</v>
      </c>
      <c r="B101" t="s">
        <v>488</v>
      </c>
      <c r="C101">
        <v>22440000</v>
      </c>
    </row>
    <row r="102" spans="1:3" hidden="1">
      <c r="A102" t="s">
        <v>487</v>
      </c>
      <c r="B102" t="s">
        <v>488</v>
      </c>
      <c r="C102">
        <v>99000000</v>
      </c>
    </row>
    <row r="103" spans="1:3" hidden="1">
      <c r="A103" t="s">
        <v>487</v>
      </c>
      <c r="B103" t="s">
        <v>488</v>
      </c>
      <c r="C103">
        <v>26400000</v>
      </c>
    </row>
    <row r="104" spans="1:3" hidden="1">
      <c r="A104" t="s">
        <v>487</v>
      </c>
      <c r="B104" t="s">
        <v>488</v>
      </c>
      <c r="C104">
        <v>13200000</v>
      </c>
    </row>
    <row r="105" spans="1:3" hidden="1">
      <c r="A105" t="s">
        <v>487</v>
      </c>
      <c r="B105" t="s">
        <v>488</v>
      </c>
      <c r="C105">
        <v>152592000</v>
      </c>
    </row>
    <row r="106" spans="1:3" hidden="1">
      <c r="A106" t="s">
        <v>493</v>
      </c>
      <c r="B106" t="s">
        <v>494</v>
      </c>
      <c r="C106">
        <v>19074000</v>
      </c>
    </row>
    <row r="107" spans="1:3" hidden="1">
      <c r="A107" t="s">
        <v>493</v>
      </c>
      <c r="B107" t="s">
        <v>494</v>
      </c>
      <c r="C107">
        <v>9900000</v>
      </c>
    </row>
    <row r="108" spans="1:3" hidden="1">
      <c r="A108" t="s">
        <v>493</v>
      </c>
      <c r="B108" t="s">
        <v>494</v>
      </c>
      <c r="C108">
        <v>4950000</v>
      </c>
    </row>
    <row r="109" spans="1:3" hidden="1">
      <c r="A109" t="s">
        <v>493</v>
      </c>
      <c r="B109" t="s">
        <v>494</v>
      </c>
      <c r="C109">
        <v>3300000</v>
      </c>
    </row>
    <row r="110" spans="1:3" hidden="1">
      <c r="A110" t="s">
        <v>499</v>
      </c>
      <c r="B110" t="s">
        <v>500</v>
      </c>
      <c r="C110">
        <v>1316703.8500000001</v>
      </c>
    </row>
    <row r="111" spans="1:3" hidden="1">
      <c r="A111" t="s">
        <v>499</v>
      </c>
      <c r="B111" t="s">
        <v>500</v>
      </c>
      <c r="C111">
        <v>1173001.5</v>
      </c>
    </row>
    <row r="112" spans="1:3" hidden="1">
      <c r="A112" t="s">
        <v>499</v>
      </c>
      <c r="B112" t="s">
        <v>500</v>
      </c>
      <c r="C112">
        <v>1103998.5</v>
      </c>
    </row>
    <row r="113" spans="1:3" hidden="1">
      <c r="A113" t="s">
        <v>499</v>
      </c>
      <c r="B113" t="s">
        <v>500</v>
      </c>
      <c r="C113">
        <v>689999.2</v>
      </c>
    </row>
    <row r="114" spans="1:3" hidden="1">
      <c r="A114" t="s">
        <v>499</v>
      </c>
      <c r="B114" t="s">
        <v>500</v>
      </c>
      <c r="C114">
        <v>2633407.7000000002</v>
      </c>
    </row>
    <row r="115" spans="1:3" hidden="1">
      <c r="A115" t="s">
        <v>499</v>
      </c>
      <c r="B115" t="s">
        <v>500</v>
      </c>
      <c r="C115">
        <v>782001</v>
      </c>
    </row>
    <row r="116" spans="1:3" hidden="1">
      <c r="A116" t="s">
        <v>499</v>
      </c>
      <c r="B116" t="s">
        <v>500</v>
      </c>
      <c r="C116">
        <v>1173001.5</v>
      </c>
    </row>
    <row r="117" spans="1:3" hidden="1">
      <c r="A117" t="s">
        <v>499</v>
      </c>
      <c r="B117" t="s">
        <v>500</v>
      </c>
      <c r="C117">
        <v>1034998.8</v>
      </c>
    </row>
    <row r="118" spans="1:3" hidden="1">
      <c r="A118" t="s">
        <v>499</v>
      </c>
      <c r="B118" t="s">
        <v>500</v>
      </c>
      <c r="C118">
        <v>1034998.8</v>
      </c>
    </row>
    <row r="119" spans="1:3" hidden="1">
      <c r="A119" t="s">
        <v>522</v>
      </c>
      <c r="B119" t="s">
        <v>523</v>
      </c>
      <c r="C119">
        <v>658351.92500000005</v>
      </c>
    </row>
    <row r="120" spans="1:3" hidden="1">
      <c r="A120" t="s">
        <v>522</v>
      </c>
      <c r="B120" t="s">
        <v>523</v>
      </c>
      <c r="C120">
        <v>1955002.5</v>
      </c>
    </row>
    <row r="121" spans="1:3" hidden="1">
      <c r="A121" t="s">
        <v>522</v>
      </c>
      <c r="B121" t="s">
        <v>523</v>
      </c>
      <c r="C121">
        <v>1379998.4</v>
      </c>
    </row>
    <row r="122" spans="1:3" hidden="1">
      <c r="A122" t="s">
        <v>522</v>
      </c>
      <c r="B122" t="s">
        <v>523</v>
      </c>
      <c r="C122">
        <v>689999.2</v>
      </c>
    </row>
    <row r="123" spans="1:3" hidden="1">
      <c r="A123" t="s">
        <v>522</v>
      </c>
      <c r="B123" t="s">
        <v>523</v>
      </c>
      <c r="C123">
        <v>735999</v>
      </c>
    </row>
    <row r="124" spans="1:3" hidden="1">
      <c r="A124" t="s">
        <v>525</v>
      </c>
      <c r="B124" t="s">
        <v>526</v>
      </c>
      <c r="C124">
        <v>658351.92500000005</v>
      </c>
    </row>
    <row r="125" spans="1:3" hidden="1">
      <c r="A125" t="s">
        <v>525</v>
      </c>
      <c r="B125" t="s">
        <v>526</v>
      </c>
      <c r="C125">
        <v>1173001.5</v>
      </c>
    </row>
    <row r="126" spans="1:3" hidden="1">
      <c r="A126" t="s">
        <v>525</v>
      </c>
      <c r="B126" t="s">
        <v>526</v>
      </c>
      <c r="C126">
        <v>2111402.7000000002</v>
      </c>
    </row>
    <row r="127" spans="1:3" hidden="1">
      <c r="A127" t="s">
        <v>525</v>
      </c>
      <c r="B127" t="s">
        <v>526</v>
      </c>
      <c r="C127">
        <v>1379998.4</v>
      </c>
    </row>
    <row r="128" spans="1:3" hidden="1">
      <c r="A128" t="s">
        <v>525</v>
      </c>
      <c r="B128" t="s">
        <v>526</v>
      </c>
      <c r="C128">
        <v>344999.6</v>
      </c>
    </row>
    <row r="129" spans="1:3" hidden="1">
      <c r="A129" t="s">
        <v>528</v>
      </c>
      <c r="B129" t="s">
        <v>529</v>
      </c>
      <c r="C129">
        <v>658351.92500000005</v>
      </c>
    </row>
    <row r="130" spans="1:3" hidden="1">
      <c r="A130" t="s">
        <v>528</v>
      </c>
      <c r="B130" t="s">
        <v>529</v>
      </c>
      <c r="C130">
        <v>1955002.5</v>
      </c>
    </row>
    <row r="131" spans="1:3" hidden="1">
      <c r="A131" t="s">
        <v>528</v>
      </c>
      <c r="B131" t="s">
        <v>529</v>
      </c>
      <c r="C131">
        <v>1173001.5</v>
      </c>
    </row>
    <row r="132" spans="1:3" hidden="1">
      <c r="A132" t="s">
        <v>528</v>
      </c>
      <c r="B132" t="s">
        <v>529</v>
      </c>
      <c r="C132">
        <v>689999.2</v>
      </c>
    </row>
    <row r="133" spans="1:3" hidden="1">
      <c r="A133" t="s">
        <v>528</v>
      </c>
      <c r="B133" t="s">
        <v>529</v>
      </c>
      <c r="C133">
        <v>344999.6</v>
      </c>
    </row>
    <row r="134" spans="1:3" hidden="1">
      <c r="A134" t="s">
        <v>528</v>
      </c>
      <c r="B134" t="s">
        <v>529</v>
      </c>
      <c r="C134">
        <v>735999</v>
      </c>
    </row>
    <row r="135" spans="1:3" hidden="1">
      <c r="A135" t="s">
        <v>531</v>
      </c>
      <c r="B135" t="s">
        <v>532</v>
      </c>
      <c r="C135">
        <v>6583519.25</v>
      </c>
    </row>
    <row r="136" spans="1:3" hidden="1">
      <c r="A136" t="s">
        <v>531</v>
      </c>
      <c r="B136" t="s">
        <v>532</v>
      </c>
      <c r="C136">
        <v>782001</v>
      </c>
    </row>
    <row r="137" spans="1:3" hidden="1">
      <c r="A137" t="s">
        <v>531</v>
      </c>
      <c r="B137" t="s">
        <v>532</v>
      </c>
      <c r="C137">
        <v>689999.2</v>
      </c>
    </row>
    <row r="138" spans="1:3" hidden="1">
      <c r="A138" t="s">
        <v>531</v>
      </c>
      <c r="B138" t="s">
        <v>532</v>
      </c>
      <c r="C138">
        <v>367999.5</v>
      </c>
    </row>
    <row r="139" spans="1:3" hidden="1">
      <c r="A139" t="s">
        <v>459</v>
      </c>
      <c r="B139" t="s">
        <v>460</v>
      </c>
      <c r="C139">
        <v>1710005</v>
      </c>
    </row>
    <row r="140" spans="1:3" hidden="1">
      <c r="A140" t="s">
        <v>459</v>
      </c>
      <c r="B140" t="s">
        <v>460</v>
      </c>
      <c r="C140">
        <v>1870000</v>
      </c>
    </row>
    <row r="141" spans="1:3" hidden="1">
      <c r="A141" t="s">
        <v>459</v>
      </c>
      <c r="B141" t="s">
        <v>460</v>
      </c>
      <c r="C141">
        <v>938401.2</v>
      </c>
    </row>
    <row r="142" spans="1:3" hidden="1">
      <c r="A142" t="s">
        <v>459</v>
      </c>
      <c r="B142" t="s">
        <v>460</v>
      </c>
      <c r="C142">
        <v>660000</v>
      </c>
    </row>
    <row r="143" spans="1:3" hidden="1">
      <c r="A143" t="s">
        <v>459</v>
      </c>
      <c r="B143" t="s">
        <v>460</v>
      </c>
      <c r="C143">
        <v>2346003</v>
      </c>
    </row>
    <row r="144" spans="1:3" hidden="1">
      <c r="A144" t="s">
        <v>459</v>
      </c>
      <c r="B144" t="s">
        <v>460</v>
      </c>
      <c r="C144">
        <v>704000</v>
      </c>
    </row>
    <row r="145" spans="1:3" hidden="1">
      <c r="A145" t="s">
        <v>541</v>
      </c>
      <c r="B145" t="s">
        <v>542</v>
      </c>
      <c r="C145">
        <v>1975055.7749999999</v>
      </c>
    </row>
    <row r="146" spans="1:3" hidden="1">
      <c r="A146" t="s">
        <v>541</v>
      </c>
      <c r="B146" t="s">
        <v>542</v>
      </c>
      <c r="C146">
        <v>1876802.4</v>
      </c>
    </row>
    <row r="147" spans="1:3" hidden="1">
      <c r="A147" t="s">
        <v>541</v>
      </c>
      <c r="B147" t="s">
        <v>542</v>
      </c>
      <c r="C147">
        <v>1379998.4</v>
      </c>
    </row>
    <row r="148" spans="1:3" hidden="1">
      <c r="A148" t="s">
        <v>541</v>
      </c>
      <c r="B148" t="s">
        <v>542</v>
      </c>
      <c r="C148">
        <v>344999.6</v>
      </c>
    </row>
    <row r="149" spans="1:3" hidden="1">
      <c r="A149" t="s">
        <v>459</v>
      </c>
      <c r="B149" t="s">
        <v>460</v>
      </c>
      <c r="C149">
        <v>44289129.5</v>
      </c>
    </row>
    <row r="150" spans="1:3" hidden="1">
      <c r="A150" t="s">
        <v>459</v>
      </c>
      <c r="B150" t="s">
        <v>460</v>
      </c>
      <c r="C150">
        <v>1650000</v>
      </c>
    </row>
    <row r="151" spans="1:3" hidden="1">
      <c r="A151" t="s">
        <v>459</v>
      </c>
      <c r="B151" t="s">
        <v>460</v>
      </c>
      <c r="C151">
        <v>3740000</v>
      </c>
    </row>
    <row r="152" spans="1:3" hidden="1">
      <c r="A152" t="s">
        <v>459</v>
      </c>
      <c r="B152" t="s">
        <v>460</v>
      </c>
      <c r="C152">
        <v>660000</v>
      </c>
    </row>
    <row r="153" spans="1:3" hidden="1">
      <c r="A153" t="s">
        <v>459</v>
      </c>
      <c r="B153" t="s">
        <v>460</v>
      </c>
      <c r="C153">
        <v>2346003</v>
      </c>
    </row>
    <row r="154" spans="1:3" hidden="1">
      <c r="A154" t="s">
        <v>459</v>
      </c>
      <c r="B154" t="s">
        <v>460</v>
      </c>
      <c r="C154">
        <v>704000</v>
      </c>
    </row>
    <row r="155" spans="1:3" hidden="1">
      <c r="A155" t="s">
        <v>550</v>
      </c>
      <c r="B155" t="s">
        <v>551</v>
      </c>
      <c r="C155">
        <v>5694316.6500000004</v>
      </c>
    </row>
    <row r="156" spans="1:3" hidden="1">
      <c r="A156" t="s">
        <v>550</v>
      </c>
      <c r="B156" t="s">
        <v>551</v>
      </c>
      <c r="C156">
        <v>374000</v>
      </c>
    </row>
    <row r="157" spans="1:3" hidden="1">
      <c r="A157" t="s">
        <v>550</v>
      </c>
      <c r="B157" t="s">
        <v>551</v>
      </c>
      <c r="C157">
        <v>660000</v>
      </c>
    </row>
    <row r="158" spans="1:3" hidden="1">
      <c r="A158" t="s">
        <v>553</v>
      </c>
      <c r="B158" t="s">
        <v>554</v>
      </c>
      <c r="C158">
        <v>1265403.7</v>
      </c>
    </row>
    <row r="159" spans="1:3" hidden="1">
      <c r="A159" t="s">
        <v>553</v>
      </c>
      <c r="B159" t="s">
        <v>554</v>
      </c>
      <c r="C159">
        <v>3740000</v>
      </c>
    </row>
    <row r="160" spans="1:3" hidden="1">
      <c r="A160" t="s">
        <v>553</v>
      </c>
      <c r="B160" t="s">
        <v>554</v>
      </c>
      <c r="C160">
        <v>330000</v>
      </c>
    </row>
    <row r="161" spans="1:3" hidden="1">
      <c r="A161" t="s">
        <v>553</v>
      </c>
      <c r="B161" t="s">
        <v>554</v>
      </c>
      <c r="C161">
        <v>330000</v>
      </c>
    </row>
    <row r="162" spans="1:3" hidden="1">
      <c r="A162" t="s">
        <v>553</v>
      </c>
      <c r="B162" t="s">
        <v>554</v>
      </c>
      <c r="C162">
        <v>1056000</v>
      </c>
    </row>
    <row r="163" spans="1:3" hidden="1">
      <c r="A163" t="s">
        <v>556</v>
      </c>
      <c r="B163" t="s">
        <v>557</v>
      </c>
      <c r="C163">
        <v>15184844.4</v>
      </c>
    </row>
    <row r="164" spans="1:3" hidden="1">
      <c r="A164" t="s">
        <v>556</v>
      </c>
      <c r="B164" t="s">
        <v>557</v>
      </c>
      <c r="C164">
        <v>748000</v>
      </c>
    </row>
    <row r="165" spans="1:3" hidden="1">
      <c r="A165" t="s">
        <v>556</v>
      </c>
      <c r="B165" t="s">
        <v>557</v>
      </c>
      <c r="C165">
        <v>469200.6</v>
      </c>
    </row>
    <row r="166" spans="1:3" hidden="1">
      <c r="A166" t="s">
        <v>556</v>
      </c>
      <c r="B166" t="s">
        <v>557</v>
      </c>
      <c r="C166">
        <v>330000</v>
      </c>
    </row>
    <row r="167" spans="1:3" hidden="1">
      <c r="A167" t="s">
        <v>556</v>
      </c>
      <c r="B167" t="s">
        <v>557</v>
      </c>
      <c r="C167">
        <v>660000</v>
      </c>
    </row>
    <row r="168" spans="1:3" hidden="1">
      <c r="A168" t="s">
        <v>556</v>
      </c>
      <c r="B168" t="s">
        <v>557</v>
      </c>
      <c r="C168">
        <v>704000</v>
      </c>
    </row>
    <row r="169" spans="1:3" hidden="1">
      <c r="A169" t="s">
        <v>559</v>
      </c>
      <c r="B169" t="s">
        <v>560</v>
      </c>
      <c r="C169">
        <v>25308074</v>
      </c>
    </row>
    <row r="170" spans="1:3" hidden="1">
      <c r="A170" t="s">
        <v>559</v>
      </c>
      <c r="B170" t="s">
        <v>560</v>
      </c>
      <c r="C170">
        <v>660000</v>
      </c>
    </row>
    <row r="171" spans="1:3" hidden="1">
      <c r="A171" t="s">
        <v>559</v>
      </c>
      <c r="B171" t="s">
        <v>560</v>
      </c>
      <c r="C171">
        <v>1408000</v>
      </c>
    </row>
    <row r="172" spans="1:3" hidden="1">
      <c r="A172" t="s">
        <v>347</v>
      </c>
      <c r="B172" t="s">
        <v>348</v>
      </c>
      <c r="C172">
        <v>13167038.5</v>
      </c>
    </row>
    <row r="173" spans="1:3" hidden="1">
      <c r="A173" t="s">
        <v>347</v>
      </c>
      <c r="B173" t="s">
        <v>348</v>
      </c>
      <c r="C173">
        <v>469200.6</v>
      </c>
    </row>
    <row r="174" spans="1:3" hidden="1">
      <c r="A174" t="s">
        <v>347</v>
      </c>
      <c r="B174" t="s">
        <v>348</v>
      </c>
      <c r="C174">
        <v>344999.6</v>
      </c>
    </row>
    <row r="175" spans="1:3" hidden="1">
      <c r="A175" t="s">
        <v>347</v>
      </c>
      <c r="B175" t="s">
        <v>348</v>
      </c>
      <c r="C175">
        <v>689999.2</v>
      </c>
    </row>
    <row r="176" spans="1:3" hidden="1">
      <c r="A176" t="s">
        <v>553</v>
      </c>
      <c r="B176" t="s">
        <v>554</v>
      </c>
      <c r="C176">
        <v>1265403.7</v>
      </c>
    </row>
    <row r="177" spans="1:3" hidden="1">
      <c r="A177" t="s">
        <v>553</v>
      </c>
      <c r="B177" t="s">
        <v>554</v>
      </c>
      <c r="C177">
        <v>5610000</v>
      </c>
    </row>
    <row r="178" spans="1:3" hidden="1">
      <c r="A178" t="s">
        <v>484</v>
      </c>
      <c r="B178" t="s">
        <v>485</v>
      </c>
      <c r="C178">
        <v>1265403.7</v>
      </c>
    </row>
    <row r="179" spans="1:3" hidden="1">
      <c r="A179" t="s">
        <v>484</v>
      </c>
      <c r="B179" t="s">
        <v>485</v>
      </c>
      <c r="C179">
        <v>3519004.5</v>
      </c>
    </row>
    <row r="180" spans="1:3" hidden="1">
      <c r="A180" t="s">
        <v>484</v>
      </c>
      <c r="B180" t="s">
        <v>485</v>
      </c>
      <c r="C180">
        <v>352000</v>
      </c>
    </row>
    <row r="181" spans="1:3" hidden="1">
      <c r="A181" t="s">
        <v>487</v>
      </c>
      <c r="B181" t="s">
        <v>488</v>
      </c>
      <c r="C181">
        <v>18700000</v>
      </c>
    </row>
    <row r="182" spans="1:3" hidden="1">
      <c r="A182" t="s">
        <v>487</v>
      </c>
      <c r="B182" t="s">
        <v>488</v>
      </c>
      <c r="C182">
        <v>26928000</v>
      </c>
    </row>
    <row r="183" spans="1:3" hidden="1">
      <c r="A183" t="s">
        <v>487</v>
      </c>
      <c r="B183" t="s">
        <v>488</v>
      </c>
      <c r="C183">
        <v>49500000</v>
      </c>
    </row>
    <row r="184" spans="1:3" hidden="1">
      <c r="A184" t="s">
        <v>487</v>
      </c>
      <c r="B184" t="s">
        <v>488</v>
      </c>
      <c r="C184">
        <v>29700000</v>
      </c>
    </row>
    <row r="185" spans="1:3" hidden="1">
      <c r="A185" t="s">
        <v>487</v>
      </c>
      <c r="B185" t="s">
        <v>488</v>
      </c>
      <c r="C185">
        <v>7480000</v>
      </c>
    </row>
    <row r="186" spans="1:3" hidden="1">
      <c r="A186" t="s">
        <v>487</v>
      </c>
      <c r="B186" t="s">
        <v>488</v>
      </c>
      <c r="C186">
        <v>76296000</v>
      </c>
    </row>
    <row r="187" spans="1:3" hidden="1">
      <c r="A187" t="s">
        <v>487</v>
      </c>
      <c r="B187" t="s">
        <v>488</v>
      </c>
      <c r="C187">
        <v>2419195.6800000002</v>
      </c>
    </row>
    <row r="188" spans="1:3" hidden="1">
      <c r="A188" t="s">
        <v>487</v>
      </c>
      <c r="B188" t="s">
        <v>488</v>
      </c>
      <c r="C188">
        <v>1413720</v>
      </c>
    </row>
    <row r="189" spans="1:3" hidden="1">
      <c r="A189" t="s">
        <v>487</v>
      </c>
      <c r="B189" t="s">
        <v>488</v>
      </c>
      <c r="C189">
        <v>5722200</v>
      </c>
    </row>
    <row r="190" spans="1:3" hidden="1">
      <c r="A190" t="s">
        <v>487</v>
      </c>
      <c r="B190" t="s">
        <v>488</v>
      </c>
      <c r="C190">
        <v>5346000</v>
      </c>
    </row>
    <row r="191" spans="1:3" hidden="1">
      <c r="A191" t="s">
        <v>487</v>
      </c>
      <c r="B191" t="s">
        <v>488</v>
      </c>
      <c r="C191">
        <v>1782000</v>
      </c>
    </row>
    <row r="192" spans="1:3" hidden="1">
      <c r="A192" t="s">
        <v>493</v>
      </c>
      <c r="B192" t="s">
        <v>494</v>
      </c>
      <c r="C192">
        <v>16799970</v>
      </c>
    </row>
    <row r="193" spans="1:3" hidden="1">
      <c r="A193" t="s">
        <v>493</v>
      </c>
      <c r="B193" t="s">
        <v>494</v>
      </c>
      <c r="C193">
        <v>3740000</v>
      </c>
    </row>
    <row r="194" spans="1:3" hidden="1">
      <c r="A194" t="s">
        <v>493</v>
      </c>
      <c r="B194" t="s">
        <v>494</v>
      </c>
      <c r="C194">
        <v>6732000</v>
      </c>
    </row>
    <row r="195" spans="1:3" hidden="1">
      <c r="A195" t="s">
        <v>493</v>
      </c>
      <c r="B195" t="s">
        <v>494</v>
      </c>
      <c r="C195">
        <v>38148000</v>
      </c>
    </row>
    <row r="196" spans="1:3" hidden="1">
      <c r="A196" t="s">
        <v>493</v>
      </c>
      <c r="B196" t="s">
        <v>494</v>
      </c>
      <c r="C196">
        <v>9900000</v>
      </c>
    </row>
    <row r="197" spans="1:3" hidden="1">
      <c r="A197" t="s">
        <v>493</v>
      </c>
      <c r="B197" t="s">
        <v>494</v>
      </c>
      <c r="C197">
        <v>6600000</v>
      </c>
    </row>
    <row r="198" spans="1:3" hidden="1">
      <c r="A198" t="s">
        <v>421</v>
      </c>
      <c r="B198" t="s">
        <v>422</v>
      </c>
      <c r="C198">
        <v>22777266.600000001</v>
      </c>
    </row>
    <row r="199" spans="1:3" hidden="1">
      <c r="A199" t="s">
        <v>421</v>
      </c>
      <c r="B199" t="s">
        <v>422</v>
      </c>
      <c r="C199">
        <v>990000</v>
      </c>
    </row>
    <row r="200" spans="1:3" hidden="1">
      <c r="A200" t="s">
        <v>421</v>
      </c>
      <c r="B200" t="s">
        <v>422</v>
      </c>
      <c r="C200">
        <v>1173001.5</v>
      </c>
    </row>
    <row r="201" spans="1:3" hidden="1">
      <c r="A201" t="s">
        <v>450</v>
      </c>
      <c r="B201" t="s">
        <v>451</v>
      </c>
      <c r="C201">
        <v>25308074</v>
      </c>
    </row>
    <row r="202" spans="1:3" hidden="1">
      <c r="A202" t="s">
        <v>450</v>
      </c>
      <c r="B202" t="s">
        <v>451</v>
      </c>
      <c r="C202">
        <v>352000</v>
      </c>
    </row>
    <row r="203" spans="1:3" hidden="1">
      <c r="A203" t="s">
        <v>417</v>
      </c>
      <c r="B203" t="s">
        <v>418</v>
      </c>
      <c r="C203">
        <v>18981055.5</v>
      </c>
    </row>
    <row r="204" spans="1:3" hidden="1">
      <c r="A204" t="s">
        <v>417</v>
      </c>
      <c r="B204" t="s">
        <v>418</v>
      </c>
      <c r="C204">
        <v>704000</v>
      </c>
    </row>
    <row r="205" spans="1:3" hidden="1">
      <c r="A205" t="s">
        <v>499</v>
      </c>
      <c r="B205" t="s">
        <v>500</v>
      </c>
      <c r="C205">
        <v>1975055.7749999999</v>
      </c>
    </row>
    <row r="206" spans="1:3" hidden="1">
      <c r="A206" t="s">
        <v>499</v>
      </c>
      <c r="B206" t="s">
        <v>500</v>
      </c>
      <c r="C206">
        <v>703800.9</v>
      </c>
    </row>
    <row r="207" spans="1:3" hidden="1">
      <c r="A207" t="s">
        <v>499</v>
      </c>
      <c r="B207" t="s">
        <v>500</v>
      </c>
      <c r="C207">
        <v>1034998.8</v>
      </c>
    </row>
    <row r="208" spans="1:3" hidden="1">
      <c r="A208" t="s">
        <v>499</v>
      </c>
      <c r="B208" t="s">
        <v>500</v>
      </c>
      <c r="C208">
        <v>1103998.5</v>
      </c>
    </row>
    <row r="209" spans="1:3" hidden="1">
      <c r="A209" t="s">
        <v>466</v>
      </c>
      <c r="B209" t="s">
        <v>467</v>
      </c>
      <c r="C209">
        <v>658351.92500000005</v>
      </c>
    </row>
    <row r="210" spans="1:3" hidden="1">
      <c r="A210" t="s">
        <v>466</v>
      </c>
      <c r="B210" t="s">
        <v>467</v>
      </c>
      <c r="C210">
        <v>1173001.5</v>
      </c>
    </row>
    <row r="211" spans="1:3" hidden="1">
      <c r="A211" t="s">
        <v>466</v>
      </c>
      <c r="B211" t="s">
        <v>467</v>
      </c>
      <c r="C211">
        <v>1173001.5</v>
      </c>
    </row>
    <row r="212" spans="1:3" hidden="1">
      <c r="A212" t="s">
        <v>466</v>
      </c>
      <c r="B212" t="s">
        <v>467</v>
      </c>
      <c r="C212">
        <v>1839997.5</v>
      </c>
    </row>
    <row r="213" spans="1:3" hidden="1">
      <c r="A213" t="s">
        <v>484</v>
      </c>
      <c r="B213" t="s">
        <v>485</v>
      </c>
      <c r="C213">
        <v>1265403.7</v>
      </c>
    </row>
    <row r="214" spans="1:3" hidden="1">
      <c r="A214" t="s">
        <v>484</v>
      </c>
      <c r="B214" t="s">
        <v>485</v>
      </c>
      <c r="C214">
        <v>1173001.5</v>
      </c>
    </row>
    <row r="215" spans="1:3" hidden="1">
      <c r="A215" t="s">
        <v>484</v>
      </c>
      <c r="B215" t="s">
        <v>485</v>
      </c>
      <c r="C215">
        <v>330000</v>
      </c>
    </row>
    <row r="216" spans="1:3" hidden="1">
      <c r="A216" t="s">
        <v>484</v>
      </c>
      <c r="B216" t="s">
        <v>485</v>
      </c>
      <c r="C216">
        <v>2346003</v>
      </c>
    </row>
    <row r="217" spans="1:3" hidden="1">
      <c r="A217" t="s">
        <v>484</v>
      </c>
      <c r="B217" t="s">
        <v>485</v>
      </c>
      <c r="C217">
        <v>352000</v>
      </c>
    </row>
    <row r="218" spans="1:3" hidden="1">
      <c r="A218" t="s">
        <v>484</v>
      </c>
      <c r="B218" t="s">
        <v>485</v>
      </c>
      <c r="C218">
        <v>43656427.649999999</v>
      </c>
    </row>
    <row r="219" spans="1:3" hidden="1">
      <c r="A219" t="s">
        <v>484</v>
      </c>
      <c r="B219" t="s">
        <v>485</v>
      </c>
      <c r="C219">
        <v>748000</v>
      </c>
    </row>
    <row r="220" spans="1:3" hidden="1">
      <c r="A220" t="s">
        <v>484</v>
      </c>
      <c r="B220" t="s">
        <v>485</v>
      </c>
      <c r="C220">
        <v>990000</v>
      </c>
    </row>
    <row r="221" spans="1:3" hidden="1">
      <c r="A221" t="s">
        <v>484</v>
      </c>
      <c r="B221" t="s">
        <v>485</v>
      </c>
      <c r="C221">
        <v>704000</v>
      </c>
    </row>
    <row r="222" spans="1:3" hidden="1">
      <c r="A222" t="s">
        <v>459</v>
      </c>
      <c r="B222" t="s">
        <v>460</v>
      </c>
      <c r="C222">
        <v>5061614.8</v>
      </c>
    </row>
    <row r="223" spans="1:3" hidden="1">
      <c r="A223" t="s">
        <v>459</v>
      </c>
      <c r="B223" t="s">
        <v>460</v>
      </c>
      <c r="C223">
        <v>1870000</v>
      </c>
    </row>
    <row r="224" spans="1:3" hidden="1">
      <c r="A224" t="s">
        <v>459</v>
      </c>
      <c r="B224" t="s">
        <v>460</v>
      </c>
      <c r="C224">
        <v>660000</v>
      </c>
    </row>
    <row r="225" spans="1:3" hidden="1">
      <c r="A225" t="s">
        <v>459</v>
      </c>
      <c r="B225" t="s">
        <v>460</v>
      </c>
      <c r="C225">
        <v>1173001.5</v>
      </c>
    </row>
    <row r="226" spans="1:3" hidden="1">
      <c r="A226" t="s">
        <v>463</v>
      </c>
      <c r="B226" t="s">
        <v>464</v>
      </c>
      <c r="C226">
        <v>782001</v>
      </c>
    </row>
    <row r="227" spans="1:3" hidden="1">
      <c r="A227" t="s">
        <v>522</v>
      </c>
      <c r="B227" t="s">
        <v>523</v>
      </c>
      <c r="C227">
        <v>1197003.5</v>
      </c>
    </row>
    <row r="228" spans="1:3" hidden="1">
      <c r="A228" t="s">
        <v>522</v>
      </c>
      <c r="B228" t="s">
        <v>523</v>
      </c>
      <c r="C228">
        <v>3284404.2</v>
      </c>
    </row>
    <row r="229" spans="1:3" hidden="1">
      <c r="A229" t="s">
        <v>522</v>
      </c>
      <c r="B229" t="s">
        <v>523</v>
      </c>
      <c r="C229">
        <v>1034998.8</v>
      </c>
    </row>
    <row r="230" spans="1:3" hidden="1">
      <c r="A230" t="s">
        <v>522</v>
      </c>
      <c r="B230" t="s">
        <v>523</v>
      </c>
      <c r="C230">
        <v>1034998.8</v>
      </c>
    </row>
    <row r="231" spans="1:3" hidden="1">
      <c r="A231" t="s">
        <v>596</v>
      </c>
      <c r="B231" t="s">
        <v>597</v>
      </c>
      <c r="C231">
        <v>1026003</v>
      </c>
    </row>
    <row r="232" spans="1:3" hidden="1">
      <c r="A232" t="s">
        <v>596</v>
      </c>
      <c r="B232" t="s">
        <v>597</v>
      </c>
      <c r="C232">
        <v>1564002</v>
      </c>
    </row>
    <row r="233" spans="1:3" hidden="1">
      <c r="A233" t="s">
        <v>596</v>
      </c>
      <c r="B233" t="s">
        <v>597</v>
      </c>
      <c r="C233">
        <v>4692006</v>
      </c>
    </row>
    <row r="234" spans="1:3" hidden="1">
      <c r="A234" t="s">
        <v>596</v>
      </c>
      <c r="B234" t="s">
        <v>597</v>
      </c>
      <c r="C234">
        <v>1724998</v>
      </c>
    </row>
    <row r="235" spans="1:3" hidden="1">
      <c r="A235" t="s">
        <v>596</v>
      </c>
      <c r="B235" t="s">
        <v>597</v>
      </c>
      <c r="C235">
        <v>1034998.8</v>
      </c>
    </row>
    <row r="236" spans="1:3" hidden="1">
      <c r="A236" t="s">
        <v>525</v>
      </c>
      <c r="B236" t="s">
        <v>526</v>
      </c>
      <c r="C236">
        <v>1710005</v>
      </c>
    </row>
    <row r="237" spans="1:3" hidden="1">
      <c r="A237" t="s">
        <v>525</v>
      </c>
      <c r="B237" t="s">
        <v>526</v>
      </c>
      <c r="C237">
        <v>1173001.5</v>
      </c>
    </row>
    <row r="238" spans="1:3" hidden="1">
      <c r="A238" t="s">
        <v>525</v>
      </c>
      <c r="B238" t="s">
        <v>526</v>
      </c>
      <c r="C238">
        <v>1173001.5</v>
      </c>
    </row>
    <row r="239" spans="1:3" hidden="1">
      <c r="A239" t="s">
        <v>525</v>
      </c>
      <c r="B239" t="s">
        <v>526</v>
      </c>
      <c r="C239">
        <v>1034998.8</v>
      </c>
    </row>
    <row r="240" spans="1:3" hidden="1">
      <c r="A240" t="s">
        <v>525</v>
      </c>
      <c r="B240" t="s">
        <v>526</v>
      </c>
      <c r="C240">
        <v>689999.2</v>
      </c>
    </row>
    <row r="241" spans="1:3" hidden="1">
      <c r="A241" t="s">
        <v>463</v>
      </c>
      <c r="B241" t="s">
        <v>464</v>
      </c>
      <c r="C241">
        <v>2346003</v>
      </c>
    </row>
    <row r="242" spans="1:3" hidden="1">
      <c r="A242" t="s">
        <v>463</v>
      </c>
      <c r="B242" t="s">
        <v>464</v>
      </c>
      <c r="C242">
        <v>1379998.4</v>
      </c>
    </row>
    <row r="243" spans="1:3" hidden="1">
      <c r="A243" t="s">
        <v>463</v>
      </c>
      <c r="B243" t="s">
        <v>464</v>
      </c>
      <c r="C243">
        <v>1379998.4</v>
      </c>
    </row>
    <row r="244" spans="1:3" hidden="1">
      <c r="A244" t="s">
        <v>463</v>
      </c>
      <c r="B244" t="s">
        <v>464</v>
      </c>
      <c r="C244">
        <v>367999.5</v>
      </c>
    </row>
    <row r="245" spans="1:3" hidden="1">
      <c r="A245" t="s">
        <v>600</v>
      </c>
      <c r="B245" t="s">
        <v>601</v>
      </c>
      <c r="C245">
        <v>171000.5</v>
      </c>
    </row>
    <row r="246" spans="1:3" hidden="1">
      <c r="A246" t="s">
        <v>600</v>
      </c>
      <c r="B246" t="s">
        <v>601</v>
      </c>
      <c r="C246">
        <v>1955002.5</v>
      </c>
    </row>
    <row r="247" spans="1:3" hidden="1">
      <c r="A247" t="s">
        <v>600</v>
      </c>
      <c r="B247" t="s">
        <v>601</v>
      </c>
      <c r="C247">
        <v>1034998.8</v>
      </c>
    </row>
    <row r="248" spans="1:3" hidden="1">
      <c r="A248" t="s">
        <v>600</v>
      </c>
      <c r="B248" t="s">
        <v>601</v>
      </c>
      <c r="C248">
        <v>1034998.8</v>
      </c>
    </row>
    <row r="249" spans="1:3" hidden="1">
      <c r="A249" t="s">
        <v>600</v>
      </c>
      <c r="B249" t="s">
        <v>601</v>
      </c>
      <c r="C249">
        <v>735999</v>
      </c>
    </row>
    <row r="250" spans="1:3" hidden="1">
      <c r="A250" t="s">
        <v>531</v>
      </c>
      <c r="B250" t="s">
        <v>532</v>
      </c>
      <c r="C250">
        <v>1710005</v>
      </c>
    </row>
    <row r="251" spans="1:3" hidden="1">
      <c r="A251" t="s">
        <v>531</v>
      </c>
      <c r="B251" t="s">
        <v>532</v>
      </c>
      <c r="C251">
        <v>782001</v>
      </c>
    </row>
    <row r="252" spans="1:3" hidden="1">
      <c r="A252" t="s">
        <v>531</v>
      </c>
      <c r="B252" t="s">
        <v>532</v>
      </c>
      <c r="C252">
        <v>689999.2</v>
      </c>
    </row>
    <row r="253" spans="1:3" hidden="1">
      <c r="A253" t="s">
        <v>531</v>
      </c>
      <c r="B253" t="s">
        <v>532</v>
      </c>
      <c r="C253">
        <v>1034998.8</v>
      </c>
    </row>
    <row r="254" spans="1:3" hidden="1">
      <c r="A254" t="s">
        <v>531</v>
      </c>
      <c r="B254" t="s">
        <v>532</v>
      </c>
      <c r="C254">
        <v>1103998.5</v>
      </c>
    </row>
    <row r="255" spans="1:3" hidden="1">
      <c r="A255" t="s">
        <v>469</v>
      </c>
      <c r="B255" t="s">
        <v>470</v>
      </c>
      <c r="C255">
        <v>513001.5</v>
      </c>
    </row>
    <row r="256" spans="1:3" hidden="1">
      <c r="A256" t="s">
        <v>469</v>
      </c>
      <c r="B256" t="s">
        <v>470</v>
      </c>
      <c r="C256">
        <v>1173001.5</v>
      </c>
    </row>
    <row r="257" spans="1:3" hidden="1">
      <c r="A257" t="s">
        <v>469</v>
      </c>
      <c r="B257" t="s">
        <v>470</v>
      </c>
      <c r="C257">
        <v>1407601.8</v>
      </c>
    </row>
    <row r="258" spans="1:3" hidden="1">
      <c r="A258" t="s">
        <v>469</v>
      </c>
      <c r="B258" t="s">
        <v>470</v>
      </c>
      <c r="C258">
        <v>689999.2</v>
      </c>
    </row>
    <row r="259" spans="1:3" hidden="1">
      <c r="A259" t="s">
        <v>469</v>
      </c>
      <c r="B259" t="s">
        <v>470</v>
      </c>
      <c r="C259">
        <v>689999.2</v>
      </c>
    </row>
    <row r="260" spans="1:3" hidden="1">
      <c r="A260" t="s">
        <v>469</v>
      </c>
      <c r="B260" t="s">
        <v>470</v>
      </c>
      <c r="C260">
        <v>735999</v>
      </c>
    </row>
    <row r="261" spans="1:3" hidden="1">
      <c r="A261" t="s">
        <v>438</v>
      </c>
      <c r="B261" t="s">
        <v>439</v>
      </c>
      <c r="C261">
        <v>1197003.5</v>
      </c>
    </row>
    <row r="262" spans="1:3" hidden="1">
      <c r="A262" t="s">
        <v>438</v>
      </c>
      <c r="B262" t="s">
        <v>439</v>
      </c>
      <c r="C262">
        <v>782001</v>
      </c>
    </row>
    <row r="263" spans="1:3" hidden="1">
      <c r="A263" t="s">
        <v>438</v>
      </c>
      <c r="B263" t="s">
        <v>439</v>
      </c>
      <c r="C263">
        <v>3049803.9</v>
      </c>
    </row>
    <row r="264" spans="1:3" hidden="1">
      <c r="A264" t="s">
        <v>438</v>
      </c>
      <c r="B264" t="s">
        <v>439</v>
      </c>
      <c r="C264">
        <v>1724998</v>
      </c>
    </row>
    <row r="265" spans="1:3" hidden="1">
      <c r="A265" t="s">
        <v>459</v>
      </c>
      <c r="B265" t="s">
        <v>460</v>
      </c>
      <c r="C265">
        <v>6327018.5</v>
      </c>
    </row>
    <row r="266" spans="1:3" hidden="1">
      <c r="A266" t="s">
        <v>459</v>
      </c>
      <c r="B266" t="s">
        <v>460</v>
      </c>
      <c r="C266">
        <v>1173001.5</v>
      </c>
    </row>
    <row r="267" spans="1:3" hidden="1">
      <c r="A267" t="s">
        <v>459</v>
      </c>
      <c r="B267" t="s">
        <v>460</v>
      </c>
      <c r="C267">
        <v>660000</v>
      </c>
    </row>
    <row r="268" spans="1:3" hidden="1">
      <c r="A268" t="s">
        <v>459</v>
      </c>
      <c r="B268" t="s">
        <v>460</v>
      </c>
      <c r="C268">
        <v>2346003</v>
      </c>
    </row>
    <row r="269" spans="1:3" hidden="1">
      <c r="A269" t="s">
        <v>459</v>
      </c>
      <c r="B269" t="s">
        <v>460</v>
      </c>
      <c r="C269">
        <v>704000</v>
      </c>
    </row>
    <row r="270" spans="1:3" hidden="1">
      <c r="A270" t="s">
        <v>550</v>
      </c>
      <c r="B270" t="s">
        <v>551</v>
      </c>
      <c r="C270">
        <v>1650000</v>
      </c>
    </row>
    <row r="271" spans="1:3" hidden="1">
      <c r="A271" t="s">
        <v>550</v>
      </c>
      <c r="B271" t="s">
        <v>551</v>
      </c>
      <c r="C271">
        <v>748000</v>
      </c>
    </row>
    <row r="272" spans="1:3" hidden="1">
      <c r="A272" t="s">
        <v>550</v>
      </c>
      <c r="B272" t="s">
        <v>551</v>
      </c>
      <c r="C272">
        <v>660000</v>
      </c>
    </row>
    <row r="273" spans="1:3" hidden="1">
      <c r="A273" t="s">
        <v>550</v>
      </c>
      <c r="B273" t="s">
        <v>551</v>
      </c>
      <c r="C273">
        <v>1650000</v>
      </c>
    </row>
    <row r="274" spans="1:3" hidden="1">
      <c r="A274" t="s">
        <v>550</v>
      </c>
      <c r="B274" t="s">
        <v>551</v>
      </c>
      <c r="C274">
        <v>1173001.5</v>
      </c>
    </row>
    <row r="275" spans="1:3" hidden="1">
      <c r="A275" t="s">
        <v>550</v>
      </c>
      <c r="B275" t="s">
        <v>551</v>
      </c>
      <c r="C275">
        <v>1760000</v>
      </c>
    </row>
    <row r="276" spans="1:3" hidden="1">
      <c r="A276" t="s">
        <v>556</v>
      </c>
      <c r="B276" t="s">
        <v>557</v>
      </c>
      <c r="C276">
        <v>1265403.7</v>
      </c>
    </row>
    <row r="277" spans="1:3" hidden="1">
      <c r="A277" t="s">
        <v>556</v>
      </c>
      <c r="B277" t="s">
        <v>557</v>
      </c>
      <c r="C277">
        <v>1122000</v>
      </c>
    </row>
    <row r="278" spans="1:3" hidden="1">
      <c r="A278" t="s">
        <v>556</v>
      </c>
      <c r="B278" t="s">
        <v>557</v>
      </c>
      <c r="C278">
        <v>330000</v>
      </c>
    </row>
    <row r="279" spans="1:3" hidden="1">
      <c r="A279" t="s">
        <v>556</v>
      </c>
      <c r="B279" t="s">
        <v>557</v>
      </c>
      <c r="C279">
        <v>1173001.5</v>
      </c>
    </row>
    <row r="280" spans="1:3" hidden="1">
      <c r="A280" t="s">
        <v>477</v>
      </c>
      <c r="B280" t="s">
        <v>478</v>
      </c>
      <c r="C280">
        <v>25308074</v>
      </c>
    </row>
    <row r="281" spans="1:3" hidden="1">
      <c r="A281" t="s">
        <v>477</v>
      </c>
      <c r="B281" t="s">
        <v>478</v>
      </c>
      <c r="C281">
        <v>2346003</v>
      </c>
    </row>
    <row r="282" spans="1:3" hidden="1">
      <c r="A282" t="s">
        <v>487</v>
      </c>
      <c r="B282" t="s">
        <v>488</v>
      </c>
      <c r="C282">
        <v>29920000</v>
      </c>
    </row>
    <row r="283" spans="1:3" hidden="1">
      <c r="A283" t="s">
        <v>487</v>
      </c>
      <c r="B283" t="s">
        <v>488</v>
      </c>
      <c r="C283">
        <v>11220000</v>
      </c>
    </row>
    <row r="284" spans="1:3" hidden="1">
      <c r="A284" t="s">
        <v>487</v>
      </c>
      <c r="B284" t="s">
        <v>488</v>
      </c>
      <c r="C284">
        <v>19074000</v>
      </c>
    </row>
    <row r="285" spans="1:3" hidden="1">
      <c r="A285" t="s">
        <v>487</v>
      </c>
      <c r="B285" t="s">
        <v>488</v>
      </c>
      <c r="C285">
        <v>82500000</v>
      </c>
    </row>
    <row r="286" spans="1:3" hidden="1">
      <c r="A286" t="s">
        <v>487</v>
      </c>
      <c r="B286" t="s">
        <v>488</v>
      </c>
      <c r="C286">
        <v>39600000</v>
      </c>
    </row>
    <row r="287" spans="1:3" hidden="1">
      <c r="A287" t="s">
        <v>487</v>
      </c>
      <c r="B287" t="s">
        <v>488</v>
      </c>
      <c r="C287">
        <v>133518000</v>
      </c>
    </row>
    <row r="288" spans="1:3" hidden="1">
      <c r="A288" t="s">
        <v>493</v>
      </c>
      <c r="B288" t="s">
        <v>494</v>
      </c>
      <c r="C288">
        <v>7480000</v>
      </c>
    </row>
    <row r="289" spans="1:3" hidden="1">
      <c r="A289" t="s">
        <v>493</v>
      </c>
      <c r="B289" t="s">
        <v>494</v>
      </c>
      <c r="C289">
        <v>2244000</v>
      </c>
    </row>
    <row r="290" spans="1:3" hidden="1">
      <c r="A290" t="s">
        <v>493</v>
      </c>
      <c r="B290" t="s">
        <v>494</v>
      </c>
      <c r="C290">
        <v>38148000</v>
      </c>
    </row>
    <row r="291" spans="1:3" hidden="1">
      <c r="A291" t="s">
        <v>493</v>
      </c>
      <c r="B291" t="s">
        <v>494</v>
      </c>
      <c r="C291">
        <v>9900000</v>
      </c>
    </row>
    <row r="292" spans="1:3" hidden="1">
      <c r="A292" t="s">
        <v>493</v>
      </c>
      <c r="B292" t="s">
        <v>494</v>
      </c>
      <c r="C292">
        <v>6600000</v>
      </c>
    </row>
    <row r="293" spans="1:3" hidden="1">
      <c r="A293" t="s">
        <v>550</v>
      </c>
      <c r="B293" t="s">
        <v>551</v>
      </c>
      <c r="C293">
        <v>25434614.370000001</v>
      </c>
    </row>
    <row r="294" spans="1:3" hidden="1">
      <c r="A294" t="s">
        <v>459</v>
      </c>
      <c r="B294" t="s">
        <v>460</v>
      </c>
      <c r="C294">
        <v>6327018.5</v>
      </c>
    </row>
    <row r="295" spans="1:3" hidden="1">
      <c r="A295" t="s">
        <v>459</v>
      </c>
      <c r="B295" t="s">
        <v>460</v>
      </c>
      <c r="C295">
        <v>660000</v>
      </c>
    </row>
    <row r="296" spans="1:3" hidden="1">
      <c r="A296" t="s">
        <v>459</v>
      </c>
      <c r="B296" t="s">
        <v>460</v>
      </c>
      <c r="C296">
        <v>1173001.5</v>
      </c>
    </row>
    <row r="297" spans="1:3" hidden="1">
      <c r="A297" t="s">
        <v>596</v>
      </c>
      <c r="B297" t="s">
        <v>597</v>
      </c>
      <c r="C297">
        <v>1710005</v>
      </c>
    </row>
    <row r="298" spans="1:3" hidden="1">
      <c r="A298" t="s">
        <v>596</v>
      </c>
      <c r="B298" t="s">
        <v>597</v>
      </c>
      <c r="C298">
        <v>782001</v>
      </c>
    </row>
    <row r="299" spans="1:3" hidden="1">
      <c r="A299" t="s">
        <v>596</v>
      </c>
      <c r="B299" t="s">
        <v>597</v>
      </c>
      <c r="C299">
        <v>2346003</v>
      </c>
    </row>
    <row r="300" spans="1:3" hidden="1">
      <c r="A300" t="s">
        <v>596</v>
      </c>
      <c r="B300" t="s">
        <v>597</v>
      </c>
      <c r="C300">
        <v>1034998.8</v>
      </c>
    </row>
    <row r="301" spans="1:3" hidden="1">
      <c r="A301" t="s">
        <v>596</v>
      </c>
      <c r="B301" t="s">
        <v>597</v>
      </c>
      <c r="C301">
        <v>344999.6</v>
      </c>
    </row>
    <row r="302" spans="1:3" hidden="1">
      <c r="A302" t="s">
        <v>596</v>
      </c>
      <c r="B302" t="s">
        <v>597</v>
      </c>
      <c r="C302">
        <v>367999.5</v>
      </c>
    </row>
    <row r="303" spans="1:3" hidden="1">
      <c r="A303" t="s">
        <v>531</v>
      </c>
      <c r="B303" t="s">
        <v>532</v>
      </c>
      <c r="C303">
        <v>1881005.5</v>
      </c>
    </row>
    <row r="304" spans="1:3" hidden="1">
      <c r="A304" t="s">
        <v>531</v>
      </c>
      <c r="B304" t="s">
        <v>532</v>
      </c>
      <c r="C304">
        <v>1173001.5</v>
      </c>
    </row>
    <row r="305" spans="1:3" hidden="1">
      <c r="A305" t="s">
        <v>531</v>
      </c>
      <c r="B305" t="s">
        <v>532</v>
      </c>
      <c r="C305">
        <v>1173001.5</v>
      </c>
    </row>
    <row r="306" spans="1:3" hidden="1">
      <c r="A306" t="s">
        <v>531</v>
      </c>
      <c r="B306" t="s">
        <v>532</v>
      </c>
      <c r="C306">
        <v>689999.2</v>
      </c>
    </row>
    <row r="307" spans="1:3" hidden="1">
      <c r="A307" t="s">
        <v>528</v>
      </c>
      <c r="B307" t="s">
        <v>529</v>
      </c>
      <c r="C307">
        <v>1710005</v>
      </c>
    </row>
    <row r="308" spans="1:3" hidden="1">
      <c r="A308" t="s">
        <v>528</v>
      </c>
      <c r="B308" t="s">
        <v>529</v>
      </c>
      <c r="C308">
        <v>1173001.5</v>
      </c>
    </row>
    <row r="309" spans="1:3" hidden="1">
      <c r="A309" t="s">
        <v>528</v>
      </c>
      <c r="B309" t="s">
        <v>529</v>
      </c>
      <c r="C309">
        <v>1724998</v>
      </c>
    </row>
    <row r="310" spans="1:3" hidden="1">
      <c r="A310" t="s">
        <v>528</v>
      </c>
      <c r="B310" t="s">
        <v>529</v>
      </c>
      <c r="C310">
        <v>1839997.5</v>
      </c>
    </row>
    <row r="311" spans="1:3" hidden="1">
      <c r="A311" t="s">
        <v>550</v>
      </c>
      <c r="B311" t="s">
        <v>551</v>
      </c>
      <c r="C311">
        <v>990000</v>
      </c>
    </row>
    <row r="312" spans="1:3" hidden="1">
      <c r="A312" t="s">
        <v>550</v>
      </c>
      <c r="B312" t="s">
        <v>551</v>
      </c>
      <c r="C312">
        <v>1870000</v>
      </c>
    </row>
    <row r="313" spans="1:3" hidden="1">
      <c r="A313" t="s">
        <v>550</v>
      </c>
      <c r="B313" t="s">
        <v>551</v>
      </c>
      <c r="C313">
        <v>990000</v>
      </c>
    </row>
    <row r="314" spans="1:3" hidden="1">
      <c r="A314" t="s">
        <v>550</v>
      </c>
      <c r="B314" t="s">
        <v>551</v>
      </c>
      <c r="C314">
        <v>2346003</v>
      </c>
    </row>
    <row r="315" spans="1:3" hidden="1">
      <c r="A315" t="s">
        <v>417</v>
      </c>
      <c r="B315" t="s">
        <v>418</v>
      </c>
      <c r="C315">
        <v>374000</v>
      </c>
    </row>
    <row r="316" spans="1:3" hidden="1">
      <c r="A316" t="s">
        <v>417</v>
      </c>
      <c r="B316" t="s">
        <v>418</v>
      </c>
      <c r="C316">
        <v>990000</v>
      </c>
    </row>
    <row r="317" spans="1:3" hidden="1">
      <c r="A317" t="s">
        <v>417</v>
      </c>
      <c r="B317" t="s">
        <v>418</v>
      </c>
      <c r="C317">
        <v>1650000</v>
      </c>
    </row>
    <row r="318" spans="1:3" hidden="1">
      <c r="A318" t="s">
        <v>417</v>
      </c>
      <c r="B318" t="s">
        <v>418</v>
      </c>
      <c r="C318">
        <v>1173001.5</v>
      </c>
    </row>
    <row r="319" spans="1:3" hidden="1">
      <c r="A319" t="s">
        <v>417</v>
      </c>
      <c r="B319" t="s">
        <v>418</v>
      </c>
      <c r="C319">
        <v>704000</v>
      </c>
    </row>
    <row r="320" spans="1:3" hidden="1">
      <c r="A320" t="s">
        <v>459</v>
      </c>
      <c r="B320" t="s">
        <v>460</v>
      </c>
      <c r="C320">
        <v>8857825.9000000004</v>
      </c>
    </row>
    <row r="321" spans="1:3" hidden="1">
      <c r="A321" t="s">
        <v>459</v>
      </c>
      <c r="B321" t="s">
        <v>460</v>
      </c>
      <c r="C321">
        <v>1870000</v>
      </c>
    </row>
    <row r="322" spans="1:3" hidden="1">
      <c r="A322" t="s">
        <v>459</v>
      </c>
      <c r="B322" t="s">
        <v>460</v>
      </c>
      <c r="C322">
        <v>660000</v>
      </c>
    </row>
    <row r="323" spans="1:3" hidden="1">
      <c r="A323" t="s">
        <v>459</v>
      </c>
      <c r="B323" t="s">
        <v>460</v>
      </c>
      <c r="C323">
        <v>1056000</v>
      </c>
    </row>
    <row r="324" spans="1:3" hidden="1">
      <c r="A324" t="s">
        <v>484</v>
      </c>
      <c r="B324" t="s">
        <v>485</v>
      </c>
      <c r="C324">
        <v>2530807.4</v>
      </c>
    </row>
    <row r="325" spans="1:3" hidden="1">
      <c r="A325" t="s">
        <v>484</v>
      </c>
      <c r="B325" t="s">
        <v>485</v>
      </c>
      <c r="C325">
        <v>330000</v>
      </c>
    </row>
    <row r="326" spans="1:3" hidden="1">
      <c r="A326" t="s">
        <v>484</v>
      </c>
      <c r="B326" t="s">
        <v>485</v>
      </c>
      <c r="C326">
        <v>3740000</v>
      </c>
    </row>
    <row r="327" spans="1:3" hidden="1">
      <c r="A327" t="s">
        <v>484</v>
      </c>
      <c r="B327" t="s">
        <v>485</v>
      </c>
      <c r="C327">
        <v>703800.9</v>
      </c>
    </row>
    <row r="328" spans="1:3" hidden="1">
      <c r="A328" t="s">
        <v>484</v>
      </c>
      <c r="B328" t="s">
        <v>485</v>
      </c>
      <c r="C328">
        <v>660000</v>
      </c>
    </row>
    <row r="329" spans="1:3" hidden="1">
      <c r="A329" t="s">
        <v>484</v>
      </c>
      <c r="B329" t="s">
        <v>485</v>
      </c>
      <c r="C329">
        <v>7038009</v>
      </c>
    </row>
    <row r="330" spans="1:3" hidden="1">
      <c r="A330" t="s">
        <v>484</v>
      </c>
      <c r="B330" t="s">
        <v>485</v>
      </c>
      <c r="C330">
        <v>1760000</v>
      </c>
    </row>
    <row r="331" spans="1:3" hidden="1">
      <c r="A331" t="s">
        <v>553</v>
      </c>
      <c r="B331" t="s">
        <v>554</v>
      </c>
      <c r="C331">
        <v>1265403.7</v>
      </c>
    </row>
    <row r="332" spans="1:3" hidden="1">
      <c r="A332" t="s">
        <v>553</v>
      </c>
      <c r="B332" t="s">
        <v>554</v>
      </c>
      <c r="C332">
        <v>660000</v>
      </c>
    </row>
    <row r="333" spans="1:3" hidden="1">
      <c r="A333" t="s">
        <v>553</v>
      </c>
      <c r="B333" t="s">
        <v>554</v>
      </c>
      <c r="C333">
        <v>7480000</v>
      </c>
    </row>
    <row r="334" spans="1:3" hidden="1">
      <c r="A334" t="s">
        <v>553</v>
      </c>
      <c r="B334" t="s">
        <v>554</v>
      </c>
      <c r="C334">
        <v>660000</v>
      </c>
    </row>
    <row r="335" spans="1:3" hidden="1">
      <c r="A335" t="s">
        <v>493</v>
      </c>
      <c r="B335" t="s">
        <v>494</v>
      </c>
      <c r="C335">
        <v>7480000</v>
      </c>
    </row>
    <row r="336" spans="1:3" hidden="1">
      <c r="A336" t="s">
        <v>493</v>
      </c>
      <c r="B336" t="s">
        <v>494</v>
      </c>
      <c r="C336">
        <v>4488000</v>
      </c>
    </row>
    <row r="337" spans="1:3" hidden="1">
      <c r="A337" t="s">
        <v>493</v>
      </c>
      <c r="B337" t="s">
        <v>494</v>
      </c>
      <c r="C337">
        <v>95370000</v>
      </c>
    </row>
    <row r="338" spans="1:3" hidden="1">
      <c r="A338" t="s">
        <v>493</v>
      </c>
      <c r="B338" t="s">
        <v>494</v>
      </c>
      <c r="C338">
        <v>26400000</v>
      </c>
    </row>
    <row r="339" spans="1:3" hidden="1">
      <c r="A339" t="s">
        <v>493</v>
      </c>
      <c r="B339" t="s">
        <v>494</v>
      </c>
      <c r="C339">
        <v>9900000</v>
      </c>
    </row>
    <row r="340" spans="1:3" hidden="1">
      <c r="A340" t="s">
        <v>487</v>
      </c>
      <c r="B340" t="s">
        <v>488</v>
      </c>
      <c r="C340">
        <v>18700000</v>
      </c>
    </row>
    <row r="341" spans="1:3" hidden="1">
      <c r="A341" t="s">
        <v>487</v>
      </c>
      <c r="B341" t="s">
        <v>488</v>
      </c>
      <c r="C341">
        <v>11220000</v>
      </c>
    </row>
    <row r="342" spans="1:3" hidden="1">
      <c r="A342" t="s">
        <v>487</v>
      </c>
      <c r="B342" t="s">
        <v>488</v>
      </c>
      <c r="C342">
        <v>114444000</v>
      </c>
    </row>
    <row r="343" spans="1:3" hidden="1">
      <c r="A343" t="s">
        <v>487</v>
      </c>
      <c r="B343" t="s">
        <v>488</v>
      </c>
      <c r="C343">
        <v>33000000</v>
      </c>
    </row>
    <row r="344" spans="1:3" hidden="1">
      <c r="A344" t="s">
        <v>487</v>
      </c>
      <c r="B344" t="s">
        <v>488</v>
      </c>
      <c r="C344">
        <v>16500000</v>
      </c>
    </row>
    <row r="345" spans="1:3" hidden="1">
      <c r="A345" t="s">
        <v>421</v>
      </c>
      <c r="B345" t="s">
        <v>422</v>
      </c>
      <c r="C345">
        <v>7592422.2000000002</v>
      </c>
    </row>
    <row r="346" spans="1:3" hidden="1">
      <c r="A346" t="s">
        <v>421</v>
      </c>
      <c r="B346" t="s">
        <v>422</v>
      </c>
      <c r="C346">
        <v>1870000</v>
      </c>
    </row>
    <row r="347" spans="1:3" hidden="1">
      <c r="A347" t="s">
        <v>421</v>
      </c>
      <c r="B347" t="s">
        <v>422</v>
      </c>
      <c r="C347">
        <v>660000</v>
      </c>
    </row>
    <row r="348" spans="1:3" hidden="1">
      <c r="A348" t="s">
        <v>450</v>
      </c>
      <c r="B348" t="s">
        <v>451</v>
      </c>
      <c r="C348">
        <v>2530807.4</v>
      </c>
    </row>
    <row r="349" spans="1:3" hidden="1">
      <c r="A349" t="s">
        <v>450</v>
      </c>
      <c r="B349" t="s">
        <v>451</v>
      </c>
      <c r="C349">
        <v>748000</v>
      </c>
    </row>
    <row r="350" spans="1:3" hidden="1">
      <c r="A350" t="s">
        <v>450</v>
      </c>
      <c r="B350" t="s">
        <v>451</v>
      </c>
      <c r="C350">
        <v>1650000</v>
      </c>
    </row>
    <row r="351" spans="1:3" hidden="1">
      <c r="A351" t="s">
        <v>450</v>
      </c>
      <c r="B351" t="s">
        <v>451</v>
      </c>
      <c r="C351">
        <v>2346003</v>
      </c>
    </row>
    <row r="352" spans="1:3" hidden="1">
      <c r="A352" t="s">
        <v>487</v>
      </c>
      <c r="B352" t="s">
        <v>488</v>
      </c>
      <c r="C352">
        <v>171666000</v>
      </c>
    </row>
    <row r="353" spans="1:3" hidden="1">
      <c r="A353" t="s">
        <v>499</v>
      </c>
      <c r="B353" t="s">
        <v>500</v>
      </c>
      <c r="C353">
        <v>1379998.4</v>
      </c>
    </row>
    <row r="354" spans="1:3" hidden="1">
      <c r="A354" t="s">
        <v>499</v>
      </c>
      <c r="B354" t="s">
        <v>500</v>
      </c>
      <c r="C354">
        <v>1173001.5</v>
      </c>
    </row>
    <row r="355" spans="1:3" hidden="1">
      <c r="A355" t="s">
        <v>499</v>
      </c>
      <c r="B355" t="s">
        <v>500</v>
      </c>
      <c r="C355">
        <v>1173001.5</v>
      </c>
    </row>
    <row r="356" spans="1:3" hidden="1">
      <c r="A356" t="s">
        <v>499</v>
      </c>
      <c r="B356" t="s">
        <v>500</v>
      </c>
      <c r="C356">
        <v>1724998</v>
      </c>
    </row>
    <row r="357" spans="1:3" hidden="1">
      <c r="A357" t="s">
        <v>499</v>
      </c>
      <c r="B357" t="s">
        <v>500</v>
      </c>
      <c r="C357">
        <v>1034998.8</v>
      </c>
    </row>
    <row r="358" spans="1:3" hidden="1">
      <c r="A358" t="s">
        <v>463</v>
      </c>
      <c r="B358" t="s">
        <v>464</v>
      </c>
      <c r="C358">
        <v>1710005</v>
      </c>
    </row>
    <row r="359" spans="1:3" hidden="1">
      <c r="A359" t="s">
        <v>463</v>
      </c>
      <c r="B359" t="s">
        <v>464</v>
      </c>
      <c r="C359">
        <v>391000.5</v>
      </c>
    </row>
    <row r="360" spans="1:3" hidden="1">
      <c r="A360" t="s">
        <v>463</v>
      </c>
      <c r="B360" t="s">
        <v>464</v>
      </c>
      <c r="C360">
        <v>1407601.8</v>
      </c>
    </row>
    <row r="361" spans="1:3" hidden="1">
      <c r="A361" t="s">
        <v>463</v>
      </c>
      <c r="B361" t="s">
        <v>464</v>
      </c>
      <c r="C361">
        <v>1724998</v>
      </c>
    </row>
    <row r="362" spans="1:3" hidden="1">
      <c r="A362" t="s">
        <v>463</v>
      </c>
      <c r="B362" t="s">
        <v>464</v>
      </c>
      <c r="C362">
        <v>1034998.8</v>
      </c>
    </row>
    <row r="363" spans="1:3" hidden="1">
      <c r="A363" t="s">
        <v>463</v>
      </c>
      <c r="B363" t="s">
        <v>464</v>
      </c>
      <c r="C363">
        <v>1103998.5</v>
      </c>
    </row>
    <row r="364" spans="1:3" hidden="1">
      <c r="A364" t="s">
        <v>438</v>
      </c>
      <c r="B364" t="s">
        <v>439</v>
      </c>
      <c r="C364">
        <v>4213452.32</v>
      </c>
    </row>
    <row r="365" spans="1:3" hidden="1">
      <c r="A365" t="s">
        <v>438</v>
      </c>
      <c r="B365" t="s">
        <v>439</v>
      </c>
      <c r="C365">
        <v>4692006</v>
      </c>
    </row>
    <row r="366" spans="1:3" hidden="1">
      <c r="A366" t="s">
        <v>438</v>
      </c>
      <c r="B366" t="s">
        <v>439</v>
      </c>
      <c r="C366">
        <v>6334208.0999999996</v>
      </c>
    </row>
    <row r="367" spans="1:3" hidden="1">
      <c r="A367" t="s">
        <v>438</v>
      </c>
      <c r="B367" t="s">
        <v>439</v>
      </c>
      <c r="C367">
        <v>1379998.4</v>
      </c>
    </row>
    <row r="368" spans="1:3" hidden="1">
      <c r="A368" t="s">
        <v>438</v>
      </c>
      <c r="B368" t="s">
        <v>439</v>
      </c>
      <c r="C368">
        <v>2414997.2000000002</v>
      </c>
    </row>
    <row r="369" spans="1:3" hidden="1">
      <c r="A369" t="s">
        <v>459</v>
      </c>
      <c r="B369" t="s">
        <v>460</v>
      </c>
      <c r="C369">
        <v>3796211.1</v>
      </c>
    </row>
    <row r="370" spans="1:3" hidden="1">
      <c r="A370" t="s">
        <v>459</v>
      </c>
      <c r="B370" t="s">
        <v>460</v>
      </c>
      <c r="C370">
        <v>1870000</v>
      </c>
    </row>
    <row r="371" spans="1:3" hidden="1">
      <c r="A371" t="s">
        <v>459</v>
      </c>
      <c r="B371" t="s">
        <v>460</v>
      </c>
      <c r="C371">
        <v>330000</v>
      </c>
    </row>
    <row r="372" spans="1:3" hidden="1">
      <c r="A372" t="s">
        <v>459</v>
      </c>
      <c r="B372" t="s">
        <v>460</v>
      </c>
      <c r="C372">
        <v>660000</v>
      </c>
    </row>
    <row r="373" spans="1:3" hidden="1">
      <c r="A373" t="s">
        <v>459</v>
      </c>
      <c r="B373" t="s">
        <v>460</v>
      </c>
      <c r="C373">
        <v>1173001.5</v>
      </c>
    </row>
    <row r="374" spans="1:3" hidden="1">
      <c r="A374" t="s">
        <v>459</v>
      </c>
      <c r="B374" t="s">
        <v>460</v>
      </c>
      <c r="C374">
        <v>704000</v>
      </c>
    </row>
    <row r="375" spans="1:3" hidden="1">
      <c r="A375" t="s">
        <v>459</v>
      </c>
      <c r="B375" t="s">
        <v>460</v>
      </c>
      <c r="C375">
        <v>2530807.4</v>
      </c>
    </row>
    <row r="376" spans="1:3" hidden="1">
      <c r="A376" t="s">
        <v>459</v>
      </c>
      <c r="B376" t="s">
        <v>460</v>
      </c>
      <c r="C376">
        <v>3740000</v>
      </c>
    </row>
    <row r="377" spans="1:3" hidden="1">
      <c r="A377" t="s">
        <v>459</v>
      </c>
      <c r="B377" t="s">
        <v>460</v>
      </c>
      <c r="C377">
        <v>2346003</v>
      </c>
    </row>
    <row r="378" spans="1:3" hidden="1">
      <c r="A378" t="s">
        <v>459</v>
      </c>
      <c r="B378" t="s">
        <v>460</v>
      </c>
      <c r="C378">
        <v>1056000</v>
      </c>
    </row>
    <row r="379" spans="1:3" hidden="1">
      <c r="A379" t="s">
        <v>484</v>
      </c>
      <c r="B379" t="s">
        <v>485</v>
      </c>
      <c r="C379">
        <v>1265403.7</v>
      </c>
    </row>
    <row r="380" spans="1:3" hidden="1">
      <c r="A380" t="s">
        <v>484</v>
      </c>
      <c r="B380" t="s">
        <v>485</v>
      </c>
      <c r="C380">
        <v>703800.9</v>
      </c>
    </row>
    <row r="381" spans="1:3" hidden="1">
      <c r="A381" t="s">
        <v>484</v>
      </c>
      <c r="B381" t="s">
        <v>485</v>
      </c>
      <c r="C381">
        <v>330000</v>
      </c>
    </row>
    <row r="382" spans="1:3" hidden="1">
      <c r="A382" t="s">
        <v>484</v>
      </c>
      <c r="B382" t="s">
        <v>485</v>
      </c>
      <c r="C382">
        <v>330000</v>
      </c>
    </row>
    <row r="383" spans="1:3" hidden="1">
      <c r="A383" t="s">
        <v>484</v>
      </c>
      <c r="B383" t="s">
        <v>485</v>
      </c>
      <c r="C383">
        <v>2346003</v>
      </c>
    </row>
    <row r="384" spans="1:3" hidden="1">
      <c r="A384" t="s">
        <v>484</v>
      </c>
      <c r="B384" t="s">
        <v>485</v>
      </c>
      <c r="C384">
        <v>1056000</v>
      </c>
    </row>
    <row r="385" spans="1:3" hidden="1">
      <c r="A385" t="s">
        <v>600</v>
      </c>
      <c r="B385" t="s">
        <v>601</v>
      </c>
      <c r="C385">
        <v>1710005</v>
      </c>
    </row>
    <row r="386" spans="1:3" hidden="1">
      <c r="A386" t="s">
        <v>600</v>
      </c>
      <c r="B386" t="s">
        <v>601</v>
      </c>
      <c r="C386">
        <v>1173001.5</v>
      </c>
    </row>
    <row r="387" spans="1:3" hidden="1">
      <c r="A387" t="s">
        <v>600</v>
      </c>
      <c r="B387" t="s">
        <v>601</v>
      </c>
      <c r="C387">
        <v>1724998</v>
      </c>
    </row>
    <row r="388" spans="1:3" hidden="1">
      <c r="A388" t="s">
        <v>600</v>
      </c>
      <c r="B388" t="s">
        <v>601</v>
      </c>
      <c r="C388">
        <v>1724998</v>
      </c>
    </row>
    <row r="389" spans="1:3" hidden="1">
      <c r="A389" t="s">
        <v>596</v>
      </c>
      <c r="B389" t="s">
        <v>597</v>
      </c>
      <c r="C389">
        <v>1710005</v>
      </c>
    </row>
    <row r="390" spans="1:3" hidden="1">
      <c r="A390" t="s">
        <v>596</v>
      </c>
      <c r="B390" t="s">
        <v>597</v>
      </c>
      <c r="C390">
        <v>391000.5</v>
      </c>
    </row>
    <row r="391" spans="1:3" hidden="1">
      <c r="A391" t="s">
        <v>596</v>
      </c>
      <c r="B391" t="s">
        <v>597</v>
      </c>
      <c r="C391">
        <v>1173001.5</v>
      </c>
    </row>
    <row r="392" spans="1:3" hidden="1">
      <c r="A392" t="s">
        <v>596</v>
      </c>
      <c r="B392" t="s">
        <v>597</v>
      </c>
      <c r="C392">
        <v>1724998</v>
      </c>
    </row>
    <row r="393" spans="1:3" hidden="1">
      <c r="A393" t="s">
        <v>596</v>
      </c>
      <c r="B393" t="s">
        <v>597</v>
      </c>
      <c r="C393">
        <v>344999.6</v>
      </c>
    </row>
    <row r="394" spans="1:3" hidden="1">
      <c r="A394" t="s">
        <v>525</v>
      </c>
      <c r="B394" t="s">
        <v>526</v>
      </c>
      <c r="C394">
        <v>1710005</v>
      </c>
    </row>
    <row r="395" spans="1:3" hidden="1">
      <c r="A395" t="s">
        <v>525</v>
      </c>
      <c r="B395" t="s">
        <v>526</v>
      </c>
      <c r="C395">
        <v>782001</v>
      </c>
    </row>
    <row r="396" spans="1:3" hidden="1">
      <c r="A396" t="s">
        <v>525</v>
      </c>
      <c r="B396" t="s">
        <v>526</v>
      </c>
      <c r="C396">
        <v>2346003</v>
      </c>
    </row>
    <row r="397" spans="1:3" hidden="1">
      <c r="A397" t="s">
        <v>525</v>
      </c>
      <c r="B397" t="s">
        <v>526</v>
      </c>
      <c r="C397">
        <v>344999.6</v>
      </c>
    </row>
    <row r="398" spans="1:3" hidden="1">
      <c r="A398" t="s">
        <v>525</v>
      </c>
      <c r="B398" t="s">
        <v>526</v>
      </c>
      <c r="C398">
        <v>344999.6</v>
      </c>
    </row>
    <row r="399" spans="1:3" hidden="1">
      <c r="A399" t="s">
        <v>525</v>
      </c>
      <c r="B399" t="s">
        <v>526</v>
      </c>
      <c r="C399">
        <v>367999.5</v>
      </c>
    </row>
    <row r="400" spans="1:3" hidden="1">
      <c r="A400" t="s">
        <v>438</v>
      </c>
      <c r="B400" t="s">
        <v>439</v>
      </c>
      <c r="C400">
        <v>1710005</v>
      </c>
    </row>
    <row r="401" spans="1:3" hidden="1">
      <c r="A401" t="s">
        <v>438</v>
      </c>
      <c r="B401" t="s">
        <v>439</v>
      </c>
      <c r="C401">
        <v>782001</v>
      </c>
    </row>
    <row r="402" spans="1:3" hidden="1">
      <c r="A402" t="s">
        <v>438</v>
      </c>
      <c r="B402" t="s">
        <v>439</v>
      </c>
      <c r="C402">
        <v>469200.6</v>
      </c>
    </row>
    <row r="403" spans="1:3" hidden="1">
      <c r="A403" t="s">
        <v>438</v>
      </c>
      <c r="B403" t="s">
        <v>439</v>
      </c>
      <c r="C403">
        <v>1034998.8</v>
      </c>
    </row>
    <row r="404" spans="1:3" hidden="1">
      <c r="A404" t="s">
        <v>438</v>
      </c>
      <c r="B404" t="s">
        <v>439</v>
      </c>
      <c r="C404">
        <v>1034998.8</v>
      </c>
    </row>
    <row r="405" spans="1:3" hidden="1">
      <c r="A405" t="s">
        <v>487</v>
      </c>
      <c r="B405" t="s">
        <v>488</v>
      </c>
      <c r="C405">
        <v>190740000</v>
      </c>
    </row>
    <row r="406" spans="1:3" hidden="1">
      <c r="A406" t="s">
        <v>493</v>
      </c>
      <c r="B406" t="s">
        <v>494</v>
      </c>
      <c r="C406">
        <v>6732000</v>
      </c>
    </row>
    <row r="407" spans="1:3" hidden="1">
      <c r="A407" t="s">
        <v>487</v>
      </c>
      <c r="B407" t="s">
        <v>488</v>
      </c>
      <c r="C407">
        <v>37400000</v>
      </c>
    </row>
    <row r="408" spans="1:3" hidden="1">
      <c r="A408" t="s">
        <v>487</v>
      </c>
      <c r="B408" t="s">
        <v>488</v>
      </c>
      <c r="C408">
        <v>26928000</v>
      </c>
    </row>
    <row r="409" spans="1:3" hidden="1">
      <c r="A409" t="s">
        <v>487</v>
      </c>
      <c r="B409" t="s">
        <v>488</v>
      </c>
      <c r="C409">
        <v>89647800</v>
      </c>
    </row>
    <row r="410" spans="1:3" hidden="1">
      <c r="A410" t="s">
        <v>487</v>
      </c>
      <c r="B410" t="s">
        <v>488</v>
      </c>
      <c r="C410">
        <v>6600000</v>
      </c>
    </row>
    <row r="411" spans="1:3" hidden="1">
      <c r="A411" t="s">
        <v>487</v>
      </c>
      <c r="B411" t="s">
        <v>488</v>
      </c>
      <c r="C411">
        <v>33000000</v>
      </c>
    </row>
  </sheetData>
  <autoFilter ref="A1:K411">
    <filterColumn colId="9">
      <filters>
        <filter val="Đoàn Thị Hoài Thu"/>
      </filters>
    </filterColumn>
  </autoFilter>
  <dataConsolidate topLabels="1">
    <dataRefs count="2">
      <dataRef ref="I2:J28" sheet="sell in Direct-S"/>
      <dataRef ref="J2:K27" sheet="sell in Direct-S"/>
    </dataRefs>
  </dataConsolid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pane xSplit="1" ySplit="1" topLeftCell="C103" activePane="bottomRight" state="frozen"/>
      <selection activeCell="B1" sqref="B1"/>
      <selection pane="topRight" activeCell="B1" sqref="B1"/>
      <selection pane="bottomLeft" activeCell="B1" sqref="B1"/>
      <selection pane="bottomRight" activeCell="N3" sqref="N3:N108"/>
    </sheetView>
  </sheetViews>
  <sheetFormatPr defaultRowHeight="15"/>
  <cols>
    <col min="2" max="2" width="42.5703125" customWidth="1"/>
    <col min="3" max="3" width="15.140625" bestFit="1" customWidth="1"/>
    <col min="4" max="4" width="20.85546875" bestFit="1" customWidth="1"/>
    <col min="5" max="10" width="11.5703125" bestFit="1" customWidth="1"/>
    <col min="11" max="11" width="9.28515625" bestFit="1" customWidth="1"/>
    <col min="12" max="13" width="10.5703125" bestFit="1" customWidth="1"/>
    <col min="14" max="14" width="23.140625" customWidth="1"/>
  </cols>
  <sheetData>
    <row r="1" spans="1:14" ht="60">
      <c r="D1" t="s">
        <v>19</v>
      </c>
      <c r="E1" s="206" t="s">
        <v>745</v>
      </c>
      <c r="F1" s="206" t="s">
        <v>746</v>
      </c>
      <c r="G1" s="206" t="s">
        <v>747</v>
      </c>
      <c r="H1" s="206" t="s">
        <v>748</v>
      </c>
      <c r="I1" s="206" t="s">
        <v>749</v>
      </c>
      <c r="J1" s="206" t="s">
        <v>750</v>
      </c>
      <c r="K1" s="206">
        <v>1</v>
      </c>
      <c r="L1" s="206" t="s">
        <v>751</v>
      </c>
      <c r="M1">
        <v>2</v>
      </c>
      <c r="N1" s="206" t="s">
        <v>752</v>
      </c>
    </row>
    <row r="2" spans="1:14">
      <c r="A2" s="207" t="s">
        <v>753</v>
      </c>
      <c r="B2" s="207" t="s">
        <v>754</v>
      </c>
      <c r="C2" s="207" t="s">
        <v>755</v>
      </c>
      <c r="D2" s="207" t="s">
        <v>255</v>
      </c>
      <c r="E2" s="207">
        <v>126</v>
      </c>
      <c r="F2" s="207">
        <v>120</v>
      </c>
      <c r="G2" s="207">
        <v>30</v>
      </c>
      <c r="H2" s="207">
        <v>42</v>
      </c>
      <c r="I2" s="207">
        <v>120</v>
      </c>
      <c r="J2" s="207">
        <v>60</v>
      </c>
      <c r="K2" s="207"/>
      <c r="M2" s="204"/>
      <c r="N2" s="116">
        <f>SUMPRODUCT(E2:L2,$E$116:$L$116)</f>
        <v>9565.2000000000007</v>
      </c>
    </row>
    <row r="3" spans="1:14">
      <c r="A3" s="207" t="s">
        <v>756</v>
      </c>
      <c r="B3" s="207" t="s">
        <v>757</v>
      </c>
      <c r="C3" s="207" t="s">
        <v>758</v>
      </c>
      <c r="D3" s="207" t="s">
        <v>259</v>
      </c>
      <c r="E3" s="207">
        <v>84</v>
      </c>
      <c r="F3" s="207">
        <v>300</v>
      </c>
      <c r="G3" s="207">
        <v>78</v>
      </c>
      <c r="I3" s="207">
        <v>240</v>
      </c>
      <c r="L3" s="207">
        <v>0</v>
      </c>
      <c r="M3" s="204"/>
      <c r="N3" s="116">
        <f t="shared" ref="N3:N66" si="0">SUMPRODUCT(E3:L3,$E$116:$L$116)</f>
        <v>8295.6</v>
      </c>
    </row>
    <row r="4" spans="1:14">
      <c r="A4" s="207" t="s">
        <v>759</v>
      </c>
      <c r="B4" s="207" t="s">
        <v>760</v>
      </c>
      <c r="C4" s="207" t="s">
        <v>761</v>
      </c>
      <c r="D4" s="207" t="s">
        <v>762</v>
      </c>
      <c r="E4" s="207">
        <v>180</v>
      </c>
      <c r="F4" s="207">
        <v>600</v>
      </c>
      <c r="G4" s="207">
        <v>120</v>
      </c>
      <c r="H4" s="207">
        <v>30</v>
      </c>
      <c r="I4" s="207">
        <v>300</v>
      </c>
      <c r="J4" s="207">
        <v>40</v>
      </c>
      <c r="K4" s="207"/>
      <c r="L4" s="207">
        <v>150</v>
      </c>
      <c r="M4" s="204"/>
      <c r="N4" s="116">
        <f t="shared" si="0"/>
        <v>18562</v>
      </c>
    </row>
    <row r="5" spans="1:14">
      <c r="A5" s="207" t="s">
        <v>763</v>
      </c>
      <c r="B5" s="207" t="s">
        <v>764</v>
      </c>
      <c r="C5" s="207" t="s">
        <v>765</v>
      </c>
      <c r="D5" s="207" t="s">
        <v>766</v>
      </c>
      <c r="E5" s="207">
        <v>438</v>
      </c>
      <c r="F5" s="207">
        <v>540</v>
      </c>
      <c r="G5" s="207">
        <v>102</v>
      </c>
      <c r="H5" s="207">
        <v>60</v>
      </c>
      <c r="I5" s="207">
        <v>360</v>
      </c>
      <c r="J5" s="207">
        <v>60</v>
      </c>
      <c r="K5" s="207"/>
      <c r="L5" s="207">
        <v>60</v>
      </c>
      <c r="M5" s="204"/>
      <c r="N5" s="116">
        <f t="shared" si="0"/>
        <v>28213.199999999997</v>
      </c>
    </row>
    <row r="6" spans="1:14">
      <c r="A6" s="207" t="s">
        <v>767</v>
      </c>
      <c r="B6" s="207" t="s">
        <v>768</v>
      </c>
      <c r="C6" s="207" t="s">
        <v>765</v>
      </c>
      <c r="D6" s="207" t="s">
        <v>259</v>
      </c>
      <c r="E6" s="207">
        <v>390</v>
      </c>
      <c r="F6" s="207">
        <v>960</v>
      </c>
      <c r="G6" s="207">
        <v>60</v>
      </c>
      <c r="H6" s="207">
        <v>12</v>
      </c>
      <c r="I6" s="207">
        <v>360</v>
      </c>
      <c r="J6" s="207">
        <v>80</v>
      </c>
      <c r="K6" s="207"/>
      <c r="L6" s="207">
        <v>30</v>
      </c>
      <c r="M6" s="204"/>
      <c r="N6" s="116">
        <f t="shared" si="0"/>
        <v>25800.799999999999</v>
      </c>
    </row>
    <row r="7" spans="1:14">
      <c r="A7" s="207" t="s">
        <v>769</v>
      </c>
      <c r="B7" s="207" t="s">
        <v>770</v>
      </c>
      <c r="C7" s="207" t="s">
        <v>765</v>
      </c>
      <c r="D7" s="207" t="s">
        <v>766</v>
      </c>
      <c r="E7" s="207">
        <v>210</v>
      </c>
      <c r="F7" s="207">
        <v>300</v>
      </c>
      <c r="H7" s="207">
        <v>30</v>
      </c>
      <c r="I7" s="207">
        <v>300</v>
      </c>
      <c r="J7" s="207">
        <v>40</v>
      </c>
      <c r="K7" s="207"/>
      <c r="M7" s="204"/>
      <c r="N7" s="116">
        <f t="shared" si="0"/>
        <v>13024</v>
      </c>
    </row>
    <row r="8" spans="1:14">
      <c r="A8" s="207" t="s">
        <v>771</v>
      </c>
      <c r="B8" s="207" t="s">
        <v>772</v>
      </c>
      <c r="C8" s="207" t="s">
        <v>755</v>
      </c>
      <c r="D8" s="207" t="s">
        <v>254</v>
      </c>
      <c r="E8" s="207">
        <v>120</v>
      </c>
      <c r="F8" s="207">
        <v>780</v>
      </c>
      <c r="G8" s="207">
        <v>90</v>
      </c>
      <c r="I8" s="207">
        <v>300</v>
      </c>
      <c r="J8" s="207">
        <v>100</v>
      </c>
      <c r="K8" s="207"/>
      <c r="M8" s="204"/>
      <c r="N8" s="116">
        <f t="shared" si="0"/>
        <v>14818</v>
      </c>
    </row>
    <row r="9" spans="1:14">
      <c r="A9" s="207" t="s">
        <v>773</v>
      </c>
      <c r="B9" s="207" t="s">
        <v>774</v>
      </c>
      <c r="C9" s="207" t="s">
        <v>775</v>
      </c>
      <c r="D9" s="207" t="s">
        <v>254</v>
      </c>
      <c r="E9" s="207">
        <v>180</v>
      </c>
      <c r="F9" s="207">
        <v>600</v>
      </c>
      <c r="G9" s="207">
        <v>60</v>
      </c>
      <c r="H9" s="207">
        <v>30</v>
      </c>
      <c r="J9" s="207">
        <v>100</v>
      </c>
      <c r="K9" s="207"/>
      <c r="M9" s="204"/>
      <c r="N9" s="116">
        <f t="shared" si="0"/>
        <v>14704</v>
      </c>
    </row>
    <row r="10" spans="1:14">
      <c r="A10" s="207" t="s">
        <v>776</v>
      </c>
      <c r="B10" s="207" t="s">
        <v>777</v>
      </c>
      <c r="C10" s="207" t="s">
        <v>761</v>
      </c>
      <c r="D10" s="207" t="s">
        <v>762</v>
      </c>
      <c r="E10" s="207">
        <v>90</v>
      </c>
      <c r="F10" s="207">
        <v>300</v>
      </c>
      <c r="G10" s="207">
        <v>30</v>
      </c>
      <c r="H10" s="207">
        <v>30</v>
      </c>
      <c r="J10" s="207">
        <v>40</v>
      </c>
      <c r="K10" s="207"/>
      <c r="M10" s="204"/>
      <c r="N10" s="116">
        <f t="shared" si="0"/>
        <v>7726</v>
      </c>
    </row>
    <row r="11" spans="1:14">
      <c r="A11" s="207" t="s">
        <v>778</v>
      </c>
      <c r="B11" s="207" t="s">
        <v>779</v>
      </c>
      <c r="C11" s="207" t="s">
        <v>761</v>
      </c>
      <c r="D11" s="207" t="s">
        <v>254</v>
      </c>
      <c r="E11" s="207">
        <v>60</v>
      </c>
      <c r="F11" s="207">
        <v>300</v>
      </c>
      <c r="I11" s="207">
        <v>300</v>
      </c>
      <c r="L11" s="207">
        <v>0</v>
      </c>
      <c r="M11" s="204"/>
      <c r="N11" s="116">
        <f t="shared" si="0"/>
        <v>5544</v>
      </c>
    </row>
    <row r="12" spans="1:14">
      <c r="A12" s="207" t="s">
        <v>780</v>
      </c>
      <c r="B12" s="207" t="s">
        <v>781</v>
      </c>
      <c r="C12" s="207" t="s">
        <v>755</v>
      </c>
      <c r="D12" s="207" t="s">
        <v>255</v>
      </c>
      <c r="E12" s="207">
        <v>60</v>
      </c>
      <c r="F12" s="207">
        <v>300</v>
      </c>
      <c r="G12" s="207">
        <v>84</v>
      </c>
      <c r="H12" s="207">
        <v>30</v>
      </c>
      <c r="I12" s="207">
        <v>240</v>
      </c>
      <c r="J12" s="207">
        <v>140</v>
      </c>
      <c r="K12" s="207"/>
      <c r="L12" s="207">
        <v>30</v>
      </c>
      <c r="M12" s="204"/>
      <c r="N12" s="116">
        <f t="shared" si="0"/>
        <v>11636</v>
      </c>
    </row>
    <row r="13" spans="1:14">
      <c r="A13" s="207" t="s">
        <v>782</v>
      </c>
      <c r="B13" s="207" t="s">
        <v>783</v>
      </c>
      <c r="C13" s="207" t="s">
        <v>784</v>
      </c>
      <c r="D13" s="207" t="s">
        <v>26</v>
      </c>
      <c r="E13" s="207">
        <v>360</v>
      </c>
      <c r="F13" s="207">
        <v>660</v>
      </c>
      <c r="G13" s="207">
        <v>180</v>
      </c>
      <c r="H13" s="207">
        <v>30</v>
      </c>
      <c r="I13" s="207">
        <v>420</v>
      </c>
      <c r="J13" s="207">
        <v>160</v>
      </c>
      <c r="K13" s="207"/>
      <c r="L13" s="207">
        <v>0</v>
      </c>
      <c r="M13" s="204"/>
      <c r="N13" s="116">
        <f t="shared" si="0"/>
        <v>28558</v>
      </c>
    </row>
    <row r="14" spans="1:14">
      <c r="A14" s="207" t="s">
        <v>785</v>
      </c>
      <c r="B14" s="207" t="s">
        <v>786</v>
      </c>
      <c r="C14" s="207" t="s">
        <v>761</v>
      </c>
      <c r="D14" s="207" t="s">
        <v>762</v>
      </c>
      <c r="E14" s="207">
        <v>258</v>
      </c>
      <c r="F14" s="207">
        <v>180</v>
      </c>
      <c r="G14" s="207">
        <v>150</v>
      </c>
      <c r="H14" s="207">
        <v>24</v>
      </c>
      <c r="I14" s="207">
        <v>240</v>
      </c>
      <c r="J14" s="207">
        <v>40</v>
      </c>
      <c r="K14" s="207"/>
      <c r="L14" s="207">
        <v>0</v>
      </c>
      <c r="M14" s="204"/>
      <c r="N14" s="116">
        <f t="shared" si="0"/>
        <v>17804.8</v>
      </c>
    </row>
    <row r="15" spans="1:14">
      <c r="A15" s="207" t="s">
        <v>787</v>
      </c>
      <c r="B15" s="207" t="s">
        <v>788</v>
      </c>
      <c r="C15" s="207" t="s">
        <v>755</v>
      </c>
      <c r="D15" s="207" t="s">
        <v>255</v>
      </c>
      <c r="E15" s="207">
        <v>114</v>
      </c>
      <c r="F15" s="207">
        <v>1440</v>
      </c>
      <c r="G15" s="207">
        <v>60</v>
      </c>
      <c r="H15" s="207">
        <v>24</v>
      </c>
      <c r="I15" s="207">
        <v>600</v>
      </c>
      <c r="J15" s="207">
        <v>40</v>
      </c>
      <c r="K15" s="207"/>
      <c r="M15" s="204"/>
      <c r="N15" s="116">
        <f t="shared" si="0"/>
        <v>18809.199999999997</v>
      </c>
    </row>
    <row r="16" spans="1:14">
      <c r="A16" s="207" t="s">
        <v>789</v>
      </c>
      <c r="B16" s="207" t="s">
        <v>790</v>
      </c>
      <c r="C16" s="207" t="s">
        <v>784</v>
      </c>
      <c r="D16" s="207" t="s">
        <v>26</v>
      </c>
      <c r="E16" s="207">
        <v>150</v>
      </c>
      <c r="F16" s="207">
        <v>300</v>
      </c>
      <c r="G16" s="207">
        <v>60</v>
      </c>
      <c r="H16" s="207">
        <v>36</v>
      </c>
      <c r="J16" s="207">
        <v>100</v>
      </c>
      <c r="K16" s="207"/>
      <c r="M16" s="204"/>
      <c r="N16" s="116">
        <f t="shared" si="0"/>
        <v>12156.4</v>
      </c>
    </row>
    <row r="17" spans="1:14">
      <c r="A17" s="207" t="s">
        <v>791</v>
      </c>
      <c r="B17" s="207" t="s">
        <v>792</v>
      </c>
      <c r="C17" s="207" t="s">
        <v>784</v>
      </c>
      <c r="D17" s="207" t="s">
        <v>793</v>
      </c>
      <c r="E17" s="207">
        <v>300</v>
      </c>
      <c r="F17" s="207">
        <v>420</v>
      </c>
      <c r="G17" s="207">
        <v>180</v>
      </c>
      <c r="H17" s="207">
        <v>48</v>
      </c>
      <c r="I17" s="207">
        <v>180</v>
      </c>
      <c r="J17" s="207">
        <v>100</v>
      </c>
      <c r="K17" s="207"/>
      <c r="L17" s="207">
        <v>90</v>
      </c>
      <c r="M17" s="204"/>
      <c r="N17" s="116">
        <f t="shared" si="0"/>
        <v>24215.200000000001</v>
      </c>
    </row>
    <row r="18" spans="1:14">
      <c r="A18" s="207" t="s">
        <v>794</v>
      </c>
      <c r="B18" s="207" t="s">
        <v>795</v>
      </c>
      <c r="C18" s="207" t="s">
        <v>784</v>
      </c>
      <c r="D18" s="207" t="s">
        <v>793</v>
      </c>
      <c r="G18" s="207">
        <v>90</v>
      </c>
      <c r="H18" s="207">
        <v>30</v>
      </c>
      <c r="I18" s="207">
        <v>120</v>
      </c>
      <c r="L18" s="207">
        <v>0</v>
      </c>
      <c r="M18" s="204"/>
      <c r="N18" s="116">
        <f t="shared" si="0"/>
        <v>4302</v>
      </c>
    </row>
    <row r="19" spans="1:14">
      <c r="A19" s="207" t="s">
        <v>796</v>
      </c>
      <c r="B19" s="207" t="s">
        <v>797</v>
      </c>
      <c r="C19" s="207" t="s">
        <v>784</v>
      </c>
      <c r="D19" s="207" t="s">
        <v>25</v>
      </c>
      <c r="E19" s="207">
        <v>330</v>
      </c>
      <c r="F19" s="207">
        <v>420</v>
      </c>
      <c r="G19" s="207">
        <v>90</v>
      </c>
      <c r="H19" s="207">
        <v>18</v>
      </c>
      <c r="I19" s="207">
        <v>120</v>
      </c>
      <c r="J19" s="207">
        <v>60</v>
      </c>
      <c r="K19" s="207"/>
      <c r="L19" s="207">
        <v>60</v>
      </c>
      <c r="M19" s="204"/>
      <c r="N19" s="116">
        <f t="shared" si="0"/>
        <v>20287.2</v>
      </c>
    </row>
    <row r="20" spans="1:14">
      <c r="A20" s="207" t="s">
        <v>798</v>
      </c>
      <c r="B20" s="207" t="s">
        <v>799</v>
      </c>
      <c r="C20" s="207" t="s">
        <v>755</v>
      </c>
      <c r="D20" s="207" t="s">
        <v>255</v>
      </c>
      <c r="E20" s="207">
        <v>120</v>
      </c>
      <c r="F20" s="207">
        <v>120</v>
      </c>
      <c r="G20" s="207">
        <v>30</v>
      </c>
      <c r="H20" s="207">
        <v>12</v>
      </c>
      <c r="I20" s="207">
        <v>60</v>
      </c>
      <c r="J20" s="207">
        <v>120</v>
      </c>
      <c r="K20" s="207"/>
      <c r="L20" s="207">
        <v>0</v>
      </c>
      <c r="M20" s="204"/>
      <c r="N20" s="116">
        <f t="shared" si="0"/>
        <v>9010.7999999999993</v>
      </c>
    </row>
    <row r="21" spans="1:14">
      <c r="A21" s="207" t="s">
        <v>800</v>
      </c>
      <c r="B21" s="207" t="s">
        <v>801</v>
      </c>
      <c r="C21" s="207" t="s">
        <v>775</v>
      </c>
      <c r="D21" s="207" t="s">
        <v>254</v>
      </c>
      <c r="E21" s="207">
        <v>150</v>
      </c>
      <c r="F21" s="207">
        <v>600</v>
      </c>
      <c r="G21" s="207">
        <v>120</v>
      </c>
      <c r="H21" s="207">
        <v>60</v>
      </c>
      <c r="I21" s="207">
        <v>180</v>
      </c>
      <c r="J21" s="207">
        <v>40</v>
      </c>
      <c r="K21" s="207"/>
      <c r="L21" s="207">
        <v>150</v>
      </c>
      <c r="M21" s="204"/>
      <c r="N21" s="116">
        <f t="shared" si="0"/>
        <v>17902</v>
      </c>
    </row>
    <row r="22" spans="1:14">
      <c r="A22" s="207" t="s">
        <v>802</v>
      </c>
      <c r="B22" s="207" t="s">
        <v>803</v>
      </c>
      <c r="C22" s="207" t="s">
        <v>755</v>
      </c>
      <c r="D22" s="207" t="s">
        <v>254</v>
      </c>
      <c r="E22" s="207">
        <v>180</v>
      </c>
      <c r="F22" s="207">
        <v>600</v>
      </c>
      <c r="G22" s="207">
        <v>60</v>
      </c>
      <c r="I22" s="207">
        <v>300</v>
      </c>
      <c r="L22" s="207">
        <v>0</v>
      </c>
      <c r="M22" s="204"/>
      <c r="N22" s="116">
        <f t="shared" si="0"/>
        <v>13362</v>
      </c>
    </row>
    <row r="23" spans="1:14">
      <c r="A23" s="207" t="s">
        <v>804</v>
      </c>
      <c r="B23" s="207" t="s">
        <v>805</v>
      </c>
      <c r="C23" s="207" t="s">
        <v>784</v>
      </c>
      <c r="D23" s="207" t="s">
        <v>307</v>
      </c>
      <c r="E23" s="207">
        <v>120</v>
      </c>
      <c r="F23" s="207">
        <v>720</v>
      </c>
      <c r="G23" s="207">
        <v>120</v>
      </c>
      <c r="H23" s="207">
        <v>60</v>
      </c>
      <c r="I23" s="207">
        <v>300</v>
      </c>
      <c r="J23" s="207">
        <v>100</v>
      </c>
      <c r="K23" s="207"/>
      <c r="L23" s="207">
        <v>60</v>
      </c>
      <c r="M23" s="204"/>
      <c r="N23" s="116">
        <f t="shared" si="0"/>
        <v>18232</v>
      </c>
    </row>
    <row r="24" spans="1:14">
      <c r="A24" s="207" t="s">
        <v>806</v>
      </c>
      <c r="B24" s="207" t="s">
        <v>807</v>
      </c>
      <c r="C24" s="207" t="s">
        <v>765</v>
      </c>
      <c r="D24" s="207" t="s">
        <v>308</v>
      </c>
      <c r="E24" s="207">
        <v>198</v>
      </c>
      <c r="F24" s="207">
        <v>840</v>
      </c>
      <c r="G24" s="207">
        <v>42</v>
      </c>
      <c r="H24" s="207">
        <v>48</v>
      </c>
      <c r="I24" s="207">
        <v>240</v>
      </c>
      <c r="J24" s="207">
        <v>60</v>
      </c>
      <c r="K24" s="207"/>
      <c r="M24" s="204"/>
      <c r="N24" s="116">
        <f t="shared" si="0"/>
        <v>17438.400000000001</v>
      </c>
    </row>
    <row r="25" spans="1:14">
      <c r="A25" s="207" t="s">
        <v>808</v>
      </c>
      <c r="B25" s="207" t="s">
        <v>809</v>
      </c>
      <c r="C25" s="207" t="s">
        <v>765</v>
      </c>
      <c r="D25" s="207" t="s">
        <v>308</v>
      </c>
      <c r="E25" s="207">
        <v>150</v>
      </c>
      <c r="F25" s="207">
        <v>240</v>
      </c>
      <c r="G25" s="207">
        <v>42</v>
      </c>
      <c r="H25" s="207">
        <v>42</v>
      </c>
      <c r="I25" s="207">
        <v>120</v>
      </c>
      <c r="J25" s="207">
        <v>20</v>
      </c>
      <c r="K25" s="207"/>
      <c r="M25" s="204"/>
      <c r="N25" s="116">
        <f t="shared" si="0"/>
        <v>10710.8</v>
      </c>
    </row>
    <row r="26" spans="1:14">
      <c r="A26" s="207" t="s">
        <v>810</v>
      </c>
      <c r="B26" s="207" t="s">
        <v>811</v>
      </c>
      <c r="C26" s="207" t="s">
        <v>755</v>
      </c>
      <c r="D26" s="207" t="s">
        <v>255</v>
      </c>
      <c r="E26" s="207">
        <v>48</v>
      </c>
      <c r="F26" s="207">
        <v>120</v>
      </c>
      <c r="G26" s="207">
        <v>12</v>
      </c>
      <c r="I26" s="207">
        <v>120</v>
      </c>
      <c r="J26" s="207">
        <v>40</v>
      </c>
      <c r="K26" s="207"/>
      <c r="M26" s="204"/>
      <c r="N26" s="116">
        <f t="shared" si="0"/>
        <v>4199.2</v>
      </c>
    </row>
    <row r="27" spans="1:14">
      <c r="A27" s="207" t="s">
        <v>812</v>
      </c>
      <c r="B27" s="207" t="s">
        <v>813</v>
      </c>
      <c r="C27" s="207" t="s">
        <v>765</v>
      </c>
      <c r="D27" s="207" t="s">
        <v>308</v>
      </c>
      <c r="E27" s="207">
        <v>120</v>
      </c>
      <c r="F27" s="207">
        <v>1320</v>
      </c>
      <c r="G27" s="207">
        <v>102</v>
      </c>
      <c r="H27" s="207">
        <v>30</v>
      </c>
      <c r="I27" s="207">
        <v>780</v>
      </c>
      <c r="M27" s="204"/>
      <c r="N27" s="116">
        <f t="shared" si="0"/>
        <v>20016</v>
      </c>
    </row>
    <row r="28" spans="1:14">
      <c r="A28" s="207" t="s">
        <v>814</v>
      </c>
      <c r="B28" s="207" t="s">
        <v>815</v>
      </c>
      <c r="C28" s="207" t="s">
        <v>755</v>
      </c>
      <c r="D28" s="207" t="s">
        <v>254</v>
      </c>
      <c r="E28" s="207">
        <v>222</v>
      </c>
      <c r="F28" s="207">
        <v>120</v>
      </c>
      <c r="G28" s="207">
        <v>120</v>
      </c>
      <c r="H28" s="207">
        <v>18</v>
      </c>
      <c r="I28" s="207">
        <v>120</v>
      </c>
      <c r="L28" s="207">
        <v>0</v>
      </c>
      <c r="M28" s="204"/>
      <c r="N28" s="116">
        <f t="shared" si="0"/>
        <v>13656</v>
      </c>
    </row>
    <row r="29" spans="1:14">
      <c r="A29" s="207" t="s">
        <v>816</v>
      </c>
      <c r="B29" s="207" t="s">
        <v>817</v>
      </c>
      <c r="C29" s="207" t="s">
        <v>818</v>
      </c>
      <c r="D29" s="207" t="s">
        <v>260</v>
      </c>
      <c r="E29" s="207">
        <v>42</v>
      </c>
      <c r="F29" s="207">
        <v>240</v>
      </c>
      <c r="G29" s="207">
        <v>36</v>
      </c>
      <c r="H29" s="207">
        <v>42</v>
      </c>
      <c r="I29" s="207">
        <v>360</v>
      </c>
      <c r="J29" s="207">
        <v>120</v>
      </c>
      <c r="K29" s="207"/>
      <c r="M29" s="204"/>
      <c r="N29" s="116">
        <f t="shared" si="0"/>
        <v>9693.6</v>
      </c>
    </row>
    <row r="30" spans="1:14">
      <c r="A30" s="207" t="s">
        <v>819</v>
      </c>
      <c r="B30" s="207" t="s">
        <v>820</v>
      </c>
      <c r="C30" s="207" t="s">
        <v>784</v>
      </c>
      <c r="D30" s="207" t="s">
        <v>25</v>
      </c>
      <c r="E30" s="207">
        <v>510</v>
      </c>
      <c r="F30" s="207">
        <v>1260</v>
      </c>
      <c r="G30" s="207">
        <v>300</v>
      </c>
      <c r="H30" s="207">
        <v>78</v>
      </c>
      <c r="I30" s="207">
        <v>240</v>
      </c>
      <c r="M30" s="204"/>
      <c r="N30" s="116">
        <f t="shared" si="0"/>
        <v>38641.199999999997</v>
      </c>
    </row>
    <row r="31" spans="1:14">
      <c r="A31" s="207" t="s">
        <v>821</v>
      </c>
      <c r="B31" s="207" t="s">
        <v>822</v>
      </c>
      <c r="C31" s="207" t="s">
        <v>784</v>
      </c>
      <c r="D31" s="207" t="s">
        <v>307</v>
      </c>
      <c r="E31" s="207">
        <v>90</v>
      </c>
      <c r="F31" s="207">
        <v>360</v>
      </c>
      <c r="H31" s="207">
        <v>18</v>
      </c>
      <c r="I31" s="207">
        <v>120</v>
      </c>
      <c r="J31" s="207">
        <v>40</v>
      </c>
      <c r="K31" s="207"/>
      <c r="M31" s="204"/>
      <c r="N31" s="116">
        <f t="shared" si="0"/>
        <v>7427.2</v>
      </c>
    </row>
    <row r="32" spans="1:14">
      <c r="A32" s="207" t="s">
        <v>823</v>
      </c>
      <c r="B32" s="207" t="s">
        <v>824</v>
      </c>
      <c r="C32" s="207" t="s">
        <v>784</v>
      </c>
      <c r="D32" s="207" t="s">
        <v>793</v>
      </c>
      <c r="E32" s="207">
        <v>120</v>
      </c>
      <c r="F32" s="207">
        <v>300</v>
      </c>
      <c r="G32" s="207">
        <v>120</v>
      </c>
      <c r="H32" s="207">
        <v>12</v>
      </c>
      <c r="I32" s="207">
        <v>120</v>
      </c>
      <c r="J32" s="207">
        <v>100</v>
      </c>
      <c r="K32" s="207"/>
      <c r="L32" s="207">
        <v>30</v>
      </c>
      <c r="M32" s="204"/>
      <c r="N32" s="116">
        <f t="shared" si="0"/>
        <v>12806.8</v>
      </c>
    </row>
    <row r="33" spans="1:14">
      <c r="A33" s="207" t="s">
        <v>825</v>
      </c>
      <c r="B33" s="207" t="s">
        <v>826</v>
      </c>
      <c r="C33" s="207" t="s">
        <v>784</v>
      </c>
      <c r="D33" s="207" t="s">
        <v>25</v>
      </c>
      <c r="E33" s="207">
        <v>270</v>
      </c>
      <c r="F33" s="207">
        <v>300</v>
      </c>
      <c r="G33" s="207">
        <v>180</v>
      </c>
      <c r="H33" s="207">
        <v>30</v>
      </c>
      <c r="M33" s="204"/>
      <c r="N33" s="116">
        <f t="shared" si="0"/>
        <v>17910</v>
      </c>
    </row>
    <row r="34" spans="1:14">
      <c r="A34" s="207" t="s">
        <v>827</v>
      </c>
      <c r="B34" s="207" t="s">
        <v>828</v>
      </c>
      <c r="C34" s="207" t="s">
        <v>784</v>
      </c>
      <c r="D34" s="207" t="s">
        <v>26</v>
      </c>
      <c r="E34" s="207">
        <v>540</v>
      </c>
      <c r="F34" s="207">
        <v>840</v>
      </c>
      <c r="G34" s="207">
        <v>240</v>
      </c>
      <c r="H34" s="207">
        <v>132</v>
      </c>
      <c r="I34" s="207">
        <v>360</v>
      </c>
      <c r="J34" s="207">
        <v>160</v>
      </c>
      <c r="K34" s="207"/>
      <c r="M34" s="204"/>
      <c r="N34" s="116">
        <f t="shared" si="0"/>
        <v>41444.800000000003</v>
      </c>
    </row>
    <row r="35" spans="1:14">
      <c r="A35" s="207" t="s">
        <v>829</v>
      </c>
      <c r="B35" s="207" t="s">
        <v>830</v>
      </c>
      <c r="C35" s="207" t="s">
        <v>784</v>
      </c>
      <c r="D35" s="207" t="s">
        <v>793</v>
      </c>
      <c r="E35" s="207">
        <v>210</v>
      </c>
      <c r="F35" s="207">
        <v>480</v>
      </c>
      <c r="G35" s="207">
        <v>48</v>
      </c>
      <c r="H35" s="207">
        <v>24</v>
      </c>
      <c r="I35" s="207">
        <v>180</v>
      </c>
      <c r="J35" s="207">
        <v>100</v>
      </c>
      <c r="K35" s="207"/>
      <c r="M35" s="204"/>
      <c r="N35" s="116">
        <f t="shared" si="0"/>
        <v>15595.6</v>
      </c>
    </row>
    <row r="36" spans="1:14">
      <c r="A36" s="207" t="s">
        <v>831</v>
      </c>
      <c r="B36" s="207" t="s">
        <v>832</v>
      </c>
      <c r="C36" s="207" t="s">
        <v>784</v>
      </c>
      <c r="D36" s="207" t="s">
        <v>307</v>
      </c>
      <c r="E36" s="207">
        <v>60</v>
      </c>
      <c r="F36" s="207">
        <v>420</v>
      </c>
      <c r="G36" s="207">
        <v>120</v>
      </c>
      <c r="H36" s="207">
        <v>18</v>
      </c>
      <c r="I36" s="207">
        <v>180</v>
      </c>
      <c r="J36" s="207">
        <v>120</v>
      </c>
      <c r="K36" s="207"/>
      <c r="M36" s="204"/>
      <c r="N36" s="116">
        <f t="shared" si="0"/>
        <v>11821.2</v>
      </c>
    </row>
    <row r="37" spans="1:14">
      <c r="A37" s="207" t="s">
        <v>833</v>
      </c>
      <c r="B37" s="207" t="s">
        <v>834</v>
      </c>
      <c r="C37" s="207" t="s">
        <v>784</v>
      </c>
      <c r="D37" s="207" t="s">
        <v>793</v>
      </c>
      <c r="E37" s="207">
        <v>192</v>
      </c>
      <c r="F37" s="207">
        <v>240</v>
      </c>
      <c r="G37" s="207">
        <v>18</v>
      </c>
      <c r="H37" s="207">
        <v>36</v>
      </c>
      <c r="I37" s="207">
        <v>60</v>
      </c>
      <c r="M37" s="204"/>
      <c r="N37" s="116">
        <f t="shared" si="0"/>
        <v>10681.199999999999</v>
      </c>
    </row>
    <row r="38" spans="1:14">
      <c r="A38" s="207" t="s">
        <v>835</v>
      </c>
      <c r="B38" s="207" t="s">
        <v>836</v>
      </c>
      <c r="C38" s="207" t="s">
        <v>784</v>
      </c>
      <c r="D38" s="207" t="s">
        <v>26</v>
      </c>
      <c r="E38" s="207">
        <v>120</v>
      </c>
      <c r="F38" s="207">
        <v>660</v>
      </c>
      <c r="G38" s="207">
        <v>120</v>
      </c>
      <c r="H38" s="207">
        <v>60</v>
      </c>
      <c r="I38" s="207">
        <v>180</v>
      </c>
      <c r="J38" s="207">
        <v>120</v>
      </c>
      <c r="K38" s="207"/>
      <c r="M38" s="204"/>
      <c r="N38" s="116">
        <f t="shared" si="0"/>
        <v>16956</v>
      </c>
    </row>
    <row r="39" spans="1:14">
      <c r="A39" s="207" t="s">
        <v>837</v>
      </c>
      <c r="B39" s="207" t="s">
        <v>838</v>
      </c>
      <c r="C39" s="207" t="s">
        <v>784</v>
      </c>
      <c r="D39" s="207" t="s">
        <v>839</v>
      </c>
      <c r="E39" s="207">
        <v>570</v>
      </c>
      <c r="F39" s="207">
        <v>1200</v>
      </c>
      <c r="G39" s="207">
        <v>420</v>
      </c>
      <c r="H39" s="207">
        <v>120</v>
      </c>
      <c r="I39" s="207">
        <v>300</v>
      </c>
      <c r="J39" s="207">
        <v>100</v>
      </c>
      <c r="K39" s="207"/>
      <c r="M39" s="204"/>
      <c r="N39" s="116">
        <f t="shared" si="0"/>
        <v>47686</v>
      </c>
    </row>
    <row r="40" spans="1:14">
      <c r="A40" s="207" t="s">
        <v>840</v>
      </c>
      <c r="B40" s="207" t="s">
        <v>841</v>
      </c>
      <c r="C40" s="207" t="s">
        <v>784</v>
      </c>
      <c r="D40" s="207" t="s">
        <v>26</v>
      </c>
      <c r="E40" s="207">
        <v>120</v>
      </c>
      <c r="F40" s="207">
        <v>180</v>
      </c>
      <c r="G40" s="207">
        <v>120</v>
      </c>
      <c r="H40" s="207">
        <v>12</v>
      </c>
      <c r="I40" s="207">
        <v>360</v>
      </c>
      <c r="J40" s="207">
        <v>40</v>
      </c>
      <c r="K40" s="207"/>
      <c r="L40" s="207">
        <v>0</v>
      </c>
      <c r="M40" s="204"/>
      <c r="N40" s="116">
        <f t="shared" si="0"/>
        <v>12014.8</v>
      </c>
    </row>
    <row r="41" spans="1:14">
      <c r="A41" s="207" t="s">
        <v>842</v>
      </c>
      <c r="B41" s="207" t="s">
        <v>843</v>
      </c>
      <c r="C41" s="207" t="s">
        <v>818</v>
      </c>
      <c r="D41" s="207" t="s">
        <v>260</v>
      </c>
      <c r="E41" s="207">
        <v>150</v>
      </c>
      <c r="F41" s="207">
        <v>600</v>
      </c>
      <c r="G41" s="207">
        <v>60</v>
      </c>
      <c r="H41" s="207">
        <v>60</v>
      </c>
      <c r="I41" s="207">
        <v>660</v>
      </c>
      <c r="J41" s="207">
        <v>40</v>
      </c>
      <c r="K41" s="207"/>
      <c r="M41" s="204"/>
      <c r="N41" s="116">
        <f t="shared" si="0"/>
        <v>17212</v>
      </c>
    </row>
    <row r="42" spans="1:14">
      <c r="A42" s="207" t="s">
        <v>844</v>
      </c>
      <c r="B42" s="207" t="s">
        <v>845</v>
      </c>
      <c r="C42" s="207" t="s">
        <v>755</v>
      </c>
      <c r="D42" s="207" t="s">
        <v>255</v>
      </c>
      <c r="E42" s="207">
        <v>90</v>
      </c>
      <c r="F42" s="207">
        <v>300</v>
      </c>
      <c r="H42" s="207">
        <v>30</v>
      </c>
      <c r="I42" s="207">
        <v>180</v>
      </c>
      <c r="M42" s="204"/>
      <c r="N42" s="116">
        <f t="shared" si="0"/>
        <v>7128</v>
      </c>
    </row>
    <row r="43" spans="1:14">
      <c r="A43" s="207" t="s">
        <v>846</v>
      </c>
      <c r="B43" s="207" t="s">
        <v>847</v>
      </c>
      <c r="C43" s="207" t="s">
        <v>765</v>
      </c>
      <c r="D43" s="207" t="s">
        <v>259</v>
      </c>
      <c r="E43" s="207">
        <v>108</v>
      </c>
      <c r="F43" s="207">
        <v>540</v>
      </c>
      <c r="G43" s="207">
        <v>138</v>
      </c>
      <c r="H43" s="207">
        <v>24</v>
      </c>
      <c r="I43" s="207">
        <v>60</v>
      </c>
      <c r="J43" s="207">
        <v>40</v>
      </c>
      <c r="K43" s="207"/>
      <c r="M43" s="204"/>
      <c r="N43" s="116">
        <f t="shared" si="0"/>
        <v>12848.800000000001</v>
      </c>
    </row>
    <row r="44" spans="1:14">
      <c r="A44" s="207" t="s">
        <v>848</v>
      </c>
      <c r="B44" s="207" t="s">
        <v>849</v>
      </c>
      <c r="C44" s="207" t="s">
        <v>765</v>
      </c>
      <c r="D44" s="207" t="s">
        <v>308</v>
      </c>
      <c r="E44" s="207">
        <v>90</v>
      </c>
      <c r="F44" s="207">
        <v>120</v>
      </c>
      <c r="G44" s="207">
        <v>60</v>
      </c>
      <c r="I44" s="207">
        <v>60</v>
      </c>
      <c r="J44" s="207">
        <v>20</v>
      </c>
      <c r="K44" s="207"/>
      <c r="M44" s="204"/>
      <c r="N44" s="116">
        <f t="shared" si="0"/>
        <v>6410</v>
      </c>
    </row>
    <row r="45" spans="1:14">
      <c r="A45" s="207" t="s">
        <v>850</v>
      </c>
      <c r="B45" s="207" t="s">
        <v>851</v>
      </c>
      <c r="C45" s="207" t="s">
        <v>775</v>
      </c>
      <c r="D45" s="207" t="s">
        <v>254</v>
      </c>
      <c r="F45" s="207">
        <v>480</v>
      </c>
      <c r="G45" s="207">
        <v>60</v>
      </c>
      <c r="J45" s="207">
        <v>60</v>
      </c>
      <c r="K45" s="207"/>
      <c r="L45" s="207">
        <v>0</v>
      </c>
      <c r="M45" s="204"/>
      <c r="N45" s="116">
        <f t="shared" si="0"/>
        <v>5442</v>
      </c>
    </row>
    <row r="46" spans="1:14">
      <c r="A46" s="207" t="s">
        <v>852</v>
      </c>
      <c r="B46" s="207" t="s">
        <v>853</v>
      </c>
      <c r="C46" s="207" t="s">
        <v>755</v>
      </c>
      <c r="D46" s="207" t="s">
        <v>254</v>
      </c>
      <c r="E46" s="207">
        <v>120</v>
      </c>
      <c r="F46" s="207">
        <v>180</v>
      </c>
      <c r="G46" s="207">
        <v>30</v>
      </c>
      <c r="H46" s="207">
        <v>18</v>
      </c>
      <c r="I46" s="207">
        <v>120</v>
      </c>
      <c r="L46" s="207">
        <v>0</v>
      </c>
      <c r="M46" s="204"/>
      <c r="N46" s="116">
        <f t="shared" si="0"/>
        <v>7651.2</v>
      </c>
    </row>
    <row r="47" spans="1:14">
      <c r="A47" s="207" t="s">
        <v>854</v>
      </c>
      <c r="B47" s="207" t="s">
        <v>855</v>
      </c>
      <c r="C47" s="207" t="s">
        <v>784</v>
      </c>
      <c r="D47" s="207" t="s">
        <v>307</v>
      </c>
      <c r="E47" s="207">
        <v>210</v>
      </c>
      <c r="F47" s="207">
        <v>600</v>
      </c>
      <c r="G47" s="207">
        <v>180</v>
      </c>
      <c r="H47" s="207">
        <v>30</v>
      </c>
      <c r="J47" s="207">
        <v>40</v>
      </c>
      <c r="K47" s="207"/>
      <c r="M47" s="204"/>
      <c r="N47" s="116">
        <f t="shared" si="0"/>
        <v>18064</v>
      </c>
    </row>
    <row r="48" spans="1:14">
      <c r="A48" s="207" t="s">
        <v>856</v>
      </c>
      <c r="B48" s="207" t="s">
        <v>857</v>
      </c>
      <c r="C48" s="207" t="s">
        <v>761</v>
      </c>
      <c r="D48" s="207" t="s">
        <v>254</v>
      </c>
      <c r="E48" s="207">
        <v>264</v>
      </c>
      <c r="F48" s="207">
        <v>1200</v>
      </c>
      <c r="G48" s="207">
        <v>180</v>
      </c>
      <c r="H48" s="207">
        <v>60</v>
      </c>
      <c r="I48" s="207">
        <v>780</v>
      </c>
      <c r="J48" s="207">
        <v>120</v>
      </c>
      <c r="K48" s="207"/>
      <c r="L48" s="207">
        <v>60</v>
      </c>
      <c r="M48" s="204"/>
      <c r="N48" s="116">
        <f t="shared" si="0"/>
        <v>30951.599999999999</v>
      </c>
    </row>
    <row r="49" spans="1:14">
      <c r="A49" s="207" t="s">
        <v>858</v>
      </c>
      <c r="B49" s="207" t="s">
        <v>859</v>
      </c>
      <c r="C49" s="207" t="s">
        <v>784</v>
      </c>
      <c r="D49" s="207" t="s">
        <v>25</v>
      </c>
      <c r="E49" s="207">
        <v>300</v>
      </c>
      <c r="F49" s="207">
        <v>300</v>
      </c>
      <c r="G49" s="207">
        <v>120</v>
      </c>
      <c r="H49" s="207">
        <v>30</v>
      </c>
      <c r="J49" s="207">
        <v>80</v>
      </c>
      <c r="K49" s="207"/>
      <c r="M49" s="204"/>
      <c r="N49" s="116">
        <f t="shared" si="0"/>
        <v>18848</v>
      </c>
    </row>
    <row r="50" spans="1:14">
      <c r="A50" s="207" t="s">
        <v>860</v>
      </c>
      <c r="B50" s="207" t="s">
        <v>861</v>
      </c>
      <c r="C50" s="207" t="s">
        <v>818</v>
      </c>
      <c r="D50" s="207" t="s">
        <v>260</v>
      </c>
      <c r="E50" s="207">
        <v>54</v>
      </c>
      <c r="F50" s="207">
        <v>300</v>
      </c>
      <c r="G50" s="207">
        <v>12</v>
      </c>
      <c r="I50" s="207">
        <v>300</v>
      </c>
      <c r="M50" s="204"/>
      <c r="N50" s="116">
        <f t="shared" si="0"/>
        <v>5655.6</v>
      </c>
    </row>
    <row r="51" spans="1:14">
      <c r="A51" s="207" t="s">
        <v>862</v>
      </c>
      <c r="B51" s="207" t="s">
        <v>863</v>
      </c>
      <c r="C51" s="207" t="s">
        <v>784</v>
      </c>
      <c r="D51" s="207" t="s">
        <v>793</v>
      </c>
      <c r="E51" s="207">
        <v>78</v>
      </c>
      <c r="L51" s="207">
        <v>30</v>
      </c>
      <c r="M51" s="204"/>
      <c r="N51" s="116">
        <f t="shared" si="0"/>
        <v>3247.2</v>
      </c>
    </row>
    <row r="52" spans="1:14">
      <c r="A52" s="207" t="s">
        <v>864</v>
      </c>
      <c r="B52" s="207" t="s">
        <v>865</v>
      </c>
      <c r="C52" s="207" t="s">
        <v>784</v>
      </c>
      <c r="D52" s="207" t="s">
        <v>25</v>
      </c>
      <c r="E52" s="207">
        <v>30</v>
      </c>
      <c r="F52" s="207">
        <v>120</v>
      </c>
      <c r="G52" s="207">
        <v>60</v>
      </c>
      <c r="H52" s="207">
        <v>12</v>
      </c>
      <c r="I52" s="207">
        <v>60</v>
      </c>
      <c r="J52" s="207">
        <v>40</v>
      </c>
      <c r="K52" s="207"/>
      <c r="L52" s="207">
        <v>0</v>
      </c>
      <c r="M52" s="204"/>
      <c r="N52" s="116">
        <f t="shared" si="0"/>
        <v>4988.8</v>
      </c>
    </row>
    <row r="53" spans="1:14">
      <c r="A53" s="207" t="s">
        <v>866</v>
      </c>
      <c r="B53" s="207" t="s">
        <v>867</v>
      </c>
      <c r="C53" s="207" t="s">
        <v>818</v>
      </c>
      <c r="D53" s="207" t="s">
        <v>260</v>
      </c>
      <c r="E53" s="207">
        <v>90</v>
      </c>
      <c r="F53" s="207">
        <v>180</v>
      </c>
      <c r="G53" s="207">
        <v>30</v>
      </c>
      <c r="I53" s="207">
        <v>60</v>
      </c>
      <c r="L53" s="207">
        <v>0</v>
      </c>
      <c r="M53" s="204"/>
      <c r="N53" s="116">
        <f t="shared" si="0"/>
        <v>5526</v>
      </c>
    </row>
    <row r="54" spans="1:14">
      <c r="A54" s="207" t="s">
        <v>868</v>
      </c>
      <c r="B54" s="207" t="s">
        <v>869</v>
      </c>
      <c r="C54" s="207" t="s">
        <v>765</v>
      </c>
      <c r="D54" s="207" t="s">
        <v>308</v>
      </c>
      <c r="E54" s="207">
        <v>156</v>
      </c>
      <c r="F54" s="207">
        <v>960</v>
      </c>
      <c r="G54" s="207">
        <v>108</v>
      </c>
      <c r="H54" s="207">
        <v>12</v>
      </c>
      <c r="I54" s="207">
        <v>600</v>
      </c>
      <c r="J54" s="207">
        <v>100</v>
      </c>
      <c r="K54" s="207"/>
      <c r="M54" s="204"/>
      <c r="N54" s="116">
        <f t="shared" si="0"/>
        <v>19757.199999999997</v>
      </c>
    </row>
    <row r="55" spans="1:14">
      <c r="A55" s="207" t="s">
        <v>870</v>
      </c>
      <c r="B55" s="207" t="s">
        <v>871</v>
      </c>
      <c r="C55" s="207" t="s">
        <v>818</v>
      </c>
      <c r="D55" s="207" t="s">
        <v>260</v>
      </c>
      <c r="E55" s="207">
        <v>18</v>
      </c>
      <c r="F55" s="207">
        <v>480</v>
      </c>
      <c r="I55" s="207">
        <v>120</v>
      </c>
      <c r="J55" s="207">
        <v>20</v>
      </c>
      <c r="K55" s="207"/>
      <c r="L55" s="207">
        <v>0</v>
      </c>
      <c r="M55" s="204"/>
      <c r="N55" s="116">
        <f t="shared" si="0"/>
        <v>4347.2</v>
      </c>
    </row>
    <row r="56" spans="1:14">
      <c r="A56" s="207" t="s">
        <v>872</v>
      </c>
      <c r="B56" s="207" t="s">
        <v>873</v>
      </c>
      <c r="C56" s="207" t="s">
        <v>784</v>
      </c>
      <c r="D56" s="207" t="s">
        <v>26</v>
      </c>
      <c r="E56" s="207">
        <v>90</v>
      </c>
      <c r="F56" s="207">
        <v>600</v>
      </c>
      <c r="G56" s="207">
        <v>150</v>
      </c>
      <c r="H56" s="207">
        <v>30</v>
      </c>
      <c r="I56" s="207">
        <v>300</v>
      </c>
      <c r="M56" s="204"/>
      <c r="N56" s="116">
        <f t="shared" si="0"/>
        <v>13638</v>
      </c>
    </row>
    <row r="57" spans="1:14">
      <c r="A57" s="207" t="s">
        <v>874</v>
      </c>
      <c r="B57" s="207" t="s">
        <v>875</v>
      </c>
      <c r="C57" s="207" t="s">
        <v>765</v>
      </c>
      <c r="D57" s="207" t="s">
        <v>308</v>
      </c>
      <c r="E57" s="207">
        <v>300</v>
      </c>
      <c r="F57" s="207">
        <v>720</v>
      </c>
      <c r="G57" s="207">
        <v>120</v>
      </c>
      <c r="I57" s="207">
        <v>300</v>
      </c>
      <c r="J57" s="207">
        <v>100</v>
      </c>
      <c r="K57" s="207"/>
      <c r="M57" s="204"/>
      <c r="N57" s="116">
        <f t="shared" si="0"/>
        <v>22060</v>
      </c>
    </row>
    <row r="58" spans="1:14">
      <c r="A58" s="207" t="s">
        <v>876</v>
      </c>
      <c r="B58" s="207" t="s">
        <v>877</v>
      </c>
      <c r="C58" s="207" t="s">
        <v>761</v>
      </c>
      <c r="D58" s="207" t="s">
        <v>254</v>
      </c>
      <c r="E58" s="207">
        <v>162</v>
      </c>
      <c r="F58" s="207">
        <v>540</v>
      </c>
      <c r="G58" s="207">
        <v>60</v>
      </c>
      <c r="H58" s="207">
        <v>24</v>
      </c>
      <c r="I58" s="207">
        <v>420</v>
      </c>
      <c r="J58" s="207">
        <v>40</v>
      </c>
      <c r="K58" s="207"/>
      <c r="M58" s="204"/>
      <c r="N58" s="116">
        <f t="shared" si="0"/>
        <v>14664.4</v>
      </c>
    </row>
    <row r="59" spans="1:14">
      <c r="A59" s="207" t="s">
        <v>878</v>
      </c>
      <c r="B59" s="207" t="s">
        <v>879</v>
      </c>
      <c r="C59" s="207" t="s">
        <v>784</v>
      </c>
      <c r="D59" s="207" t="s">
        <v>26</v>
      </c>
      <c r="E59" s="207">
        <v>300</v>
      </c>
      <c r="F59" s="207">
        <v>540</v>
      </c>
      <c r="G59" s="207">
        <v>180</v>
      </c>
      <c r="H59" s="207">
        <v>12</v>
      </c>
      <c r="I59" s="207">
        <v>60</v>
      </c>
      <c r="J59" s="207">
        <v>140</v>
      </c>
      <c r="K59" s="207"/>
      <c r="L59" s="207">
        <v>0</v>
      </c>
      <c r="M59" s="204"/>
      <c r="N59" s="116">
        <f t="shared" si="0"/>
        <v>22626.799999999999</v>
      </c>
    </row>
    <row r="60" spans="1:14">
      <c r="A60" s="207" t="s">
        <v>880</v>
      </c>
      <c r="B60" s="207" t="s">
        <v>881</v>
      </c>
      <c r="C60" s="207" t="s">
        <v>765</v>
      </c>
      <c r="D60" s="207" t="s">
        <v>259</v>
      </c>
      <c r="E60" s="207">
        <v>96</v>
      </c>
      <c r="F60" s="207">
        <v>660</v>
      </c>
      <c r="G60" s="207">
        <v>132</v>
      </c>
      <c r="H60" s="207">
        <v>12</v>
      </c>
      <c r="I60" s="207">
        <v>300</v>
      </c>
      <c r="J60" s="207">
        <v>100</v>
      </c>
      <c r="K60" s="207"/>
      <c r="L60" s="207">
        <v>150</v>
      </c>
      <c r="M60" s="204"/>
      <c r="N60" s="116">
        <f t="shared" si="0"/>
        <v>16535.199999999997</v>
      </c>
    </row>
    <row r="61" spans="1:14">
      <c r="A61" s="207" t="s">
        <v>882</v>
      </c>
      <c r="B61" s="207" t="s">
        <v>883</v>
      </c>
      <c r="C61" s="207" t="s">
        <v>758</v>
      </c>
      <c r="D61" s="207" t="s">
        <v>259</v>
      </c>
      <c r="E61" s="207">
        <v>210</v>
      </c>
      <c r="F61" s="207">
        <v>14100</v>
      </c>
      <c r="G61" s="207">
        <v>240</v>
      </c>
      <c r="H61" s="207">
        <v>90</v>
      </c>
      <c r="I61" s="207">
        <v>660</v>
      </c>
      <c r="J61" s="207">
        <v>60</v>
      </c>
      <c r="K61" s="207"/>
      <c r="L61" s="207">
        <v>0</v>
      </c>
      <c r="M61" s="204"/>
      <c r="N61" s="116">
        <f t="shared" si="0"/>
        <v>100242</v>
      </c>
    </row>
    <row r="62" spans="1:14" s="210" customFormat="1">
      <c r="A62" s="208" t="s">
        <v>884</v>
      </c>
      <c r="B62" s="208" t="s">
        <v>885</v>
      </c>
      <c r="C62" s="207" t="s">
        <v>784</v>
      </c>
      <c r="D62" s="207" t="s">
        <v>839</v>
      </c>
      <c r="E62" s="208">
        <v>240</v>
      </c>
      <c r="F62" s="208">
        <v>1200</v>
      </c>
      <c r="G62" s="208">
        <v>180</v>
      </c>
      <c r="H62" s="208">
        <v>60</v>
      </c>
      <c r="I62" s="208">
        <v>300</v>
      </c>
      <c r="J62" s="208">
        <v>100</v>
      </c>
      <c r="K62" s="208"/>
      <c r="L62" s="208">
        <v>0</v>
      </c>
      <c r="M62" s="209"/>
      <c r="N62" s="116">
        <f t="shared" si="0"/>
        <v>26380</v>
      </c>
    </row>
    <row r="63" spans="1:14" s="210" customFormat="1">
      <c r="A63" s="208" t="s">
        <v>886</v>
      </c>
      <c r="B63" s="208" t="s">
        <v>887</v>
      </c>
      <c r="C63" s="207" t="s">
        <v>784</v>
      </c>
      <c r="D63" s="207" t="s">
        <v>793</v>
      </c>
      <c r="E63" s="208">
        <v>570</v>
      </c>
      <c r="F63" s="208">
        <v>1200</v>
      </c>
      <c r="G63" s="208">
        <v>330</v>
      </c>
      <c r="H63" s="208">
        <v>180</v>
      </c>
      <c r="I63" s="208">
        <v>600</v>
      </c>
      <c r="J63" s="208">
        <v>500</v>
      </c>
      <c r="K63" s="208"/>
      <c r="L63" s="208">
        <v>150</v>
      </c>
      <c r="M63" s="209"/>
      <c r="N63" s="116">
        <f t="shared" si="0"/>
        <v>58190</v>
      </c>
    </row>
    <row r="64" spans="1:14" s="210" customFormat="1">
      <c r="A64" s="208" t="s">
        <v>888</v>
      </c>
      <c r="B64" s="208" t="s">
        <v>889</v>
      </c>
      <c r="C64" s="207" t="s">
        <v>784</v>
      </c>
      <c r="D64" s="207" t="s">
        <v>25</v>
      </c>
      <c r="E64" s="208">
        <v>420</v>
      </c>
      <c r="F64" s="208">
        <v>960</v>
      </c>
      <c r="G64" s="208">
        <v>390</v>
      </c>
      <c r="H64" s="208">
        <v>54</v>
      </c>
      <c r="I64" s="208">
        <v>660</v>
      </c>
      <c r="J64" s="208">
        <v>240</v>
      </c>
      <c r="K64" s="208"/>
      <c r="M64" s="209"/>
      <c r="N64" s="116">
        <f t="shared" si="0"/>
        <v>42045.599999999999</v>
      </c>
    </row>
    <row r="65" spans="1:14" s="210" customFormat="1">
      <c r="A65" s="208" t="s">
        <v>890</v>
      </c>
      <c r="B65" s="208" t="s">
        <v>891</v>
      </c>
      <c r="C65" s="207" t="s">
        <v>784</v>
      </c>
      <c r="D65" s="207" t="s">
        <v>839</v>
      </c>
      <c r="E65" s="208">
        <v>210</v>
      </c>
      <c r="F65" s="208">
        <v>360</v>
      </c>
      <c r="G65" s="208">
        <v>180</v>
      </c>
      <c r="I65" s="208">
        <v>120</v>
      </c>
      <c r="L65" s="208">
        <v>0</v>
      </c>
      <c r="M65" s="209"/>
      <c r="N65" s="116">
        <f t="shared" si="0"/>
        <v>15534</v>
      </c>
    </row>
    <row r="66" spans="1:14">
      <c r="A66" s="207" t="s">
        <v>892</v>
      </c>
      <c r="B66" s="207" t="s">
        <v>893</v>
      </c>
      <c r="C66" s="207" t="s">
        <v>755</v>
      </c>
      <c r="D66" s="207" t="s">
        <v>255</v>
      </c>
      <c r="E66" s="207">
        <v>12</v>
      </c>
      <c r="M66" s="204"/>
      <c r="N66" s="116">
        <f t="shared" si="0"/>
        <v>448.79999999999995</v>
      </c>
    </row>
    <row r="67" spans="1:14">
      <c r="A67" s="207" t="s">
        <v>894</v>
      </c>
      <c r="B67" s="207" t="s">
        <v>895</v>
      </c>
      <c r="C67" s="207" t="s">
        <v>818</v>
      </c>
      <c r="D67" s="207" t="s">
        <v>260</v>
      </c>
      <c r="E67" s="207">
        <v>24</v>
      </c>
      <c r="F67" s="207">
        <v>60</v>
      </c>
      <c r="G67" s="207">
        <v>24</v>
      </c>
      <c r="L67" s="207">
        <v>0</v>
      </c>
      <c r="M67" s="204"/>
      <c r="N67" s="116">
        <f t="shared" ref="N67:N109" si="1">SUMPRODUCT(E67:L67,$E$116:$L$116)</f>
        <v>1899.6</v>
      </c>
    </row>
    <row r="68" spans="1:14">
      <c r="A68" s="207" t="s">
        <v>896</v>
      </c>
      <c r="B68" s="207" t="s">
        <v>897</v>
      </c>
      <c r="C68" s="207" t="s">
        <v>761</v>
      </c>
      <c r="D68" s="207" t="s">
        <v>762</v>
      </c>
      <c r="E68" s="207">
        <v>60</v>
      </c>
      <c r="F68" s="207">
        <v>360</v>
      </c>
      <c r="H68" s="207">
        <v>12</v>
      </c>
      <c r="I68" s="207">
        <v>240</v>
      </c>
      <c r="J68" s="207">
        <v>60</v>
      </c>
      <c r="K68" s="207"/>
      <c r="M68" s="204"/>
      <c r="N68" s="116">
        <f t="shared" si="1"/>
        <v>7114.8</v>
      </c>
    </row>
    <row r="69" spans="1:14">
      <c r="A69" s="207" t="s">
        <v>898</v>
      </c>
      <c r="B69" s="207" t="s">
        <v>899</v>
      </c>
      <c r="C69" s="207" t="s">
        <v>775</v>
      </c>
      <c r="D69" s="207" t="s">
        <v>254</v>
      </c>
      <c r="E69" s="207">
        <v>12</v>
      </c>
      <c r="F69" s="207">
        <v>540</v>
      </c>
      <c r="G69" s="207">
        <v>36</v>
      </c>
      <c r="I69" s="207">
        <v>360</v>
      </c>
      <c r="J69" s="207">
        <v>40</v>
      </c>
      <c r="K69" s="207"/>
      <c r="L69" s="207">
        <v>0</v>
      </c>
      <c r="M69" s="204"/>
      <c r="N69" s="116">
        <f t="shared" si="1"/>
        <v>7154.8</v>
      </c>
    </row>
    <row r="70" spans="1:14">
      <c r="A70" s="207" t="s">
        <v>900</v>
      </c>
      <c r="B70" s="207" t="s">
        <v>901</v>
      </c>
      <c r="C70" s="207" t="s">
        <v>784</v>
      </c>
      <c r="D70" s="207" t="s">
        <v>25</v>
      </c>
      <c r="E70" s="207">
        <v>450</v>
      </c>
      <c r="F70" s="207">
        <v>1200</v>
      </c>
      <c r="G70" s="207">
        <v>300</v>
      </c>
      <c r="H70" s="207">
        <v>60</v>
      </c>
      <c r="I70" s="207">
        <v>240</v>
      </c>
      <c r="J70" s="207">
        <v>140</v>
      </c>
      <c r="K70" s="207"/>
      <c r="L70" s="207">
        <v>0</v>
      </c>
      <c r="M70" s="204"/>
      <c r="N70" s="116">
        <f t="shared" si="1"/>
        <v>38012</v>
      </c>
    </row>
    <row r="71" spans="1:14">
      <c r="A71" s="207" t="s">
        <v>902</v>
      </c>
      <c r="B71" s="207" t="s">
        <v>903</v>
      </c>
      <c r="C71" s="207" t="s">
        <v>784</v>
      </c>
      <c r="D71" s="207" t="s">
        <v>839</v>
      </c>
      <c r="E71" s="207">
        <v>228</v>
      </c>
      <c r="F71" s="207">
        <v>1020</v>
      </c>
      <c r="G71" s="207">
        <v>120</v>
      </c>
      <c r="H71" s="207">
        <v>36</v>
      </c>
      <c r="I71" s="207">
        <v>180</v>
      </c>
      <c r="J71" s="207">
        <v>80</v>
      </c>
      <c r="K71" s="207"/>
      <c r="L71" s="207">
        <v>0</v>
      </c>
      <c r="M71" s="204"/>
      <c r="N71" s="116">
        <f t="shared" si="1"/>
        <v>21329.599999999999</v>
      </c>
    </row>
    <row r="72" spans="1:14">
      <c r="A72" s="207" t="s">
        <v>904</v>
      </c>
      <c r="B72" s="207" t="s">
        <v>905</v>
      </c>
      <c r="C72" s="207" t="s">
        <v>761</v>
      </c>
      <c r="D72" s="207" t="s">
        <v>762</v>
      </c>
      <c r="E72" s="207">
        <v>90</v>
      </c>
      <c r="G72" s="207">
        <v>72</v>
      </c>
      <c r="H72" s="207">
        <v>30</v>
      </c>
      <c r="I72" s="207">
        <v>120</v>
      </c>
      <c r="M72" s="204"/>
      <c r="N72" s="116">
        <f t="shared" si="1"/>
        <v>7164</v>
      </c>
    </row>
    <row r="73" spans="1:14">
      <c r="A73" s="207" t="s">
        <v>906</v>
      </c>
      <c r="B73" s="207" t="s">
        <v>907</v>
      </c>
      <c r="C73" s="207" t="s">
        <v>784</v>
      </c>
      <c r="D73" s="207" t="s">
        <v>793</v>
      </c>
      <c r="E73" s="207">
        <v>90</v>
      </c>
      <c r="F73" s="207">
        <v>360</v>
      </c>
      <c r="G73" s="207">
        <v>30</v>
      </c>
      <c r="I73" s="207">
        <v>120</v>
      </c>
      <c r="J73" s="207">
        <v>100</v>
      </c>
      <c r="K73" s="207"/>
      <c r="M73" s="204"/>
      <c r="N73" s="116">
        <f t="shared" si="1"/>
        <v>8716</v>
      </c>
    </row>
    <row r="74" spans="1:14">
      <c r="A74" s="207" t="s">
        <v>908</v>
      </c>
      <c r="B74" s="207" t="s">
        <v>909</v>
      </c>
      <c r="C74" s="207" t="s">
        <v>784</v>
      </c>
      <c r="D74" s="207" t="s">
        <v>25</v>
      </c>
      <c r="E74" s="207">
        <v>30</v>
      </c>
      <c r="F74" s="207">
        <v>60</v>
      </c>
      <c r="G74" s="207">
        <v>36</v>
      </c>
      <c r="H74" s="207">
        <v>12</v>
      </c>
      <c r="J74" s="207">
        <v>20</v>
      </c>
      <c r="K74" s="207"/>
      <c r="M74" s="204"/>
      <c r="N74" s="116">
        <f t="shared" si="1"/>
        <v>3282.8</v>
      </c>
    </row>
    <row r="75" spans="1:14">
      <c r="A75" s="207" t="s">
        <v>910</v>
      </c>
      <c r="B75" s="207" t="s">
        <v>911</v>
      </c>
      <c r="C75" s="207" t="s">
        <v>784</v>
      </c>
      <c r="D75" s="207" t="s">
        <v>307</v>
      </c>
      <c r="E75" s="207">
        <v>60</v>
      </c>
      <c r="F75" s="207">
        <v>120</v>
      </c>
      <c r="G75" s="207">
        <v>42</v>
      </c>
      <c r="I75" s="207">
        <v>120</v>
      </c>
      <c r="J75" s="207">
        <v>40</v>
      </c>
      <c r="K75" s="207"/>
      <c r="M75" s="204"/>
      <c r="N75" s="116">
        <f t="shared" si="1"/>
        <v>5488</v>
      </c>
    </row>
    <row r="76" spans="1:14">
      <c r="A76" s="207" t="s">
        <v>912</v>
      </c>
      <c r="B76" s="207" t="s">
        <v>913</v>
      </c>
      <c r="C76" s="207" t="s">
        <v>784</v>
      </c>
      <c r="D76" s="207" t="s">
        <v>307</v>
      </c>
      <c r="E76" s="207">
        <v>108</v>
      </c>
      <c r="F76" s="207">
        <v>240</v>
      </c>
      <c r="G76" s="207">
        <v>30</v>
      </c>
      <c r="L76" s="207">
        <v>30</v>
      </c>
      <c r="M76" s="204"/>
      <c r="N76" s="116">
        <f t="shared" si="1"/>
        <v>6529.2</v>
      </c>
    </row>
    <row r="77" spans="1:14">
      <c r="A77" s="207" t="s">
        <v>914</v>
      </c>
      <c r="B77" s="207" t="s">
        <v>915</v>
      </c>
      <c r="C77" s="207" t="s">
        <v>755</v>
      </c>
      <c r="D77" s="207" t="s">
        <v>255</v>
      </c>
      <c r="E77" s="207">
        <v>36</v>
      </c>
      <c r="F77" s="207">
        <v>600</v>
      </c>
      <c r="H77" s="207">
        <v>30</v>
      </c>
      <c r="I77" s="207">
        <v>660</v>
      </c>
      <c r="J77" s="207">
        <v>60</v>
      </c>
      <c r="K77" s="207"/>
      <c r="M77" s="204"/>
      <c r="N77" s="116">
        <f t="shared" si="1"/>
        <v>10520.4</v>
      </c>
    </row>
    <row r="78" spans="1:14">
      <c r="A78" s="207" t="s">
        <v>916</v>
      </c>
      <c r="B78" s="207" t="s">
        <v>917</v>
      </c>
      <c r="C78" s="207" t="s">
        <v>758</v>
      </c>
      <c r="D78" s="207" t="s">
        <v>259</v>
      </c>
      <c r="E78" s="207">
        <v>90</v>
      </c>
      <c r="F78" s="207">
        <v>480</v>
      </c>
      <c r="G78" s="207">
        <v>90</v>
      </c>
      <c r="H78" s="207">
        <v>30</v>
      </c>
      <c r="I78" s="207">
        <v>180</v>
      </c>
      <c r="M78" s="204"/>
      <c r="N78" s="116">
        <f t="shared" si="1"/>
        <v>10638</v>
      </c>
    </row>
    <row r="79" spans="1:14">
      <c r="A79" s="207" t="s">
        <v>918</v>
      </c>
      <c r="B79" s="207" t="s">
        <v>919</v>
      </c>
      <c r="C79" s="207" t="s">
        <v>758</v>
      </c>
      <c r="D79" s="207" t="s">
        <v>259</v>
      </c>
      <c r="E79" s="207">
        <v>180</v>
      </c>
      <c r="F79" s="207">
        <v>300</v>
      </c>
      <c r="G79" s="207">
        <v>240</v>
      </c>
      <c r="J79" s="207">
        <v>60</v>
      </c>
      <c r="K79" s="207"/>
      <c r="M79" s="204"/>
      <c r="N79" s="116">
        <f t="shared" si="1"/>
        <v>16224</v>
      </c>
    </row>
    <row r="80" spans="1:14">
      <c r="A80" s="207" t="s">
        <v>920</v>
      </c>
      <c r="B80" s="207" t="s">
        <v>921</v>
      </c>
      <c r="C80" s="207" t="s">
        <v>761</v>
      </c>
      <c r="D80" s="207" t="s">
        <v>762</v>
      </c>
      <c r="E80" s="207">
        <v>180</v>
      </c>
      <c r="F80" s="207">
        <v>300</v>
      </c>
      <c r="G80" s="207">
        <v>60</v>
      </c>
      <c r="H80" s="207">
        <v>42</v>
      </c>
      <c r="I80" s="207">
        <v>240</v>
      </c>
      <c r="J80" s="207">
        <v>40</v>
      </c>
      <c r="K80" s="207"/>
      <c r="M80" s="204"/>
      <c r="N80" s="116">
        <f t="shared" si="1"/>
        <v>13700.8</v>
      </c>
    </row>
    <row r="81" spans="1:14">
      <c r="A81" s="207" t="s">
        <v>922</v>
      </c>
      <c r="B81" s="207" t="s">
        <v>923</v>
      </c>
      <c r="C81" s="207" t="s">
        <v>761</v>
      </c>
      <c r="D81" s="207" t="s">
        <v>762</v>
      </c>
      <c r="E81" s="207">
        <v>240</v>
      </c>
      <c r="F81" s="207">
        <v>600</v>
      </c>
      <c r="G81" s="207">
        <v>120</v>
      </c>
      <c r="H81" s="207">
        <v>30</v>
      </c>
      <c r="I81" s="207">
        <v>180</v>
      </c>
      <c r="J81" s="207">
        <v>120</v>
      </c>
      <c r="K81" s="207"/>
      <c r="M81" s="204"/>
      <c r="N81" s="116">
        <f t="shared" si="1"/>
        <v>19992</v>
      </c>
    </row>
    <row r="82" spans="1:14">
      <c r="A82" s="207" t="s">
        <v>924</v>
      </c>
      <c r="B82" s="207" t="s">
        <v>925</v>
      </c>
      <c r="C82" s="207" t="s">
        <v>765</v>
      </c>
      <c r="D82" s="207" t="s">
        <v>259</v>
      </c>
      <c r="E82" s="207">
        <v>72</v>
      </c>
      <c r="F82" s="207">
        <v>120</v>
      </c>
      <c r="G82" s="207">
        <v>42</v>
      </c>
      <c r="H82" s="207">
        <v>12</v>
      </c>
      <c r="I82" s="207">
        <v>60</v>
      </c>
      <c r="J82" s="207">
        <v>20</v>
      </c>
      <c r="K82" s="207"/>
      <c r="M82" s="204"/>
      <c r="N82" s="116">
        <f t="shared" si="1"/>
        <v>5681.5999999999995</v>
      </c>
    </row>
    <row r="83" spans="1:14">
      <c r="A83" s="207" t="s">
        <v>926</v>
      </c>
      <c r="B83" s="207" t="s">
        <v>927</v>
      </c>
      <c r="C83" s="207" t="s">
        <v>758</v>
      </c>
      <c r="D83" s="207" t="s">
        <v>259</v>
      </c>
      <c r="E83" s="207">
        <v>54</v>
      </c>
      <c r="F83" s="207">
        <v>720</v>
      </c>
      <c r="G83" s="207">
        <v>66</v>
      </c>
      <c r="H83" s="207">
        <v>6</v>
      </c>
      <c r="I83" s="207">
        <v>300</v>
      </c>
      <c r="J83" s="207">
        <v>40</v>
      </c>
      <c r="K83" s="207"/>
      <c r="M83" s="204"/>
      <c r="N83" s="116">
        <f t="shared" si="1"/>
        <v>10450</v>
      </c>
    </row>
    <row r="84" spans="1:14">
      <c r="A84" s="207" t="s">
        <v>928</v>
      </c>
      <c r="B84" s="207" t="s">
        <v>929</v>
      </c>
      <c r="C84" s="207" t="s">
        <v>765</v>
      </c>
      <c r="D84" s="207" t="s">
        <v>766</v>
      </c>
      <c r="E84" s="207">
        <v>48</v>
      </c>
      <c r="F84" s="207">
        <v>540</v>
      </c>
      <c r="I84" s="207">
        <v>60</v>
      </c>
      <c r="J84" s="207">
        <v>20</v>
      </c>
      <c r="K84" s="207"/>
      <c r="M84" s="204"/>
      <c r="N84" s="116">
        <f t="shared" si="1"/>
        <v>5469.2</v>
      </c>
    </row>
    <row r="85" spans="1:14" s="212" customFormat="1">
      <c r="A85" s="211" t="s">
        <v>930</v>
      </c>
      <c r="B85" s="211" t="s">
        <v>931</v>
      </c>
      <c r="C85" s="211" t="s">
        <v>765</v>
      </c>
      <c r="D85" s="211" t="s">
        <v>766</v>
      </c>
      <c r="E85" s="211">
        <v>12</v>
      </c>
      <c r="H85" s="211">
        <v>6</v>
      </c>
      <c r="J85" s="211">
        <v>20</v>
      </c>
      <c r="K85" s="211"/>
      <c r="M85" s="213"/>
      <c r="N85" s="116">
        <f t="shared" si="1"/>
        <v>1047.1999999999998</v>
      </c>
    </row>
    <row r="86" spans="1:14">
      <c r="A86" s="207" t="s">
        <v>932</v>
      </c>
      <c r="B86" s="207" t="s">
        <v>933</v>
      </c>
      <c r="C86" s="207" t="s">
        <v>755</v>
      </c>
      <c r="D86" s="207" t="s">
        <v>255</v>
      </c>
      <c r="E86" s="207">
        <v>18</v>
      </c>
      <c r="F86" s="207">
        <v>180</v>
      </c>
      <c r="G86" s="207">
        <v>36</v>
      </c>
      <c r="J86" s="207">
        <v>20</v>
      </c>
      <c r="K86" s="207"/>
      <c r="L86" s="207">
        <v>30</v>
      </c>
      <c r="M86" s="204"/>
      <c r="N86" s="116">
        <f t="shared" si="1"/>
        <v>3375.2</v>
      </c>
    </row>
    <row r="87" spans="1:14">
      <c r="A87" s="207" t="s">
        <v>934</v>
      </c>
      <c r="B87" s="207" t="s">
        <v>935</v>
      </c>
      <c r="C87" s="207" t="s">
        <v>765</v>
      </c>
      <c r="D87" s="207" t="s">
        <v>308</v>
      </c>
      <c r="E87" s="207">
        <v>378</v>
      </c>
      <c r="F87" s="207">
        <v>1320</v>
      </c>
      <c r="G87" s="207">
        <v>102</v>
      </c>
      <c r="H87" s="207">
        <v>42</v>
      </c>
      <c r="I87" s="207">
        <v>180</v>
      </c>
      <c r="J87" s="207">
        <v>40</v>
      </c>
      <c r="K87" s="207"/>
      <c r="M87" s="204"/>
      <c r="N87" s="116">
        <f t="shared" si="1"/>
        <v>27561.999999999996</v>
      </c>
    </row>
    <row r="88" spans="1:14">
      <c r="A88" s="207" t="s">
        <v>936</v>
      </c>
      <c r="B88" s="207" t="s">
        <v>937</v>
      </c>
      <c r="C88" s="207" t="s">
        <v>775</v>
      </c>
      <c r="D88" s="207" t="s">
        <v>254</v>
      </c>
      <c r="E88" s="207">
        <v>12</v>
      </c>
      <c r="F88" s="207">
        <v>180</v>
      </c>
      <c r="H88" s="207">
        <v>12</v>
      </c>
      <c r="I88" s="207">
        <v>60</v>
      </c>
      <c r="J88" s="207">
        <v>20</v>
      </c>
      <c r="K88" s="207"/>
      <c r="L88" s="207">
        <v>30</v>
      </c>
      <c r="M88" s="204"/>
      <c r="N88" s="116">
        <f t="shared" si="1"/>
        <v>2921.6</v>
      </c>
    </row>
    <row r="89" spans="1:14">
      <c r="A89" s="207" t="s">
        <v>938</v>
      </c>
      <c r="B89" s="207" t="s">
        <v>939</v>
      </c>
      <c r="C89" s="207" t="s">
        <v>784</v>
      </c>
      <c r="D89" s="207" t="s">
        <v>839</v>
      </c>
      <c r="E89" s="207">
        <v>114</v>
      </c>
      <c r="F89" s="207">
        <v>120</v>
      </c>
      <c r="G89" s="207">
        <v>42</v>
      </c>
      <c r="I89" s="207">
        <v>120</v>
      </c>
      <c r="J89" s="207">
        <v>20</v>
      </c>
      <c r="K89" s="207"/>
      <c r="M89" s="204"/>
      <c r="N89" s="116">
        <f t="shared" si="1"/>
        <v>7133.5999999999995</v>
      </c>
    </row>
    <row r="90" spans="1:14">
      <c r="A90" s="207" t="s">
        <v>940</v>
      </c>
      <c r="B90" s="207" t="s">
        <v>941</v>
      </c>
      <c r="C90" s="207" t="s">
        <v>818</v>
      </c>
      <c r="D90" s="207" t="s">
        <v>260</v>
      </c>
      <c r="F90" s="207">
        <v>180</v>
      </c>
      <c r="G90" s="207">
        <v>18</v>
      </c>
      <c r="H90" s="207">
        <v>12</v>
      </c>
      <c r="I90" s="207">
        <v>120</v>
      </c>
      <c r="J90" s="207">
        <v>20</v>
      </c>
      <c r="K90" s="207"/>
      <c r="L90" s="207">
        <v>30</v>
      </c>
      <c r="M90" s="204"/>
      <c r="N90" s="116">
        <f t="shared" si="1"/>
        <v>3306.8</v>
      </c>
    </row>
    <row r="91" spans="1:14">
      <c r="A91" s="207" t="s">
        <v>942</v>
      </c>
      <c r="B91" s="207" t="s">
        <v>943</v>
      </c>
      <c r="C91" s="207" t="s">
        <v>761</v>
      </c>
      <c r="D91" s="207" t="s">
        <v>254</v>
      </c>
      <c r="E91" s="207">
        <v>18</v>
      </c>
      <c r="F91" s="207">
        <v>60</v>
      </c>
      <c r="G91" s="207">
        <v>12</v>
      </c>
      <c r="I91" s="207">
        <v>120</v>
      </c>
      <c r="M91" s="204"/>
      <c r="N91" s="116">
        <f t="shared" si="1"/>
        <v>1999.1999999999998</v>
      </c>
    </row>
    <row r="92" spans="1:14">
      <c r="A92" s="207" t="s">
        <v>944</v>
      </c>
      <c r="B92" s="207" t="s">
        <v>945</v>
      </c>
      <c r="C92" s="207" t="s">
        <v>775</v>
      </c>
      <c r="D92" s="207" t="s">
        <v>254</v>
      </c>
      <c r="E92" s="207">
        <v>12</v>
      </c>
      <c r="G92" s="207">
        <v>18</v>
      </c>
      <c r="H92" s="207">
        <v>6</v>
      </c>
      <c r="I92" s="207">
        <v>120</v>
      </c>
      <c r="J92" s="207">
        <v>20</v>
      </c>
      <c r="K92" s="207"/>
      <c r="M92" s="204"/>
      <c r="N92" s="116">
        <f t="shared" si="1"/>
        <v>2211.1999999999998</v>
      </c>
    </row>
    <row r="93" spans="1:14">
      <c r="A93" s="207" t="s">
        <v>946</v>
      </c>
      <c r="B93" s="207" t="s">
        <v>947</v>
      </c>
      <c r="C93" s="207" t="s">
        <v>775</v>
      </c>
      <c r="D93" s="207" t="s">
        <v>254</v>
      </c>
      <c r="E93" s="207">
        <v>48</v>
      </c>
      <c r="G93" s="207">
        <v>30</v>
      </c>
      <c r="I93" s="207">
        <v>60</v>
      </c>
      <c r="L93" s="207">
        <v>0</v>
      </c>
      <c r="M93" s="204"/>
      <c r="N93" s="116">
        <f t="shared" si="1"/>
        <v>2965.2</v>
      </c>
    </row>
    <row r="94" spans="1:14">
      <c r="A94" s="207" t="s">
        <v>948</v>
      </c>
      <c r="B94" s="207" t="s">
        <v>949</v>
      </c>
      <c r="C94" s="207" t="s">
        <v>761</v>
      </c>
      <c r="D94" s="207" t="s">
        <v>762</v>
      </c>
      <c r="E94" s="207">
        <v>102</v>
      </c>
      <c r="F94" s="207">
        <v>420</v>
      </c>
      <c r="G94" s="207">
        <v>30</v>
      </c>
      <c r="H94" s="207">
        <v>30</v>
      </c>
      <c r="I94" s="207">
        <v>300</v>
      </c>
      <c r="J94" s="207">
        <v>20</v>
      </c>
      <c r="K94" s="207"/>
      <c r="L94" s="207">
        <v>0</v>
      </c>
      <c r="M94" s="204"/>
      <c r="N94" s="116">
        <f t="shared" si="1"/>
        <v>10110.799999999999</v>
      </c>
    </row>
    <row r="95" spans="1:14">
      <c r="A95" s="207" t="s">
        <v>950</v>
      </c>
      <c r="B95" s="207" t="s">
        <v>951</v>
      </c>
      <c r="C95" s="207" t="s">
        <v>784</v>
      </c>
      <c r="D95" s="207" t="s">
        <v>26</v>
      </c>
      <c r="E95" s="207">
        <v>90</v>
      </c>
      <c r="F95" s="207">
        <v>300</v>
      </c>
      <c r="G95" s="207">
        <v>54</v>
      </c>
      <c r="I95" s="207">
        <v>240</v>
      </c>
      <c r="L95" s="207">
        <v>60</v>
      </c>
      <c r="M95" s="204"/>
      <c r="N95" s="116">
        <f t="shared" si="1"/>
        <v>8508</v>
      </c>
    </row>
    <row r="96" spans="1:14">
      <c r="A96" s="207" t="s">
        <v>952</v>
      </c>
      <c r="B96" s="207" t="s">
        <v>953</v>
      </c>
      <c r="C96" s="207" t="s">
        <v>765</v>
      </c>
      <c r="D96" s="207" t="s">
        <v>308</v>
      </c>
      <c r="E96" s="207">
        <v>54</v>
      </c>
      <c r="F96" s="207">
        <v>180</v>
      </c>
      <c r="H96" s="207">
        <v>42</v>
      </c>
      <c r="M96" s="204"/>
      <c r="N96" s="116">
        <f t="shared" si="1"/>
        <v>4580.3999999999996</v>
      </c>
    </row>
    <row r="97" spans="1:14">
      <c r="A97" s="207" t="s">
        <v>954</v>
      </c>
      <c r="B97" s="207" t="s">
        <v>955</v>
      </c>
      <c r="C97" s="207" t="s">
        <v>758</v>
      </c>
      <c r="D97" s="207" t="s">
        <v>259</v>
      </c>
      <c r="E97" s="207">
        <v>60</v>
      </c>
      <c r="F97" s="207">
        <v>300</v>
      </c>
      <c r="G97" s="207">
        <v>60</v>
      </c>
      <c r="I97" s="207">
        <v>360</v>
      </c>
      <c r="J97" s="207">
        <v>40</v>
      </c>
      <c r="K97" s="207"/>
      <c r="L97" s="207">
        <v>60</v>
      </c>
      <c r="M97" s="204"/>
      <c r="N97" s="116">
        <f t="shared" si="1"/>
        <v>8962</v>
      </c>
    </row>
    <row r="98" spans="1:14">
      <c r="A98" s="207" t="s">
        <v>956</v>
      </c>
      <c r="B98" s="207" t="s">
        <v>957</v>
      </c>
      <c r="C98" s="207" t="s">
        <v>765</v>
      </c>
      <c r="D98" s="207" t="s">
        <v>766</v>
      </c>
      <c r="E98" s="207">
        <v>60</v>
      </c>
      <c r="F98" s="207">
        <v>180</v>
      </c>
      <c r="G98" s="207">
        <v>18</v>
      </c>
      <c r="H98" s="207">
        <v>12</v>
      </c>
      <c r="I98" s="207">
        <v>300</v>
      </c>
      <c r="J98" s="207">
        <v>60</v>
      </c>
      <c r="K98" s="207"/>
      <c r="M98" s="204"/>
      <c r="N98" s="116">
        <f t="shared" si="1"/>
        <v>6958.8</v>
      </c>
    </row>
    <row r="99" spans="1:14">
      <c r="A99" s="207" t="s">
        <v>958</v>
      </c>
      <c r="B99" s="207" t="s">
        <v>959</v>
      </c>
      <c r="C99" s="207" t="s">
        <v>761</v>
      </c>
      <c r="D99" s="207" t="s">
        <v>254</v>
      </c>
      <c r="E99" s="207">
        <v>54</v>
      </c>
      <c r="F99" s="207">
        <v>180</v>
      </c>
      <c r="G99" s="207">
        <v>30</v>
      </c>
      <c r="L99" s="207">
        <v>0</v>
      </c>
      <c r="M99" s="204"/>
      <c r="N99" s="116">
        <f t="shared" si="1"/>
        <v>3849.6</v>
      </c>
    </row>
    <row r="100" spans="1:14">
      <c r="A100" s="207" t="s">
        <v>960</v>
      </c>
      <c r="B100" s="207" t="s">
        <v>961</v>
      </c>
      <c r="C100" s="207" t="s">
        <v>765</v>
      </c>
      <c r="D100" s="207" t="s">
        <v>766</v>
      </c>
      <c r="E100" s="207">
        <v>42</v>
      </c>
      <c r="F100" s="207">
        <v>120</v>
      </c>
      <c r="H100" s="207">
        <v>24</v>
      </c>
      <c r="I100" s="207">
        <v>60</v>
      </c>
      <c r="J100" s="207">
        <v>40</v>
      </c>
      <c r="K100" s="207"/>
      <c r="M100" s="204"/>
      <c r="N100" s="116">
        <f t="shared" si="1"/>
        <v>4206.3999999999996</v>
      </c>
    </row>
    <row r="101" spans="1:14">
      <c r="A101" s="207" t="s">
        <v>962</v>
      </c>
      <c r="B101" s="207" t="s">
        <v>963</v>
      </c>
      <c r="C101" s="207" t="s">
        <v>765</v>
      </c>
      <c r="D101" s="207" t="s">
        <v>259</v>
      </c>
      <c r="E101" s="207">
        <v>30</v>
      </c>
      <c r="F101" s="207">
        <v>120</v>
      </c>
      <c r="G101" s="207">
        <v>30</v>
      </c>
      <c r="H101" s="207">
        <v>12</v>
      </c>
      <c r="I101" s="207">
        <v>60</v>
      </c>
      <c r="M101" s="204"/>
      <c r="N101" s="116">
        <f t="shared" si="1"/>
        <v>3400.8</v>
      </c>
    </row>
    <row r="102" spans="1:14">
      <c r="A102" s="207" t="s">
        <v>964</v>
      </c>
      <c r="B102" s="207" t="s">
        <v>965</v>
      </c>
      <c r="C102" s="207" t="s">
        <v>818</v>
      </c>
      <c r="D102" s="207" t="s">
        <v>260</v>
      </c>
      <c r="G102" s="207">
        <v>12</v>
      </c>
      <c r="M102" s="204"/>
      <c r="N102" s="116">
        <f t="shared" si="1"/>
        <v>336</v>
      </c>
    </row>
    <row r="103" spans="1:14">
      <c r="A103" s="207" t="s">
        <v>966</v>
      </c>
      <c r="B103" s="207" t="s">
        <v>967</v>
      </c>
      <c r="C103" s="207" t="s">
        <v>761</v>
      </c>
      <c r="D103" s="207" t="s">
        <v>254</v>
      </c>
      <c r="E103" s="207">
        <v>66</v>
      </c>
      <c r="F103" s="207">
        <v>120</v>
      </c>
      <c r="G103" s="207">
        <v>18</v>
      </c>
      <c r="H103" s="207">
        <v>18</v>
      </c>
      <c r="J103" s="207">
        <v>40</v>
      </c>
      <c r="K103" s="207"/>
      <c r="M103" s="204"/>
      <c r="N103" s="116">
        <f t="shared" si="1"/>
        <v>5053.6000000000004</v>
      </c>
    </row>
    <row r="104" spans="1:14">
      <c r="A104" s="207" t="s">
        <v>968</v>
      </c>
      <c r="B104" s="207" t="s">
        <v>969</v>
      </c>
      <c r="C104" s="207" t="s">
        <v>761</v>
      </c>
      <c r="D104" s="207" t="s">
        <v>762</v>
      </c>
      <c r="E104" s="207">
        <v>66</v>
      </c>
      <c r="G104" s="207">
        <v>36</v>
      </c>
      <c r="J104" s="207">
        <v>60</v>
      </c>
      <c r="K104" s="207"/>
      <c r="L104" s="207">
        <v>0</v>
      </c>
      <c r="M104" s="204"/>
      <c r="N104" s="116">
        <f t="shared" si="1"/>
        <v>4598.3999999999996</v>
      </c>
    </row>
    <row r="105" spans="1:14">
      <c r="A105" s="207" t="s">
        <v>970</v>
      </c>
      <c r="B105" s="207" t="s">
        <v>971</v>
      </c>
      <c r="C105" s="207" t="s">
        <v>758</v>
      </c>
      <c r="D105" s="207" t="s">
        <v>259</v>
      </c>
      <c r="E105" s="207">
        <v>42</v>
      </c>
      <c r="G105" s="207">
        <v>30</v>
      </c>
      <c r="H105" s="207">
        <v>12</v>
      </c>
      <c r="I105" s="207">
        <v>120</v>
      </c>
      <c r="J105" s="207">
        <v>40</v>
      </c>
      <c r="K105" s="207"/>
      <c r="L105" s="207">
        <v>0</v>
      </c>
      <c r="M105" s="204"/>
      <c r="N105" s="116">
        <f t="shared" si="1"/>
        <v>4267.6000000000004</v>
      </c>
    </row>
    <row r="106" spans="1:14">
      <c r="A106" s="207" t="s">
        <v>972</v>
      </c>
      <c r="B106" s="207" t="s">
        <v>973</v>
      </c>
      <c r="C106" s="207" t="s">
        <v>784</v>
      </c>
      <c r="D106" s="207" t="s">
        <v>25</v>
      </c>
      <c r="J106" s="207">
        <v>20</v>
      </c>
      <c r="K106" s="207"/>
      <c r="L106" s="207">
        <v>0</v>
      </c>
      <c r="M106" s="204"/>
      <c r="N106" s="116">
        <f t="shared" si="1"/>
        <v>374</v>
      </c>
    </row>
    <row r="107" spans="1:14">
      <c r="A107" s="207" t="s">
        <v>974</v>
      </c>
      <c r="B107" s="207" t="s">
        <v>975</v>
      </c>
      <c r="C107" s="207" t="s">
        <v>765</v>
      </c>
      <c r="D107" s="207" t="s">
        <v>766</v>
      </c>
      <c r="E107" s="207">
        <v>90</v>
      </c>
      <c r="F107" s="207">
        <v>120</v>
      </c>
      <c r="G107" s="207">
        <v>30</v>
      </c>
      <c r="H107" s="207">
        <v>30</v>
      </c>
      <c r="I107" s="207">
        <v>60</v>
      </c>
      <c r="J107" s="207">
        <v>20</v>
      </c>
      <c r="K107" s="207"/>
      <c r="M107" s="204"/>
      <c r="N107" s="116">
        <f t="shared" si="1"/>
        <v>6692</v>
      </c>
    </row>
    <row r="108" spans="1:14">
      <c r="A108" s="207" t="s">
        <v>976</v>
      </c>
      <c r="B108" s="207" t="s">
        <v>977</v>
      </c>
      <c r="C108" s="207" t="s">
        <v>765</v>
      </c>
      <c r="D108" s="207" t="s">
        <v>259</v>
      </c>
      <c r="F108" s="207">
        <v>240</v>
      </c>
      <c r="G108" s="207">
        <v>54</v>
      </c>
      <c r="I108" s="207">
        <v>60</v>
      </c>
      <c r="J108" s="207">
        <v>40</v>
      </c>
      <c r="K108" s="207"/>
      <c r="L108" s="207">
        <v>30</v>
      </c>
      <c r="M108" s="204"/>
      <c r="N108" s="116">
        <f t="shared" si="1"/>
        <v>4240</v>
      </c>
    </row>
    <row r="109" spans="1:14">
      <c r="A109" s="207" t="s">
        <v>978</v>
      </c>
      <c r="B109" s="207" t="s">
        <v>979</v>
      </c>
      <c r="C109" s="207" t="s">
        <v>755</v>
      </c>
      <c r="D109" s="207" t="s">
        <v>255</v>
      </c>
      <c r="F109" s="207">
        <v>120</v>
      </c>
      <c r="G109" s="207">
        <v>12</v>
      </c>
      <c r="J109" s="207">
        <v>40</v>
      </c>
      <c r="K109" s="207"/>
      <c r="M109" s="204"/>
      <c r="N109" s="116">
        <f t="shared" si="1"/>
        <v>1744</v>
      </c>
    </row>
    <row r="110" spans="1:14">
      <c r="A110" s="207" t="s">
        <v>980</v>
      </c>
      <c r="B110" s="207"/>
      <c r="C110" s="207"/>
      <c r="D110" s="207"/>
      <c r="E110" s="207">
        <v>1518</v>
      </c>
      <c r="F110" s="207">
        <v>8820</v>
      </c>
      <c r="G110" s="207">
        <v>936</v>
      </c>
      <c r="H110" s="207">
        <v>366</v>
      </c>
      <c r="I110" s="207">
        <v>4800</v>
      </c>
      <c r="J110" s="207">
        <v>1100</v>
      </c>
      <c r="K110" s="207"/>
      <c r="L110" s="207">
        <v>180</v>
      </c>
      <c r="N110" s="116"/>
    </row>
    <row r="111" spans="1:14">
      <c r="E111">
        <f>SUM(E2:E110)</f>
        <v>16908</v>
      </c>
      <c r="F111">
        <f>SUM(F2:F110)</f>
        <v>67800</v>
      </c>
      <c r="G111">
        <f t="shared" ref="G111:L111" si="2">SUM(G2:G110)</f>
        <v>9750</v>
      </c>
      <c r="H111">
        <f t="shared" si="2"/>
        <v>2988</v>
      </c>
      <c r="I111">
        <f>SUM(I2:I110)</f>
        <v>25800</v>
      </c>
      <c r="J111">
        <f t="shared" si="2"/>
        <v>6800</v>
      </c>
      <c r="K111">
        <f t="shared" si="2"/>
        <v>0</v>
      </c>
      <c r="L111">
        <f t="shared" si="2"/>
        <v>1500</v>
      </c>
    </row>
    <row r="113" spans="5:12">
      <c r="E113">
        <v>34</v>
      </c>
      <c r="F113">
        <v>5</v>
      </c>
      <c r="G113">
        <v>25.454499999999999</v>
      </c>
      <c r="H113">
        <v>34</v>
      </c>
      <c r="I113">
        <v>5</v>
      </c>
      <c r="J113">
        <v>17</v>
      </c>
      <c r="L113">
        <v>10.6666666666667</v>
      </c>
    </row>
    <row r="114" spans="5:12">
      <c r="E114" s="204">
        <f>+E111*E113*0.85</f>
        <v>488641.2</v>
      </c>
      <c r="F114" s="204">
        <f>+F111*F113</f>
        <v>339000</v>
      </c>
      <c r="G114" s="204">
        <f t="shared" ref="G114:L114" si="3">+G111*G113</f>
        <v>248181.375</v>
      </c>
      <c r="H114" s="204">
        <f t="shared" si="3"/>
        <v>101592</v>
      </c>
      <c r="I114" s="204">
        <f>+I111*I113</f>
        <v>129000</v>
      </c>
      <c r="J114" s="204">
        <f t="shared" si="3"/>
        <v>115600</v>
      </c>
      <c r="K114" s="204">
        <f t="shared" si="3"/>
        <v>0</v>
      </c>
      <c r="L114" s="204">
        <f t="shared" si="3"/>
        <v>16000.000000000049</v>
      </c>
    </row>
    <row r="116" spans="5:12">
      <c r="E116">
        <v>37.4</v>
      </c>
      <c r="F116">
        <v>5.5</v>
      </c>
      <c r="G116">
        <v>28</v>
      </c>
      <c r="H116">
        <v>37.4</v>
      </c>
      <c r="I116">
        <v>5.5</v>
      </c>
      <c r="J116">
        <v>18.7</v>
      </c>
      <c r="L116">
        <v>11</v>
      </c>
    </row>
  </sheetData>
  <autoFilter ref="A1:U114"/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3</vt:i4>
      </vt:variant>
    </vt:vector>
  </HeadingPairs>
  <TitlesOfParts>
    <vt:vector size="14" baseType="lpstr">
      <vt:lpstr>MT</vt:lpstr>
      <vt:lpstr>MT-ky</vt:lpstr>
      <vt:lpstr>Giai thich sell in</vt:lpstr>
      <vt:lpstr>Data In..</vt:lpstr>
      <vt:lpstr>KQ audit</vt:lpstr>
      <vt:lpstr>Sheet1</vt:lpstr>
      <vt:lpstr>Data In</vt:lpstr>
      <vt:lpstr>sell in Direct-S</vt:lpstr>
      <vt:lpstr>Lien Hiep</vt:lpstr>
      <vt:lpstr>sell in coop MTE</vt:lpstr>
      <vt:lpstr>sell in Big C,Lotte North</vt:lpstr>
      <vt:lpstr>MT!Print_Area</vt:lpstr>
      <vt:lpstr>'MT-ky'!Print_Area</vt:lpstr>
      <vt:lpstr>'MT-ky'!Print_Titles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2019-05-23T07:59:29Z</cp:lastPrinted>
  <dcterms:created xsi:type="dcterms:W3CDTF">2012-12-13T09:34:20Z</dcterms:created>
  <dcterms:modified xsi:type="dcterms:W3CDTF">2019-08-28T02:21:31Z</dcterms:modified>
</cp:coreProperties>
</file>