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halof\Documents\Musi Lab\Clinical Studies\Eritoran\"/>
    </mc:Choice>
  </mc:AlternateContent>
  <xr:revisionPtr revIDLastSave="0" documentId="13_ncr:1_{8EEA2E49-F198-4064-86DA-10F392AE3E70}" xr6:coauthVersionLast="46" xr6:coauthVersionMax="46" xr10:uidLastSave="{00000000-0000-0000-0000-000000000000}"/>
  <bookViews>
    <workbookView xWindow="-120" yWindow="-120" windowWidth="29040" windowHeight="15840" firstSheet="14" activeTab="24" xr2:uid="{00000000-000D-0000-FFFF-FFFF00000000}"/>
  </bookViews>
  <sheets>
    <sheet name="202V3" sheetId="2" r:id="rId1"/>
    <sheet name="202V5" sheetId="3" r:id="rId2"/>
    <sheet name="203V3" sheetId="4" r:id="rId3"/>
    <sheet name="203V5" sheetId="5" r:id="rId4"/>
    <sheet name="204V3" sheetId="6" r:id="rId5"/>
    <sheet name="204V5" sheetId="7" r:id="rId6"/>
    <sheet name="209V3" sheetId="10" r:id="rId7"/>
    <sheet name="209V5" sheetId="11" r:id="rId8"/>
    <sheet name="210V3" sheetId="12" r:id="rId9"/>
    <sheet name="210V5" sheetId="13" r:id="rId10"/>
    <sheet name="214V3" sheetId="14" r:id="rId11"/>
    <sheet name="214V5" sheetId="15" r:id="rId12"/>
    <sheet name="217V3" sheetId="18" r:id="rId13"/>
    <sheet name="217V5" sheetId="19" r:id="rId14"/>
    <sheet name="218V3" sheetId="20" r:id="rId15"/>
    <sheet name="218V5" sheetId="21" r:id="rId16"/>
    <sheet name="220V3" sheetId="24" r:id="rId17"/>
    <sheet name="220V5" sheetId="25" r:id="rId18"/>
    <sheet name="222V3" sheetId="31" r:id="rId19"/>
    <sheet name="222V5" sheetId="30" r:id="rId20"/>
    <sheet name="223V3" sheetId="26" r:id="rId21"/>
    <sheet name="223V5" sheetId="27" r:id="rId22"/>
    <sheet name="225V3" sheetId="28" r:id="rId23"/>
    <sheet name="225V5" sheetId="29" r:id="rId24"/>
    <sheet name="GROUPED DATA" sheetId="32" r:id="rId25"/>
    <sheet name="TEMPLATE" sheetId="1" r:id="rId26"/>
    <sheet name="206V3" sheetId="33" r:id="rId27"/>
    <sheet name="215V3" sheetId="34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P36" i="32" l="1"/>
  <c r="BQ36" i="32"/>
  <c r="BP35" i="32"/>
  <c r="BQ35" i="32"/>
  <c r="BO36" i="32"/>
  <c r="BO35" i="32"/>
  <c r="BO34" i="32"/>
  <c r="BQ34" i="32"/>
  <c r="BP34" i="32"/>
  <c r="O29" i="34"/>
  <c r="N29" i="34"/>
  <c r="K29" i="34"/>
  <c r="H29" i="34"/>
  <c r="O20" i="34"/>
  <c r="N20" i="34"/>
  <c r="H20" i="34"/>
  <c r="K20" i="34"/>
  <c r="H7" i="33"/>
  <c r="Z18" i="33"/>
  <c r="X18" i="34"/>
  <c r="F29" i="34"/>
  <c r="B29" i="34"/>
  <c r="M27" i="34"/>
  <c r="D27" i="34"/>
  <c r="E27" i="34" s="1"/>
  <c r="G27" i="34" s="1"/>
  <c r="H27" i="34" s="1"/>
  <c r="M26" i="34"/>
  <c r="D26" i="34"/>
  <c r="E26" i="34" s="1"/>
  <c r="G26" i="34" s="1"/>
  <c r="H26" i="34" s="1"/>
  <c r="Z25" i="34"/>
  <c r="X25" i="34"/>
  <c r="CQ11" i="34" s="1"/>
  <c r="M25" i="34"/>
  <c r="D25" i="34"/>
  <c r="E25" i="34" s="1"/>
  <c r="G25" i="34" s="1"/>
  <c r="H25" i="34" s="1"/>
  <c r="M24" i="34"/>
  <c r="D24" i="34"/>
  <c r="E24" i="34" s="1"/>
  <c r="G24" i="34" s="1"/>
  <c r="M23" i="34"/>
  <c r="M29" i="34" s="1"/>
  <c r="D23" i="34"/>
  <c r="E23" i="34" s="1"/>
  <c r="B20" i="34"/>
  <c r="Z18" i="34"/>
  <c r="M18" i="34"/>
  <c r="D18" i="34"/>
  <c r="E18" i="34" s="1"/>
  <c r="G18" i="34" s="1"/>
  <c r="H18" i="34" s="1"/>
  <c r="M17" i="34"/>
  <c r="D17" i="34"/>
  <c r="M16" i="34"/>
  <c r="D16" i="34"/>
  <c r="E16" i="34" s="1"/>
  <c r="G16" i="34" s="1"/>
  <c r="H16" i="34" s="1"/>
  <c r="M15" i="34"/>
  <c r="D15" i="34"/>
  <c r="E15" i="34" s="1"/>
  <c r="G15" i="34" s="1"/>
  <c r="M14" i="34"/>
  <c r="D14" i="34"/>
  <c r="CP11" i="34"/>
  <c r="CN11" i="34"/>
  <c r="CM11" i="34"/>
  <c r="CL11" i="34"/>
  <c r="CK11" i="34"/>
  <c r="CJ11" i="34"/>
  <c r="CI11" i="34"/>
  <c r="Z11" i="34"/>
  <c r="CF11" i="34" s="1"/>
  <c r="X11" i="34"/>
  <c r="CO11" i="34" s="1"/>
  <c r="B11" i="34"/>
  <c r="CE11" i="34" s="1"/>
  <c r="D10" i="34"/>
  <c r="D9" i="34"/>
  <c r="D8" i="34"/>
  <c r="E8" i="34" s="1"/>
  <c r="G8" i="34" s="1"/>
  <c r="H8" i="34" s="1"/>
  <c r="D7" i="34"/>
  <c r="E7" i="34" s="1"/>
  <c r="G7" i="34" s="1"/>
  <c r="E5" i="34"/>
  <c r="D4" i="34"/>
  <c r="O3" i="34"/>
  <c r="O1" i="34" s="1"/>
  <c r="G3" i="34"/>
  <c r="G2" i="34"/>
  <c r="N1" i="34"/>
  <c r="F29" i="33"/>
  <c r="B29" i="33"/>
  <c r="M27" i="33"/>
  <c r="D27" i="33"/>
  <c r="M26" i="33"/>
  <c r="D26" i="33"/>
  <c r="Z25" i="33"/>
  <c r="X25" i="33"/>
  <c r="CQ11" i="33" s="1"/>
  <c r="M25" i="33"/>
  <c r="D25" i="33"/>
  <c r="M24" i="33"/>
  <c r="D24" i="33"/>
  <c r="M23" i="33"/>
  <c r="D23" i="33"/>
  <c r="D29" i="33" s="1"/>
  <c r="B20" i="33"/>
  <c r="X18" i="33"/>
  <c r="CP11" i="33" s="1"/>
  <c r="M18" i="33"/>
  <c r="D18" i="33"/>
  <c r="M17" i="33"/>
  <c r="D17" i="33"/>
  <c r="M16" i="33"/>
  <c r="D16" i="33"/>
  <c r="M15" i="33"/>
  <c r="D15" i="33"/>
  <c r="M14" i="33"/>
  <c r="D14" i="33"/>
  <c r="CN11" i="33"/>
  <c r="CM11" i="33"/>
  <c r="CL11" i="33"/>
  <c r="CK11" i="33"/>
  <c r="CJ11" i="33"/>
  <c r="CI11" i="33"/>
  <c r="Z11" i="33"/>
  <c r="CF11" i="33" s="1"/>
  <c r="X11" i="33"/>
  <c r="CO11" i="33" s="1"/>
  <c r="B11" i="33"/>
  <c r="CE11" i="33" s="1"/>
  <c r="D10" i="33"/>
  <c r="D9" i="33"/>
  <c r="D8" i="33"/>
  <c r="D7" i="33"/>
  <c r="E5" i="33"/>
  <c r="E27" i="33" s="1"/>
  <c r="G27" i="33" s="1"/>
  <c r="H27" i="33" s="1"/>
  <c r="D4" i="33"/>
  <c r="O3" i="33"/>
  <c r="O1" i="33" s="1"/>
  <c r="G3" i="33"/>
  <c r="G2" i="33"/>
  <c r="N1" i="33"/>
  <c r="CI11" i="31"/>
  <c r="CJ11" i="31"/>
  <c r="CK11" i="31"/>
  <c r="CL11" i="31"/>
  <c r="CM11" i="31"/>
  <c r="CN11" i="31"/>
  <c r="CI11" i="4"/>
  <c r="CJ11" i="4"/>
  <c r="CK11" i="4"/>
  <c r="CL11" i="4"/>
  <c r="CM11" i="4"/>
  <c r="CN11" i="4"/>
  <c r="M29" i="33" l="1"/>
  <c r="BN11" i="33" s="1"/>
  <c r="N3" i="34"/>
  <c r="D20" i="34"/>
  <c r="E7" i="33"/>
  <c r="G7" i="33" s="1"/>
  <c r="D20" i="33"/>
  <c r="E10" i="33"/>
  <c r="G10" i="33" s="1"/>
  <c r="H10" i="33" s="1"/>
  <c r="E23" i="33"/>
  <c r="G23" i="33" s="1"/>
  <c r="H23" i="33" s="1"/>
  <c r="E9" i="33"/>
  <c r="G9" i="33" s="1"/>
  <c r="H9" i="33" s="1"/>
  <c r="E26" i="33"/>
  <c r="G26" i="33" s="1"/>
  <c r="H26" i="33" s="1"/>
  <c r="E14" i="33"/>
  <c r="E18" i="33"/>
  <c r="G18" i="33" s="1"/>
  <c r="H18" i="33" s="1"/>
  <c r="E17" i="33"/>
  <c r="G17" i="33" s="1"/>
  <c r="H17" i="33" s="1"/>
  <c r="E8" i="33"/>
  <c r="G8" i="33" s="1"/>
  <c r="H8" i="33" s="1"/>
  <c r="E14" i="34"/>
  <c r="G14" i="34" s="1"/>
  <c r="CG11" i="33"/>
  <c r="CG11" i="34"/>
  <c r="M20" i="34"/>
  <c r="AX11" i="34" s="1"/>
  <c r="M20" i="33"/>
  <c r="P21" i="33" s="1"/>
  <c r="BB11" i="33" s="1"/>
  <c r="P30" i="34"/>
  <c r="BR11" i="34" s="1"/>
  <c r="BN11" i="34"/>
  <c r="G23" i="34"/>
  <c r="E29" i="34"/>
  <c r="C25" i="34"/>
  <c r="H24" i="34"/>
  <c r="C24" i="34"/>
  <c r="H7" i="34"/>
  <c r="H15" i="34"/>
  <c r="D29" i="34"/>
  <c r="E9" i="34"/>
  <c r="G9" i="34" s="1"/>
  <c r="H9" i="34" s="1"/>
  <c r="E10" i="34"/>
  <c r="G10" i="34" s="1"/>
  <c r="H10" i="34" s="1"/>
  <c r="N2" i="34"/>
  <c r="E17" i="34"/>
  <c r="G17" i="34" s="1"/>
  <c r="H17" i="34" s="1"/>
  <c r="N2" i="33"/>
  <c r="N3" i="33"/>
  <c r="E16" i="33"/>
  <c r="G16" i="33" s="1"/>
  <c r="H16" i="33" s="1"/>
  <c r="E24" i="33"/>
  <c r="G24" i="33" s="1"/>
  <c r="E15" i="33"/>
  <c r="G15" i="33" s="1"/>
  <c r="E25" i="33"/>
  <c r="G25" i="33" s="1"/>
  <c r="H25" i="33" s="1"/>
  <c r="C37" i="32"/>
  <c r="D37" i="32"/>
  <c r="E37" i="32"/>
  <c r="F37" i="32"/>
  <c r="G37" i="32"/>
  <c r="H37" i="32"/>
  <c r="I37" i="32"/>
  <c r="J37" i="32"/>
  <c r="K37" i="32"/>
  <c r="L37" i="32"/>
  <c r="M37" i="32"/>
  <c r="N37" i="32"/>
  <c r="O37" i="32"/>
  <c r="P37" i="32"/>
  <c r="Q37" i="32"/>
  <c r="R37" i="32"/>
  <c r="S37" i="32"/>
  <c r="T37" i="32"/>
  <c r="U37" i="32"/>
  <c r="V37" i="32"/>
  <c r="W37" i="32"/>
  <c r="X37" i="32"/>
  <c r="Y37" i="32"/>
  <c r="Z37" i="32"/>
  <c r="AA37" i="32"/>
  <c r="AB37" i="32"/>
  <c r="AC37" i="32"/>
  <c r="AD37" i="32"/>
  <c r="AE37" i="32"/>
  <c r="AF37" i="32"/>
  <c r="AG37" i="32"/>
  <c r="AH37" i="32"/>
  <c r="AI37" i="32"/>
  <c r="AJ37" i="32"/>
  <c r="AK37" i="32"/>
  <c r="AL37" i="32"/>
  <c r="AM37" i="32"/>
  <c r="AN37" i="32"/>
  <c r="AO37" i="32"/>
  <c r="AP37" i="32"/>
  <c r="AQ37" i="32"/>
  <c r="AR37" i="32"/>
  <c r="AS37" i="32"/>
  <c r="AT37" i="32"/>
  <c r="AU37" i="32"/>
  <c r="AV37" i="32"/>
  <c r="AW37" i="32"/>
  <c r="AX37" i="32"/>
  <c r="AY37" i="32"/>
  <c r="AZ37" i="32"/>
  <c r="BA37" i="32"/>
  <c r="BB37" i="32"/>
  <c r="BC37" i="32"/>
  <c r="C38" i="32"/>
  <c r="D38" i="32"/>
  <c r="E38" i="32"/>
  <c r="F38" i="32"/>
  <c r="G38" i="32"/>
  <c r="H38" i="32"/>
  <c r="I38" i="32"/>
  <c r="J38" i="32"/>
  <c r="K38" i="32"/>
  <c r="L38" i="32"/>
  <c r="M38" i="32"/>
  <c r="N38" i="32"/>
  <c r="O38" i="32"/>
  <c r="P38" i="32"/>
  <c r="Q38" i="32"/>
  <c r="R38" i="32"/>
  <c r="S38" i="32"/>
  <c r="T38" i="32"/>
  <c r="U38" i="32"/>
  <c r="V38" i="32"/>
  <c r="W38" i="32"/>
  <c r="X38" i="32"/>
  <c r="Y38" i="32"/>
  <c r="Z38" i="32"/>
  <c r="AA38" i="32"/>
  <c r="AB38" i="32"/>
  <c r="AC38" i="32"/>
  <c r="AD38" i="32"/>
  <c r="AE38" i="32"/>
  <c r="AF38" i="32"/>
  <c r="AG38" i="32"/>
  <c r="AH38" i="32"/>
  <c r="AI38" i="32"/>
  <c r="AJ38" i="32"/>
  <c r="AK38" i="32"/>
  <c r="AL38" i="32"/>
  <c r="AM38" i="32"/>
  <c r="AN38" i="32"/>
  <c r="AO38" i="32"/>
  <c r="AP38" i="32"/>
  <c r="AQ38" i="32"/>
  <c r="AR38" i="32"/>
  <c r="AS38" i="32"/>
  <c r="AT38" i="32"/>
  <c r="AU38" i="32"/>
  <c r="AV38" i="32"/>
  <c r="AW38" i="32"/>
  <c r="AX38" i="32"/>
  <c r="AY38" i="32"/>
  <c r="AZ38" i="32"/>
  <c r="BA38" i="32"/>
  <c r="BB38" i="32"/>
  <c r="BC38" i="32"/>
  <c r="B37" i="32"/>
  <c r="B38" i="32"/>
  <c r="P30" i="33" l="1"/>
  <c r="BR11" i="33" s="1"/>
  <c r="H11" i="34"/>
  <c r="H29" i="33"/>
  <c r="E20" i="33"/>
  <c r="G14" i="33"/>
  <c r="E11" i="33"/>
  <c r="E29" i="33"/>
  <c r="G29" i="33"/>
  <c r="G11" i="34"/>
  <c r="E11" i="34"/>
  <c r="E20" i="34"/>
  <c r="C15" i="34"/>
  <c r="C16" i="34"/>
  <c r="I14" i="34" s="1"/>
  <c r="P21" i="34"/>
  <c r="BB11" i="34" s="1"/>
  <c r="BD11" i="34" s="1"/>
  <c r="AX11" i="33"/>
  <c r="AZ11" i="33" s="1"/>
  <c r="AZ11" i="34"/>
  <c r="AY11" i="34"/>
  <c r="BA11" i="34" s="1"/>
  <c r="K24" i="34"/>
  <c r="K16" i="34"/>
  <c r="N16" i="34" s="1"/>
  <c r="O16" i="34" s="1"/>
  <c r="J10" i="34"/>
  <c r="J9" i="34"/>
  <c r="J8" i="34"/>
  <c r="J7" i="34"/>
  <c r="K18" i="34"/>
  <c r="N18" i="34" s="1"/>
  <c r="O18" i="34" s="1"/>
  <c r="K27" i="34"/>
  <c r="N27" i="34" s="1"/>
  <c r="O27" i="34" s="1"/>
  <c r="K25" i="34"/>
  <c r="N25" i="34" s="1"/>
  <c r="O25" i="34" s="1"/>
  <c r="K15" i="34"/>
  <c r="K17" i="34"/>
  <c r="N17" i="34" s="1"/>
  <c r="O17" i="34" s="1"/>
  <c r="K26" i="34"/>
  <c r="N26" i="34" s="1"/>
  <c r="O26" i="34" s="1"/>
  <c r="H23" i="34"/>
  <c r="G29" i="34"/>
  <c r="I26" i="34"/>
  <c r="I23" i="34"/>
  <c r="I24" i="34"/>
  <c r="I27" i="34"/>
  <c r="J27" i="34" s="1"/>
  <c r="L27" i="34" s="1"/>
  <c r="I25" i="34"/>
  <c r="BP11" i="34"/>
  <c r="BO11" i="34"/>
  <c r="BQ11" i="34" s="1"/>
  <c r="G20" i="34"/>
  <c r="H14" i="34"/>
  <c r="BS11" i="34"/>
  <c r="BU11" i="34" s="1"/>
  <c r="BT11" i="34"/>
  <c r="BD11" i="33"/>
  <c r="BC11" i="33"/>
  <c r="BE11" i="33" s="1"/>
  <c r="C15" i="33"/>
  <c r="C16" i="33"/>
  <c r="H15" i="33"/>
  <c r="K15" i="33" s="1"/>
  <c r="H11" i="33"/>
  <c r="G11" i="33"/>
  <c r="K16" i="33"/>
  <c r="N16" i="33" s="1"/>
  <c r="O16" i="33" s="1"/>
  <c r="J9" i="33"/>
  <c r="J10" i="33"/>
  <c r="K18" i="33"/>
  <c r="N18" i="33" s="1"/>
  <c r="O18" i="33" s="1"/>
  <c r="K27" i="33"/>
  <c r="N27" i="33" s="1"/>
  <c r="O27" i="33" s="1"/>
  <c r="K25" i="33"/>
  <c r="N25" i="33" s="1"/>
  <c r="O25" i="33" s="1"/>
  <c r="K17" i="33"/>
  <c r="N17" i="33" s="1"/>
  <c r="O17" i="33" s="1"/>
  <c r="J8" i="33"/>
  <c r="K26" i="33"/>
  <c r="N26" i="33" s="1"/>
  <c r="O26" i="33" s="1"/>
  <c r="G20" i="33"/>
  <c r="H14" i="33"/>
  <c r="BP11" i="33"/>
  <c r="BO11" i="33"/>
  <c r="BQ11" i="33" s="1"/>
  <c r="C25" i="33"/>
  <c r="H24" i="33"/>
  <c r="K24" i="33" s="1"/>
  <c r="C24" i="33"/>
  <c r="BT11" i="33"/>
  <c r="BS11" i="33"/>
  <c r="BU11" i="33" s="1"/>
  <c r="CI11" i="28"/>
  <c r="CJ11" i="28"/>
  <c r="CK11" i="28"/>
  <c r="CL11" i="28"/>
  <c r="CM11" i="28"/>
  <c r="CN11" i="28"/>
  <c r="BC11" i="34" l="1"/>
  <c r="BE11" i="34" s="1"/>
  <c r="H20" i="33"/>
  <c r="AY11" i="33"/>
  <c r="BA11" i="33" s="1"/>
  <c r="I15" i="34"/>
  <c r="J15" i="34" s="1"/>
  <c r="L15" i="34" s="1"/>
  <c r="I18" i="34"/>
  <c r="J24" i="34"/>
  <c r="I17" i="34"/>
  <c r="J26" i="34"/>
  <c r="L26" i="34" s="1"/>
  <c r="I16" i="34"/>
  <c r="J16" i="34" s="1"/>
  <c r="L16" i="34" s="1"/>
  <c r="J25" i="34"/>
  <c r="L25" i="34" s="1"/>
  <c r="L8" i="34"/>
  <c r="N8" i="34"/>
  <c r="O8" i="34" s="1"/>
  <c r="L9" i="34"/>
  <c r="N9" i="34"/>
  <c r="O9" i="34" s="1"/>
  <c r="N15" i="34"/>
  <c r="BF11" i="34"/>
  <c r="L10" i="34"/>
  <c r="N10" i="34"/>
  <c r="O10" i="34" s="1"/>
  <c r="L7" i="34"/>
  <c r="J11" i="34"/>
  <c r="N7" i="34"/>
  <c r="BV11" i="34"/>
  <c r="N24" i="34"/>
  <c r="K29" i="33"/>
  <c r="BV11" i="33" s="1"/>
  <c r="N24" i="33"/>
  <c r="N15" i="33"/>
  <c r="K20" i="33"/>
  <c r="BF11" i="33" s="1"/>
  <c r="J7" i="33"/>
  <c r="I16" i="33"/>
  <c r="I18" i="33"/>
  <c r="I14" i="33"/>
  <c r="I17" i="33"/>
  <c r="J17" i="33" s="1"/>
  <c r="L17" i="33" s="1"/>
  <c r="I15" i="33"/>
  <c r="J15" i="33" s="1"/>
  <c r="N8" i="33"/>
  <c r="O8" i="33" s="1"/>
  <c r="L8" i="33"/>
  <c r="L9" i="33"/>
  <c r="N9" i="33"/>
  <c r="O9" i="33" s="1"/>
  <c r="I26" i="33"/>
  <c r="I23" i="33"/>
  <c r="I24" i="33"/>
  <c r="J24" i="33" s="1"/>
  <c r="I27" i="33"/>
  <c r="J27" i="33" s="1"/>
  <c r="L27" i="33" s="1"/>
  <c r="I25" i="33"/>
  <c r="N10" i="33"/>
  <c r="O10" i="33" s="1"/>
  <c r="L10" i="33"/>
  <c r="X25" i="25"/>
  <c r="X18" i="25"/>
  <c r="X11" i="25"/>
  <c r="L11" i="34" l="1"/>
  <c r="J29" i="34"/>
  <c r="J30" i="34" s="1"/>
  <c r="BZ11" i="34" s="1"/>
  <c r="J18" i="34"/>
  <c r="L18" i="34" s="1"/>
  <c r="J26" i="33"/>
  <c r="L26" i="33" s="1"/>
  <c r="J16" i="33"/>
  <c r="L16" i="33" s="1"/>
  <c r="N30" i="34"/>
  <c r="J17" i="34"/>
  <c r="L24" i="34"/>
  <c r="L29" i="34" s="1"/>
  <c r="O24" i="34"/>
  <c r="AN11" i="34"/>
  <c r="BH11" i="34"/>
  <c r="BG11" i="34"/>
  <c r="BI11" i="34" s="1"/>
  <c r="BX11" i="34"/>
  <c r="BW11" i="34"/>
  <c r="BY11" i="34" s="1"/>
  <c r="O15" i="34"/>
  <c r="AF11" i="34"/>
  <c r="AV11" i="34"/>
  <c r="AW11" i="34" s="1"/>
  <c r="AB11" i="34"/>
  <c r="N11" i="34"/>
  <c r="O7" i="34"/>
  <c r="O11" i="34" s="1"/>
  <c r="L24" i="33"/>
  <c r="BX11" i="33"/>
  <c r="BW11" i="33"/>
  <c r="BY11" i="33" s="1"/>
  <c r="J11" i="33"/>
  <c r="N7" i="33"/>
  <c r="O7" i="33" s="1"/>
  <c r="L7" i="33"/>
  <c r="L11" i="33" s="1"/>
  <c r="BH11" i="33"/>
  <c r="BG11" i="33"/>
  <c r="BI11" i="33" s="1"/>
  <c r="J18" i="33"/>
  <c r="L18" i="33" s="1"/>
  <c r="J25" i="33"/>
  <c r="L25" i="33" s="1"/>
  <c r="O15" i="33"/>
  <c r="O20" i="33" s="1"/>
  <c r="N20" i="33"/>
  <c r="AF11" i="33" s="1"/>
  <c r="L15" i="33"/>
  <c r="O24" i="33"/>
  <c r="O29" i="33" s="1"/>
  <c r="N29" i="33"/>
  <c r="AN11" i="33" s="1"/>
  <c r="F29" i="1"/>
  <c r="M27" i="1"/>
  <c r="D27" i="1"/>
  <c r="M26" i="1"/>
  <c r="D26" i="1"/>
  <c r="M25" i="1"/>
  <c r="D25" i="1"/>
  <c r="M24" i="1"/>
  <c r="D24" i="1"/>
  <c r="M23" i="1"/>
  <c r="M29" i="1" s="1"/>
  <c r="P30" i="1" s="1"/>
  <c r="D23" i="1"/>
  <c r="D29" i="1" s="1"/>
  <c r="M18" i="1"/>
  <c r="D18" i="1"/>
  <c r="M17" i="1"/>
  <c r="D17" i="1"/>
  <c r="M16" i="1"/>
  <c r="D16" i="1"/>
  <c r="M15" i="1"/>
  <c r="D15" i="1"/>
  <c r="M14" i="1"/>
  <c r="M20" i="1" s="1"/>
  <c r="P21" i="1" s="1"/>
  <c r="D14" i="1"/>
  <c r="D10" i="1"/>
  <c r="D9" i="1"/>
  <c r="D8" i="1"/>
  <c r="D7" i="1"/>
  <c r="F29" i="29"/>
  <c r="M27" i="29"/>
  <c r="D27" i="29"/>
  <c r="M26" i="29"/>
  <c r="D26" i="29"/>
  <c r="M25" i="29"/>
  <c r="D25" i="29"/>
  <c r="M24" i="29"/>
  <c r="D24" i="29"/>
  <c r="M23" i="29"/>
  <c r="D23" i="29"/>
  <c r="M18" i="29"/>
  <c r="D18" i="29"/>
  <c r="M17" i="29"/>
  <c r="D17" i="29"/>
  <c r="M16" i="29"/>
  <c r="D16" i="29"/>
  <c r="M15" i="29"/>
  <c r="D15" i="29"/>
  <c r="M14" i="29"/>
  <c r="D14" i="29"/>
  <c r="D10" i="29"/>
  <c r="D9" i="29"/>
  <c r="D8" i="29"/>
  <c r="D7" i="29"/>
  <c r="F29" i="28"/>
  <c r="M27" i="28"/>
  <c r="D27" i="28"/>
  <c r="M26" i="28"/>
  <c r="D26" i="28"/>
  <c r="M25" i="28"/>
  <c r="D25" i="28"/>
  <c r="M24" i="28"/>
  <c r="D24" i="28"/>
  <c r="M23" i="28"/>
  <c r="D23" i="28"/>
  <c r="M18" i="28"/>
  <c r="D18" i="28"/>
  <c r="M17" i="28"/>
  <c r="D17" i="28"/>
  <c r="M16" i="28"/>
  <c r="D16" i="28"/>
  <c r="M15" i="28"/>
  <c r="D15" i="28"/>
  <c r="M14" i="28"/>
  <c r="D14" i="28"/>
  <c r="D10" i="28"/>
  <c r="D9" i="28"/>
  <c r="D8" i="28"/>
  <c r="D7" i="28"/>
  <c r="CI11" i="5"/>
  <c r="CJ11" i="5"/>
  <c r="CK11" i="5"/>
  <c r="CL11" i="5"/>
  <c r="CM11" i="5"/>
  <c r="CN11" i="5"/>
  <c r="F29" i="27"/>
  <c r="M27" i="27"/>
  <c r="D27" i="27"/>
  <c r="M26" i="27"/>
  <c r="D26" i="27"/>
  <c r="M25" i="27"/>
  <c r="D25" i="27"/>
  <c r="M24" i="27"/>
  <c r="D24" i="27"/>
  <c r="M23" i="27"/>
  <c r="D23" i="27"/>
  <c r="M18" i="27"/>
  <c r="D18" i="27"/>
  <c r="M17" i="27"/>
  <c r="D17" i="27"/>
  <c r="M16" i="27"/>
  <c r="D16" i="27"/>
  <c r="M15" i="27"/>
  <c r="D15" i="27"/>
  <c r="M14" i="27"/>
  <c r="D14" i="27"/>
  <c r="D10" i="27"/>
  <c r="D9" i="27"/>
  <c r="D8" i="27"/>
  <c r="D7" i="27"/>
  <c r="F29" i="26"/>
  <c r="M27" i="26"/>
  <c r="D27" i="26"/>
  <c r="M26" i="26"/>
  <c r="D26" i="26"/>
  <c r="M25" i="26"/>
  <c r="D25" i="26"/>
  <c r="M24" i="26"/>
  <c r="D24" i="26"/>
  <c r="M23" i="26"/>
  <c r="D23" i="26"/>
  <c r="M18" i="26"/>
  <c r="D18" i="26"/>
  <c r="M17" i="26"/>
  <c r="D17" i="26"/>
  <c r="M16" i="26"/>
  <c r="D16" i="26"/>
  <c r="M15" i="26"/>
  <c r="D15" i="26"/>
  <c r="M14" i="26"/>
  <c r="D14" i="26"/>
  <c r="D10" i="26"/>
  <c r="D9" i="26"/>
  <c r="D8" i="26"/>
  <c r="D7" i="26"/>
  <c r="F29" i="30"/>
  <c r="M27" i="30"/>
  <c r="D27" i="30"/>
  <c r="M26" i="30"/>
  <c r="D26" i="30"/>
  <c r="M25" i="30"/>
  <c r="D25" i="30"/>
  <c r="M24" i="30"/>
  <c r="D24" i="30"/>
  <c r="M23" i="30"/>
  <c r="D23" i="30"/>
  <c r="M18" i="30"/>
  <c r="D18" i="30"/>
  <c r="M17" i="30"/>
  <c r="D17" i="30"/>
  <c r="M16" i="30"/>
  <c r="D16" i="30"/>
  <c r="M15" i="30"/>
  <c r="D15" i="30"/>
  <c r="M14" i="30"/>
  <c r="D14" i="30"/>
  <c r="D10" i="30"/>
  <c r="D9" i="30"/>
  <c r="D8" i="30"/>
  <c r="D7" i="30"/>
  <c r="F29" i="31"/>
  <c r="M27" i="31"/>
  <c r="D27" i="31"/>
  <c r="M26" i="31"/>
  <c r="D26" i="31"/>
  <c r="M25" i="31"/>
  <c r="D25" i="31"/>
  <c r="M24" i="31"/>
  <c r="D24" i="31"/>
  <c r="M23" i="31"/>
  <c r="M29" i="31" s="1"/>
  <c r="BN11" i="31" s="1"/>
  <c r="D23" i="31"/>
  <c r="M18" i="31"/>
  <c r="D18" i="31"/>
  <c r="M17" i="31"/>
  <c r="D17" i="31"/>
  <c r="M16" i="31"/>
  <c r="D16" i="31"/>
  <c r="M15" i="31"/>
  <c r="D15" i="31"/>
  <c r="M14" i="31"/>
  <c r="D14" i="31"/>
  <c r="D10" i="31"/>
  <c r="D9" i="31"/>
  <c r="D8" i="31"/>
  <c r="D7" i="31"/>
  <c r="F29" i="25"/>
  <c r="M27" i="25"/>
  <c r="D27" i="25"/>
  <c r="M26" i="25"/>
  <c r="D26" i="25"/>
  <c r="M25" i="25"/>
  <c r="D25" i="25"/>
  <c r="M24" i="25"/>
  <c r="D24" i="25"/>
  <c r="M23" i="25"/>
  <c r="M29" i="25" s="1"/>
  <c r="D23" i="25"/>
  <c r="M18" i="25"/>
  <c r="D18" i="25"/>
  <c r="M17" i="25"/>
  <c r="D17" i="25"/>
  <c r="M16" i="25"/>
  <c r="D16" i="25"/>
  <c r="M15" i="25"/>
  <c r="D15" i="25"/>
  <c r="M14" i="25"/>
  <c r="D14" i="25"/>
  <c r="D10" i="25"/>
  <c r="D9" i="25"/>
  <c r="D8" i="25"/>
  <c r="D7" i="25"/>
  <c r="F29" i="24"/>
  <c r="M27" i="24"/>
  <c r="D27" i="24"/>
  <c r="M26" i="24"/>
  <c r="D26" i="24"/>
  <c r="M25" i="24"/>
  <c r="D25" i="24"/>
  <c r="M24" i="24"/>
  <c r="D24" i="24"/>
  <c r="M23" i="24"/>
  <c r="D23" i="24"/>
  <c r="M18" i="24"/>
  <c r="D18" i="24"/>
  <c r="M17" i="24"/>
  <c r="D17" i="24"/>
  <c r="M16" i="24"/>
  <c r="D16" i="24"/>
  <c r="M15" i="24"/>
  <c r="D15" i="24"/>
  <c r="M14" i="24"/>
  <c r="D14" i="24"/>
  <c r="D10" i="24"/>
  <c r="D9" i="24"/>
  <c r="D8" i="24"/>
  <c r="D7" i="24"/>
  <c r="F29" i="21"/>
  <c r="M27" i="21"/>
  <c r="D27" i="21"/>
  <c r="M26" i="21"/>
  <c r="D26" i="21"/>
  <c r="M25" i="21"/>
  <c r="D25" i="21"/>
  <c r="M24" i="21"/>
  <c r="D24" i="21"/>
  <c r="M23" i="21"/>
  <c r="D23" i="21"/>
  <c r="M18" i="21"/>
  <c r="D18" i="21"/>
  <c r="M17" i="21"/>
  <c r="D17" i="21"/>
  <c r="M16" i="21"/>
  <c r="D16" i="21"/>
  <c r="M15" i="21"/>
  <c r="D15" i="21"/>
  <c r="M14" i="21"/>
  <c r="D14" i="21"/>
  <c r="D10" i="21"/>
  <c r="D9" i="21"/>
  <c r="D8" i="21"/>
  <c r="D7" i="21"/>
  <c r="F29" i="20"/>
  <c r="M27" i="20"/>
  <c r="D27" i="20"/>
  <c r="M26" i="20"/>
  <c r="D26" i="20"/>
  <c r="M25" i="20"/>
  <c r="D25" i="20"/>
  <c r="M24" i="20"/>
  <c r="D24" i="20"/>
  <c r="M23" i="20"/>
  <c r="D23" i="20"/>
  <c r="M18" i="20"/>
  <c r="D18" i="20"/>
  <c r="M17" i="20"/>
  <c r="D17" i="20"/>
  <c r="M16" i="20"/>
  <c r="D16" i="20"/>
  <c r="M15" i="20"/>
  <c r="D15" i="20"/>
  <c r="M14" i="20"/>
  <c r="D14" i="20"/>
  <c r="D10" i="20"/>
  <c r="D9" i="20"/>
  <c r="D8" i="20"/>
  <c r="D7" i="20"/>
  <c r="F29" i="19"/>
  <c r="M27" i="19"/>
  <c r="D27" i="19"/>
  <c r="M26" i="19"/>
  <c r="D26" i="19"/>
  <c r="M25" i="19"/>
  <c r="D25" i="19"/>
  <c r="M24" i="19"/>
  <c r="D24" i="19"/>
  <c r="M23" i="19"/>
  <c r="M29" i="19" s="1"/>
  <c r="D23" i="19"/>
  <c r="M18" i="19"/>
  <c r="D18" i="19"/>
  <c r="M17" i="19"/>
  <c r="D17" i="19"/>
  <c r="M16" i="19"/>
  <c r="D16" i="19"/>
  <c r="M15" i="19"/>
  <c r="D15" i="19"/>
  <c r="M14" i="19"/>
  <c r="D14" i="19"/>
  <c r="D10" i="19"/>
  <c r="D9" i="19"/>
  <c r="D8" i="19"/>
  <c r="D7" i="19"/>
  <c r="F29" i="18"/>
  <c r="M27" i="18"/>
  <c r="D27" i="18"/>
  <c r="M26" i="18"/>
  <c r="D26" i="18"/>
  <c r="M25" i="18"/>
  <c r="D25" i="18"/>
  <c r="M24" i="18"/>
  <c r="D24" i="18"/>
  <c r="M23" i="18"/>
  <c r="D23" i="18"/>
  <c r="M18" i="18"/>
  <c r="D18" i="18"/>
  <c r="M17" i="18"/>
  <c r="D17" i="18"/>
  <c r="M16" i="18"/>
  <c r="D16" i="18"/>
  <c r="M15" i="18"/>
  <c r="D15" i="18"/>
  <c r="M14" i="18"/>
  <c r="M20" i="18" s="1"/>
  <c r="P21" i="18" s="1"/>
  <c r="D14" i="18"/>
  <c r="D10" i="18"/>
  <c r="D9" i="18"/>
  <c r="D8" i="18"/>
  <c r="D7" i="18"/>
  <c r="F29" i="15"/>
  <c r="M27" i="15"/>
  <c r="D27" i="15"/>
  <c r="M26" i="15"/>
  <c r="D26" i="15"/>
  <c r="M25" i="15"/>
  <c r="D25" i="15"/>
  <c r="M24" i="15"/>
  <c r="D24" i="15"/>
  <c r="M23" i="15"/>
  <c r="D23" i="15"/>
  <c r="M18" i="15"/>
  <c r="D18" i="15"/>
  <c r="M17" i="15"/>
  <c r="D17" i="15"/>
  <c r="M16" i="15"/>
  <c r="D16" i="15"/>
  <c r="M15" i="15"/>
  <c r="D15" i="15"/>
  <c r="M14" i="15"/>
  <c r="D14" i="15"/>
  <c r="D20" i="15" s="1"/>
  <c r="D10" i="15"/>
  <c r="D9" i="15"/>
  <c r="D8" i="15"/>
  <c r="D7" i="15"/>
  <c r="F29" i="14"/>
  <c r="M27" i="14"/>
  <c r="D27" i="14"/>
  <c r="M26" i="14"/>
  <c r="D26" i="14"/>
  <c r="M25" i="14"/>
  <c r="D25" i="14"/>
  <c r="M24" i="14"/>
  <c r="D24" i="14"/>
  <c r="M23" i="14"/>
  <c r="D23" i="14"/>
  <c r="M18" i="14"/>
  <c r="D18" i="14"/>
  <c r="M17" i="14"/>
  <c r="D17" i="14"/>
  <c r="M16" i="14"/>
  <c r="D16" i="14"/>
  <c r="M15" i="14"/>
  <c r="D15" i="14"/>
  <c r="M14" i="14"/>
  <c r="D14" i="14"/>
  <c r="D10" i="14"/>
  <c r="D9" i="14"/>
  <c r="D8" i="14"/>
  <c r="D7" i="14"/>
  <c r="F29" i="13"/>
  <c r="M27" i="13"/>
  <c r="D27" i="13"/>
  <c r="M26" i="13"/>
  <c r="D26" i="13"/>
  <c r="M25" i="13"/>
  <c r="D25" i="13"/>
  <c r="M24" i="13"/>
  <c r="D24" i="13"/>
  <c r="M23" i="13"/>
  <c r="D23" i="13"/>
  <c r="M18" i="13"/>
  <c r="D18" i="13"/>
  <c r="M17" i="13"/>
  <c r="D17" i="13"/>
  <c r="M16" i="13"/>
  <c r="D16" i="13"/>
  <c r="M15" i="13"/>
  <c r="D15" i="13"/>
  <c r="M14" i="13"/>
  <c r="D14" i="13"/>
  <c r="D10" i="13"/>
  <c r="D9" i="13"/>
  <c r="D8" i="13"/>
  <c r="D7" i="13"/>
  <c r="F29" i="12"/>
  <c r="M27" i="12"/>
  <c r="D27" i="12"/>
  <c r="M26" i="12"/>
  <c r="D26" i="12"/>
  <c r="M25" i="12"/>
  <c r="D25" i="12"/>
  <c r="M24" i="12"/>
  <c r="D24" i="12"/>
  <c r="M23" i="12"/>
  <c r="D23" i="12"/>
  <c r="M18" i="12"/>
  <c r="D18" i="12"/>
  <c r="M17" i="12"/>
  <c r="D17" i="12"/>
  <c r="M16" i="12"/>
  <c r="D16" i="12"/>
  <c r="M15" i="12"/>
  <c r="D15" i="12"/>
  <c r="M14" i="12"/>
  <c r="D14" i="12"/>
  <c r="D10" i="12"/>
  <c r="D9" i="12"/>
  <c r="D8" i="12"/>
  <c r="D7" i="12"/>
  <c r="F29" i="11"/>
  <c r="M27" i="11"/>
  <c r="D27" i="11"/>
  <c r="M26" i="11"/>
  <c r="D26" i="11"/>
  <c r="M25" i="11"/>
  <c r="D25" i="11"/>
  <c r="M24" i="11"/>
  <c r="D24" i="11"/>
  <c r="M23" i="11"/>
  <c r="D23" i="11"/>
  <c r="M18" i="11"/>
  <c r="D18" i="11"/>
  <c r="M17" i="11"/>
  <c r="D17" i="11"/>
  <c r="M16" i="11"/>
  <c r="D16" i="11"/>
  <c r="M15" i="11"/>
  <c r="D15" i="11"/>
  <c r="M14" i="11"/>
  <c r="D14" i="11"/>
  <c r="D10" i="11"/>
  <c r="D9" i="11"/>
  <c r="D8" i="11"/>
  <c r="D7" i="11"/>
  <c r="F29" i="10"/>
  <c r="M27" i="10"/>
  <c r="D27" i="10"/>
  <c r="M26" i="10"/>
  <c r="D26" i="10"/>
  <c r="M25" i="10"/>
  <c r="D25" i="10"/>
  <c r="M24" i="10"/>
  <c r="D24" i="10"/>
  <c r="M23" i="10"/>
  <c r="D23" i="10"/>
  <c r="M18" i="10"/>
  <c r="D18" i="10"/>
  <c r="M17" i="10"/>
  <c r="D17" i="10"/>
  <c r="M16" i="10"/>
  <c r="D16" i="10"/>
  <c r="M15" i="10"/>
  <c r="D15" i="10"/>
  <c r="M14" i="10"/>
  <c r="D14" i="10"/>
  <c r="D10" i="10"/>
  <c r="D9" i="10"/>
  <c r="D8" i="10"/>
  <c r="D7" i="10"/>
  <c r="F29" i="7"/>
  <c r="M27" i="7"/>
  <c r="D27" i="7"/>
  <c r="M26" i="7"/>
  <c r="D26" i="7"/>
  <c r="M25" i="7"/>
  <c r="D25" i="7"/>
  <c r="M24" i="7"/>
  <c r="D24" i="7"/>
  <c r="M23" i="7"/>
  <c r="D23" i="7"/>
  <c r="M18" i="7"/>
  <c r="D18" i="7"/>
  <c r="M17" i="7"/>
  <c r="D17" i="7"/>
  <c r="M16" i="7"/>
  <c r="D16" i="7"/>
  <c r="M15" i="7"/>
  <c r="D15" i="7"/>
  <c r="M14" i="7"/>
  <c r="D14" i="7"/>
  <c r="D10" i="7"/>
  <c r="D9" i="7"/>
  <c r="D8" i="7"/>
  <c r="D7" i="7"/>
  <c r="F29" i="6"/>
  <c r="M27" i="6"/>
  <c r="D27" i="6"/>
  <c r="M26" i="6"/>
  <c r="D26" i="6"/>
  <c r="M25" i="6"/>
  <c r="D25" i="6"/>
  <c r="M24" i="6"/>
  <c r="D24" i="6"/>
  <c r="M23" i="6"/>
  <c r="D23" i="6"/>
  <c r="M18" i="6"/>
  <c r="D18" i="6"/>
  <c r="M17" i="6"/>
  <c r="D17" i="6"/>
  <c r="M16" i="6"/>
  <c r="D16" i="6"/>
  <c r="M15" i="6"/>
  <c r="D15" i="6"/>
  <c r="M14" i="6"/>
  <c r="D14" i="6"/>
  <c r="D10" i="6"/>
  <c r="D9" i="6"/>
  <c r="D8" i="6"/>
  <c r="D7" i="6"/>
  <c r="F29" i="5"/>
  <c r="M27" i="5"/>
  <c r="D27" i="5"/>
  <c r="M26" i="5"/>
  <c r="D26" i="5"/>
  <c r="M25" i="5"/>
  <c r="D25" i="5"/>
  <c r="M24" i="5"/>
  <c r="D24" i="5"/>
  <c r="M23" i="5"/>
  <c r="D23" i="5"/>
  <c r="M18" i="5"/>
  <c r="D18" i="5"/>
  <c r="M17" i="5"/>
  <c r="D17" i="5"/>
  <c r="M16" i="5"/>
  <c r="D16" i="5"/>
  <c r="M15" i="5"/>
  <c r="D15" i="5"/>
  <c r="M14" i="5"/>
  <c r="D14" i="5"/>
  <c r="D10" i="5"/>
  <c r="D9" i="5"/>
  <c r="D8" i="5"/>
  <c r="D7" i="5"/>
  <c r="F29" i="4"/>
  <c r="M27" i="4"/>
  <c r="D27" i="4"/>
  <c r="M26" i="4"/>
  <c r="D26" i="4"/>
  <c r="M25" i="4"/>
  <c r="D25" i="4"/>
  <c r="M24" i="4"/>
  <c r="D24" i="4"/>
  <c r="M23" i="4"/>
  <c r="D23" i="4"/>
  <c r="M18" i="4"/>
  <c r="D18" i="4"/>
  <c r="M17" i="4"/>
  <c r="D17" i="4"/>
  <c r="M16" i="4"/>
  <c r="D16" i="4"/>
  <c r="M15" i="4"/>
  <c r="D15" i="4"/>
  <c r="M14" i="4"/>
  <c r="D14" i="4"/>
  <c r="D10" i="4"/>
  <c r="D9" i="4"/>
  <c r="D8" i="4"/>
  <c r="D7" i="4"/>
  <c r="F29" i="3"/>
  <c r="M27" i="3"/>
  <c r="D27" i="3"/>
  <c r="M26" i="3"/>
  <c r="D26" i="3"/>
  <c r="M25" i="3"/>
  <c r="D25" i="3"/>
  <c r="M24" i="3"/>
  <c r="D24" i="3"/>
  <c r="M23" i="3"/>
  <c r="D23" i="3"/>
  <c r="M18" i="3"/>
  <c r="D18" i="3"/>
  <c r="M17" i="3"/>
  <c r="D17" i="3"/>
  <c r="M16" i="3"/>
  <c r="D16" i="3"/>
  <c r="M15" i="3"/>
  <c r="D15" i="3"/>
  <c r="M14" i="3"/>
  <c r="D14" i="3"/>
  <c r="D10" i="3"/>
  <c r="D9" i="3"/>
  <c r="D8" i="3"/>
  <c r="D7" i="3"/>
  <c r="F29" i="2"/>
  <c r="M27" i="2"/>
  <c r="D27" i="2"/>
  <c r="M26" i="2"/>
  <c r="D26" i="2"/>
  <c r="M25" i="2"/>
  <c r="D25" i="2"/>
  <c r="M24" i="2"/>
  <c r="D24" i="2"/>
  <c r="M23" i="2"/>
  <c r="D23" i="2"/>
  <c r="M18" i="2"/>
  <c r="D18" i="2"/>
  <c r="M17" i="2"/>
  <c r="D17" i="2"/>
  <c r="M16" i="2"/>
  <c r="D16" i="2"/>
  <c r="M15" i="2"/>
  <c r="D15" i="2"/>
  <c r="M14" i="2"/>
  <c r="D14" i="2"/>
  <c r="D10" i="2"/>
  <c r="D9" i="2"/>
  <c r="E9" i="2" s="1"/>
  <c r="G9" i="2" s="1"/>
  <c r="H9" i="2" s="1"/>
  <c r="D8" i="2"/>
  <c r="D7" i="2"/>
  <c r="G2" i="2"/>
  <c r="G3" i="2"/>
  <c r="O3" i="2"/>
  <c r="E5" i="2"/>
  <c r="B11" i="2"/>
  <c r="B20" i="2"/>
  <c r="M30" i="34" l="1"/>
  <c r="L29" i="33"/>
  <c r="J29" i="33"/>
  <c r="J30" i="33" s="1"/>
  <c r="M30" i="33" s="1"/>
  <c r="N30" i="33"/>
  <c r="L17" i="34"/>
  <c r="L20" i="34" s="1"/>
  <c r="J20" i="34"/>
  <c r="J21" i="34" s="1"/>
  <c r="J20" i="33"/>
  <c r="J21" i="33" s="1"/>
  <c r="BJ11" i="33" s="1"/>
  <c r="L20" i="33"/>
  <c r="CA11" i="34"/>
  <c r="CC11" i="34" s="1"/>
  <c r="CB11" i="34"/>
  <c r="AD11" i="34"/>
  <c r="AC11" i="34"/>
  <c r="AR11" i="34"/>
  <c r="AJ11" i="34"/>
  <c r="AP11" i="34"/>
  <c r="AO11" i="34"/>
  <c r="AQ11" i="34" s="1"/>
  <c r="AH11" i="34"/>
  <c r="AG11" i="34"/>
  <c r="AI11" i="34" s="1"/>
  <c r="N11" i="33"/>
  <c r="O11" i="33"/>
  <c r="AH11" i="33"/>
  <c r="AG11" i="33"/>
  <c r="AI11" i="33" s="1"/>
  <c r="AB11" i="33"/>
  <c r="AV11" i="33"/>
  <c r="AW11" i="33" s="1"/>
  <c r="AP11" i="33"/>
  <c r="AO11" i="33"/>
  <c r="AQ11" i="33" s="1"/>
  <c r="M29" i="24"/>
  <c r="BO11" i="31"/>
  <c r="E17" i="2"/>
  <c r="G17" i="2" s="1"/>
  <c r="H17" i="2" s="1"/>
  <c r="E25" i="2"/>
  <c r="G25" i="2" s="1"/>
  <c r="H25" i="2" s="1"/>
  <c r="M20" i="29"/>
  <c r="P21" i="29" s="1"/>
  <c r="M20" i="26"/>
  <c r="P21" i="26" s="1"/>
  <c r="M20" i="4"/>
  <c r="M20" i="6"/>
  <c r="P21" i="6" s="1"/>
  <c r="M29" i="20"/>
  <c r="E10" i="2"/>
  <c r="G10" i="2" s="1"/>
  <c r="H10" i="2" s="1"/>
  <c r="E27" i="2"/>
  <c r="G27" i="2" s="1"/>
  <c r="H27" i="2" s="1"/>
  <c r="D20" i="2"/>
  <c r="E16" i="2"/>
  <c r="G16" i="2" s="1"/>
  <c r="H16" i="2" s="1"/>
  <c r="E7" i="2"/>
  <c r="G7" i="2" s="1"/>
  <c r="D29" i="15"/>
  <c r="D29" i="2"/>
  <c r="D29" i="5"/>
  <c r="D29" i="7"/>
  <c r="E23" i="2"/>
  <c r="G23" i="2" s="1"/>
  <c r="H23" i="2" s="1"/>
  <c r="D20" i="21"/>
  <c r="D20" i="31"/>
  <c r="D29" i="29"/>
  <c r="E15" i="2"/>
  <c r="G15" i="2" s="1"/>
  <c r="H15" i="2" s="1"/>
  <c r="M20" i="2"/>
  <c r="P21" i="2" s="1"/>
  <c r="D20" i="19"/>
  <c r="D29" i="26"/>
  <c r="E26" i="2"/>
  <c r="G26" i="2" s="1"/>
  <c r="H26" i="2" s="1"/>
  <c r="M29" i="2"/>
  <c r="P30" i="2" s="1"/>
  <c r="D29" i="6"/>
  <c r="E8" i="2"/>
  <c r="G8" i="2" s="1"/>
  <c r="H8" i="2" s="1"/>
  <c r="E18" i="2"/>
  <c r="G18" i="2" s="1"/>
  <c r="H18" i="2" s="1"/>
  <c r="D29" i="4"/>
  <c r="E24" i="2"/>
  <c r="G24" i="2" s="1"/>
  <c r="C24" i="2" s="1"/>
  <c r="M20" i="11"/>
  <c r="P21" i="11" s="1"/>
  <c r="M20" i="3"/>
  <c r="P21" i="3" s="1"/>
  <c r="M29" i="3"/>
  <c r="P30" i="3" s="1"/>
  <c r="M20" i="5"/>
  <c r="M20" i="7"/>
  <c r="P21" i="7" s="1"/>
  <c r="D20" i="20"/>
  <c r="D20" i="25"/>
  <c r="D29" i="30"/>
  <c r="M29" i="4"/>
  <c r="BN11" i="4" s="1"/>
  <c r="M29" i="5"/>
  <c r="BN11" i="5" s="1"/>
  <c r="M29" i="6"/>
  <c r="P30" i="6" s="1"/>
  <c r="M29" i="7"/>
  <c r="D20" i="10"/>
  <c r="M20" i="15"/>
  <c r="P21" i="15" s="1"/>
  <c r="M29" i="15"/>
  <c r="M20" i="19"/>
  <c r="P21" i="19" s="1"/>
  <c r="D29" i="19"/>
  <c r="D29" i="20"/>
  <c r="M20" i="21"/>
  <c r="P21" i="21" s="1"/>
  <c r="D29" i="24"/>
  <c r="M20" i="25"/>
  <c r="P21" i="25" s="1"/>
  <c r="D29" i="25"/>
  <c r="M20" i="31"/>
  <c r="D29" i="31"/>
  <c r="M20" i="30"/>
  <c r="P21" i="30" s="1"/>
  <c r="M29" i="30"/>
  <c r="M29" i="26"/>
  <c r="P30" i="26" s="1"/>
  <c r="M20" i="10"/>
  <c r="P21" i="10" s="1"/>
  <c r="D29" i="10"/>
  <c r="D29" i="11"/>
  <c r="M20" i="27"/>
  <c r="P21" i="27" s="1"/>
  <c r="M29" i="28"/>
  <c r="M29" i="11"/>
  <c r="D29" i="12"/>
  <c r="D29" i="13"/>
  <c r="D29" i="18"/>
  <c r="M29" i="21"/>
  <c r="M29" i="27"/>
  <c r="D20" i="6"/>
  <c r="D20" i="7"/>
  <c r="M20" i="20"/>
  <c r="P21" i="20" s="1"/>
  <c r="M20" i="24"/>
  <c r="P21" i="24" s="1"/>
  <c r="M20" i="28"/>
  <c r="M29" i="29"/>
  <c r="P30" i="29" s="1"/>
  <c r="M29" i="10"/>
  <c r="P30" i="10" s="1"/>
  <c r="M20" i="13"/>
  <c r="P21" i="13" s="1"/>
  <c r="D20" i="14"/>
  <c r="M29" i="18"/>
  <c r="M20" i="12"/>
  <c r="P21" i="12" s="1"/>
  <c r="M29" i="12"/>
  <c r="M29" i="13"/>
  <c r="P30" i="13" s="1"/>
  <c r="M20" i="14"/>
  <c r="P21" i="14" s="1"/>
  <c r="M29" i="14"/>
  <c r="P30" i="14" s="1"/>
  <c r="D29" i="21"/>
  <c r="D29" i="27"/>
  <c r="D20" i="1"/>
  <c r="D20" i="29"/>
  <c r="D20" i="28"/>
  <c r="D29" i="28"/>
  <c r="P30" i="27"/>
  <c r="D20" i="27"/>
  <c r="D20" i="26"/>
  <c r="P30" i="30"/>
  <c r="D20" i="30"/>
  <c r="P30" i="31"/>
  <c r="BR11" i="31" s="1"/>
  <c r="P30" i="25"/>
  <c r="P30" i="24"/>
  <c r="D20" i="24"/>
  <c r="P30" i="21"/>
  <c r="P30" i="20"/>
  <c r="P30" i="19"/>
  <c r="P30" i="18"/>
  <c r="D20" i="18"/>
  <c r="P30" i="15"/>
  <c r="D29" i="14"/>
  <c r="D20" i="13"/>
  <c r="P30" i="12"/>
  <c r="D20" i="12"/>
  <c r="P30" i="11"/>
  <c r="D20" i="11"/>
  <c r="P30" i="7"/>
  <c r="P30" i="5"/>
  <c r="BR11" i="5" s="1"/>
  <c r="D20" i="5"/>
  <c r="D20" i="4"/>
  <c r="D29" i="3"/>
  <c r="D20" i="3"/>
  <c r="E14" i="2"/>
  <c r="B34" i="32"/>
  <c r="B35" i="32"/>
  <c r="B36" i="32" s="1"/>
  <c r="B56" i="32"/>
  <c r="B57" i="32"/>
  <c r="B58" i="32" s="1"/>
  <c r="BZ11" i="33" l="1"/>
  <c r="CA11" i="33" s="1"/>
  <c r="CC11" i="33" s="1"/>
  <c r="M21" i="33"/>
  <c r="BJ11" i="34"/>
  <c r="M21" i="34"/>
  <c r="AE11" i="34"/>
  <c r="AS11" i="34"/>
  <c r="AK11" i="34"/>
  <c r="AT11" i="34"/>
  <c r="AL11" i="34"/>
  <c r="AD11" i="33"/>
  <c r="AC11" i="33"/>
  <c r="AJ11" i="33"/>
  <c r="AR11" i="33"/>
  <c r="BK11" i="33"/>
  <c r="BM11" i="33" s="1"/>
  <c r="BL11" i="33"/>
  <c r="G29" i="2"/>
  <c r="H24" i="2"/>
  <c r="H29" i="2" s="1"/>
  <c r="P21" i="4"/>
  <c r="BB11" i="4" s="1"/>
  <c r="AX11" i="4"/>
  <c r="C25" i="2"/>
  <c r="BS11" i="31"/>
  <c r="P30" i="4"/>
  <c r="BR11" i="4" s="1"/>
  <c r="P21" i="31"/>
  <c r="BB11" i="31" s="1"/>
  <c r="AX11" i="31"/>
  <c r="C15" i="2"/>
  <c r="I16" i="2" s="1"/>
  <c r="C16" i="2"/>
  <c r="E29" i="2"/>
  <c r="P21" i="5"/>
  <c r="BB11" i="5" s="1"/>
  <c r="AX11" i="5"/>
  <c r="P30" i="28"/>
  <c r="BR11" i="28" s="1"/>
  <c r="BN11" i="28"/>
  <c r="G11" i="2"/>
  <c r="H7" i="2"/>
  <c r="H11" i="2" s="1"/>
  <c r="E11" i="2"/>
  <c r="P21" i="28"/>
  <c r="BB11" i="28" s="1"/>
  <c r="AX11" i="28"/>
  <c r="G14" i="2"/>
  <c r="E20" i="2"/>
  <c r="I26" i="2"/>
  <c r="I27" i="2"/>
  <c r="I25" i="2"/>
  <c r="I23" i="2"/>
  <c r="I24" i="2"/>
  <c r="CI11" i="13"/>
  <c r="CJ11" i="13"/>
  <c r="CK11" i="13"/>
  <c r="CL11" i="13"/>
  <c r="CM11" i="13"/>
  <c r="CN11" i="13"/>
  <c r="CB11" i="33" l="1"/>
  <c r="BL11" i="34"/>
  <c r="BK11" i="34"/>
  <c r="BM11" i="34" s="1"/>
  <c r="AU11" i="34"/>
  <c r="AM11" i="34"/>
  <c r="AS11" i="33"/>
  <c r="AK11" i="33"/>
  <c r="AE11" i="33"/>
  <c r="AT11" i="33"/>
  <c r="AL11" i="33"/>
  <c r="BC11" i="31"/>
  <c r="I18" i="2"/>
  <c r="I17" i="2"/>
  <c r="AY11" i="31"/>
  <c r="I14" i="2"/>
  <c r="I15" i="2"/>
  <c r="H14" i="2"/>
  <c r="H20" i="2" s="1"/>
  <c r="G20" i="2"/>
  <c r="BR112" i="32"/>
  <c r="BR113" i="32" s="1"/>
  <c r="BQ112" i="32"/>
  <c r="BQ113" i="32" s="1"/>
  <c r="BP112" i="32"/>
  <c r="BP113" i="32" s="1"/>
  <c r="BO112" i="32"/>
  <c r="BO113" i="32" s="1"/>
  <c r="BN112" i="32"/>
  <c r="BN113" i="32" s="1"/>
  <c r="BM112" i="32"/>
  <c r="BM113" i="32" s="1"/>
  <c r="BL112" i="32"/>
  <c r="BL113" i="32" s="1"/>
  <c r="BK112" i="32"/>
  <c r="BK113" i="32" s="1"/>
  <c r="BJ112" i="32"/>
  <c r="BJ113" i="32" s="1"/>
  <c r="BI112" i="32"/>
  <c r="BI113" i="32" s="1"/>
  <c r="BH112" i="32"/>
  <c r="BH113" i="32" s="1"/>
  <c r="BG112" i="32"/>
  <c r="BG113" i="32" s="1"/>
  <c r="BF112" i="32"/>
  <c r="BF113" i="32" s="1"/>
  <c r="BE112" i="32"/>
  <c r="BE113" i="32" s="1"/>
  <c r="BD112" i="32"/>
  <c r="BD113" i="32" s="1"/>
  <c r="BC112" i="32"/>
  <c r="BC113" i="32" s="1"/>
  <c r="BB112" i="32"/>
  <c r="BB113" i="32" s="1"/>
  <c r="BA112" i="32"/>
  <c r="BA113" i="32" s="1"/>
  <c r="AZ112" i="32"/>
  <c r="AZ113" i="32" s="1"/>
  <c r="AY112" i="32"/>
  <c r="AY113" i="32" s="1"/>
  <c r="AX112" i="32"/>
  <c r="AX113" i="32" s="1"/>
  <c r="AW112" i="32"/>
  <c r="AW113" i="32" s="1"/>
  <c r="AV112" i="32"/>
  <c r="AV113" i="32" s="1"/>
  <c r="AU112" i="32"/>
  <c r="AU113" i="32" s="1"/>
  <c r="AT112" i="32"/>
  <c r="AT113" i="32" s="1"/>
  <c r="AS112" i="32"/>
  <c r="AS113" i="32" s="1"/>
  <c r="AR112" i="32"/>
  <c r="AR113" i="32" s="1"/>
  <c r="AQ112" i="32"/>
  <c r="AQ113" i="32" s="1"/>
  <c r="AP112" i="32"/>
  <c r="AP113" i="32" s="1"/>
  <c r="AO112" i="32"/>
  <c r="AO113" i="32" s="1"/>
  <c r="AN112" i="32"/>
  <c r="AN113" i="32" s="1"/>
  <c r="AM112" i="32"/>
  <c r="AM113" i="32" s="1"/>
  <c r="AL112" i="32"/>
  <c r="AL113" i="32" s="1"/>
  <c r="AK112" i="32"/>
  <c r="AK113" i="32" s="1"/>
  <c r="AJ112" i="32"/>
  <c r="AJ113" i="32" s="1"/>
  <c r="AI112" i="32"/>
  <c r="AI113" i="32" s="1"/>
  <c r="AH112" i="32"/>
  <c r="AH113" i="32" s="1"/>
  <c r="AG112" i="32"/>
  <c r="AG113" i="32" s="1"/>
  <c r="AF112" i="32"/>
  <c r="AF113" i="32" s="1"/>
  <c r="AE112" i="32"/>
  <c r="AE113" i="32" s="1"/>
  <c r="AD112" i="32"/>
  <c r="AD113" i="32" s="1"/>
  <c r="AC112" i="32"/>
  <c r="AC113" i="32" s="1"/>
  <c r="AB112" i="32"/>
  <c r="AB113" i="32" s="1"/>
  <c r="AA112" i="32"/>
  <c r="AA113" i="32" s="1"/>
  <c r="Z112" i="32"/>
  <c r="Z113" i="32" s="1"/>
  <c r="Y112" i="32"/>
  <c r="Y113" i="32" s="1"/>
  <c r="X112" i="32"/>
  <c r="X113" i="32" s="1"/>
  <c r="W112" i="32"/>
  <c r="W113" i="32" s="1"/>
  <c r="V112" i="32"/>
  <c r="V113" i="32" s="1"/>
  <c r="U112" i="32"/>
  <c r="U113" i="32" s="1"/>
  <c r="T112" i="32"/>
  <c r="T113" i="32" s="1"/>
  <c r="S112" i="32"/>
  <c r="S113" i="32" s="1"/>
  <c r="R112" i="32"/>
  <c r="R113" i="32" s="1"/>
  <c r="Q112" i="32"/>
  <c r="Q113" i="32" s="1"/>
  <c r="P112" i="32"/>
  <c r="P113" i="32" s="1"/>
  <c r="O112" i="32"/>
  <c r="O113" i="32" s="1"/>
  <c r="N112" i="32"/>
  <c r="N113" i="32" s="1"/>
  <c r="M112" i="32"/>
  <c r="M113" i="32" s="1"/>
  <c r="L112" i="32"/>
  <c r="L113" i="32" s="1"/>
  <c r="K112" i="32"/>
  <c r="K113" i="32" s="1"/>
  <c r="J112" i="32"/>
  <c r="J113" i="32" s="1"/>
  <c r="I112" i="32"/>
  <c r="I113" i="32" s="1"/>
  <c r="H112" i="32"/>
  <c r="H113" i="32" s="1"/>
  <c r="G112" i="32"/>
  <c r="G113" i="32" s="1"/>
  <c r="F112" i="32"/>
  <c r="F113" i="32" s="1"/>
  <c r="E112" i="32"/>
  <c r="E113" i="32" s="1"/>
  <c r="D112" i="32"/>
  <c r="D113" i="32" s="1"/>
  <c r="C112" i="32"/>
  <c r="C113" i="32" s="1"/>
  <c r="B112" i="32"/>
  <c r="B113" i="32" s="1"/>
  <c r="BR111" i="32"/>
  <c r="BQ111" i="32"/>
  <c r="BP111" i="32"/>
  <c r="BO111" i="32"/>
  <c r="BN111" i="32"/>
  <c r="BM111" i="32"/>
  <c r="BL111" i="32"/>
  <c r="BK111" i="32"/>
  <c r="BJ111" i="32"/>
  <c r="BI111" i="32"/>
  <c r="BH111" i="32"/>
  <c r="BG111" i="32"/>
  <c r="BF111" i="32"/>
  <c r="BE111" i="32"/>
  <c r="BD111" i="32"/>
  <c r="BC111" i="32"/>
  <c r="BB111" i="32"/>
  <c r="BA111" i="32"/>
  <c r="AZ111" i="32"/>
  <c r="AY111" i="32"/>
  <c r="AX111" i="32"/>
  <c r="AW111" i="32"/>
  <c r="AV111" i="32"/>
  <c r="AU111" i="32"/>
  <c r="AT111" i="32"/>
  <c r="AS111" i="32"/>
  <c r="AR111" i="32"/>
  <c r="AQ111" i="32"/>
  <c r="AP111" i="32"/>
  <c r="AO111" i="32"/>
  <c r="AN111" i="32"/>
  <c r="AM111" i="32"/>
  <c r="AL111" i="32"/>
  <c r="AK111" i="32"/>
  <c r="AJ111" i="32"/>
  <c r="AI111" i="32"/>
  <c r="AH111" i="32"/>
  <c r="AG111" i="32"/>
  <c r="AF111" i="32"/>
  <c r="AE111" i="32"/>
  <c r="AD111" i="32"/>
  <c r="AC111" i="32"/>
  <c r="AB111" i="32"/>
  <c r="AA111" i="32"/>
  <c r="Z111" i="32"/>
  <c r="Y111" i="32"/>
  <c r="X111" i="32"/>
  <c r="W111" i="32"/>
  <c r="V111" i="32"/>
  <c r="U111" i="32"/>
  <c r="T111" i="32"/>
  <c r="S111" i="32"/>
  <c r="R111" i="32"/>
  <c r="Q111" i="32"/>
  <c r="P111" i="32"/>
  <c r="O111" i="32"/>
  <c r="N111" i="32"/>
  <c r="M111" i="32"/>
  <c r="L111" i="32"/>
  <c r="K111" i="32"/>
  <c r="J111" i="32"/>
  <c r="I111" i="32"/>
  <c r="H111" i="32"/>
  <c r="G111" i="32"/>
  <c r="F111" i="32"/>
  <c r="E111" i="32"/>
  <c r="D111" i="32"/>
  <c r="C111" i="32"/>
  <c r="B111" i="32"/>
  <c r="BR95" i="32"/>
  <c r="BR96" i="32" s="1"/>
  <c r="BQ95" i="32"/>
  <c r="BQ96" i="32" s="1"/>
  <c r="BP95" i="32"/>
  <c r="BP96" i="32" s="1"/>
  <c r="BO95" i="32"/>
  <c r="BO96" i="32" s="1"/>
  <c r="BN95" i="32"/>
  <c r="BN96" i="32" s="1"/>
  <c r="BM95" i="32"/>
  <c r="BM96" i="32" s="1"/>
  <c r="BL95" i="32"/>
  <c r="BL96" i="32" s="1"/>
  <c r="BK95" i="32"/>
  <c r="BK96" i="32" s="1"/>
  <c r="BJ95" i="32"/>
  <c r="BJ96" i="32" s="1"/>
  <c r="BI95" i="32"/>
  <c r="BI96" i="32" s="1"/>
  <c r="BH95" i="32"/>
  <c r="BH96" i="32" s="1"/>
  <c r="BG95" i="32"/>
  <c r="BG96" i="32" s="1"/>
  <c r="BF95" i="32"/>
  <c r="BF96" i="32" s="1"/>
  <c r="BE95" i="32"/>
  <c r="BE96" i="32" s="1"/>
  <c r="BD95" i="32"/>
  <c r="BD96" i="32" s="1"/>
  <c r="BC95" i="32"/>
  <c r="BC96" i="32" s="1"/>
  <c r="BB95" i="32"/>
  <c r="BB96" i="32" s="1"/>
  <c r="BA95" i="32"/>
  <c r="BA96" i="32" s="1"/>
  <c r="AZ95" i="32"/>
  <c r="AZ96" i="32" s="1"/>
  <c r="AY95" i="32"/>
  <c r="AY96" i="32" s="1"/>
  <c r="AX95" i="32"/>
  <c r="AX96" i="32" s="1"/>
  <c r="AW95" i="32"/>
  <c r="AW96" i="32" s="1"/>
  <c r="AV95" i="32"/>
  <c r="AV96" i="32" s="1"/>
  <c r="AU95" i="32"/>
  <c r="AU96" i="32" s="1"/>
  <c r="AT95" i="32"/>
  <c r="AT96" i="32" s="1"/>
  <c r="AS95" i="32"/>
  <c r="AS96" i="32" s="1"/>
  <c r="AR95" i="32"/>
  <c r="AR96" i="32" s="1"/>
  <c r="AQ95" i="32"/>
  <c r="AQ96" i="32" s="1"/>
  <c r="AP95" i="32"/>
  <c r="AP96" i="32" s="1"/>
  <c r="AO95" i="32"/>
  <c r="AO96" i="32" s="1"/>
  <c r="AN95" i="32"/>
  <c r="AN96" i="32" s="1"/>
  <c r="AM95" i="32"/>
  <c r="AM96" i="32" s="1"/>
  <c r="AL95" i="32"/>
  <c r="AL96" i="32" s="1"/>
  <c r="AK95" i="32"/>
  <c r="AK96" i="32" s="1"/>
  <c r="AJ95" i="32"/>
  <c r="AJ96" i="32" s="1"/>
  <c r="AI95" i="32"/>
  <c r="AI96" i="32" s="1"/>
  <c r="AH95" i="32"/>
  <c r="AH96" i="32" s="1"/>
  <c r="AG95" i="32"/>
  <c r="AG96" i="32" s="1"/>
  <c r="AF95" i="32"/>
  <c r="AF96" i="32" s="1"/>
  <c r="AE95" i="32"/>
  <c r="AE96" i="32" s="1"/>
  <c r="AD95" i="32"/>
  <c r="AD96" i="32" s="1"/>
  <c r="AC95" i="32"/>
  <c r="AC96" i="32" s="1"/>
  <c r="AB95" i="32"/>
  <c r="AB96" i="32" s="1"/>
  <c r="AA95" i="32"/>
  <c r="AA96" i="32" s="1"/>
  <c r="Z95" i="32"/>
  <c r="Z96" i="32" s="1"/>
  <c r="Y95" i="32"/>
  <c r="Y96" i="32" s="1"/>
  <c r="X95" i="32"/>
  <c r="X96" i="32" s="1"/>
  <c r="W95" i="32"/>
  <c r="W96" i="32" s="1"/>
  <c r="V95" i="32"/>
  <c r="V96" i="32" s="1"/>
  <c r="U95" i="32"/>
  <c r="U96" i="32" s="1"/>
  <c r="T95" i="32"/>
  <c r="T96" i="32" s="1"/>
  <c r="S95" i="32"/>
  <c r="S96" i="32" s="1"/>
  <c r="R95" i="32"/>
  <c r="R96" i="32" s="1"/>
  <c r="Q95" i="32"/>
  <c r="Q96" i="32" s="1"/>
  <c r="P95" i="32"/>
  <c r="P96" i="32" s="1"/>
  <c r="O95" i="32"/>
  <c r="O96" i="32" s="1"/>
  <c r="N95" i="32"/>
  <c r="N96" i="32" s="1"/>
  <c r="M95" i="32"/>
  <c r="M96" i="32" s="1"/>
  <c r="L95" i="32"/>
  <c r="L96" i="32" s="1"/>
  <c r="K95" i="32"/>
  <c r="K96" i="32" s="1"/>
  <c r="J95" i="32"/>
  <c r="J96" i="32" s="1"/>
  <c r="I95" i="32"/>
  <c r="I96" i="32" s="1"/>
  <c r="H95" i="32"/>
  <c r="H96" i="32" s="1"/>
  <c r="G95" i="32"/>
  <c r="G96" i="32" s="1"/>
  <c r="F95" i="32"/>
  <c r="F96" i="32" s="1"/>
  <c r="E95" i="32"/>
  <c r="E96" i="32" s="1"/>
  <c r="D95" i="32"/>
  <c r="D96" i="32" s="1"/>
  <c r="C95" i="32"/>
  <c r="C96" i="32" s="1"/>
  <c r="B95" i="32"/>
  <c r="B96" i="32" s="1"/>
  <c r="BR94" i="32"/>
  <c r="BQ94" i="32"/>
  <c r="BP94" i="32"/>
  <c r="BO94" i="32"/>
  <c r="BN94" i="32"/>
  <c r="BM94" i="32"/>
  <c r="BL94" i="32"/>
  <c r="BK94" i="32"/>
  <c r="BJ94" i="32"/>
  <c r="BI94" i="32"/>
  <c r="BH94" i="32"/>
  <c r="BG94" i="32"/>
  <c r="BF94" i="32"/>
  <c r="BE94" i="32"/>
  <c r="BD94" i="32"/>
  <c r="BC94" i="32"/>
  <c r="BB94" i="32"/>
  <c r="BA94" i="32"/>
  <c r="AZ94" i="32"/>
  <c r="AY94" i="32"/>
  <c r="AX94" i="32"/>
  <c r="AW94" i="32"/>
  <c r="AV94" i="32"/>
  <c r="AU94" i="32"/>
  <c r="AT94" i="32"/>
  <c r="AS94" i="32"/>
  <c r="AR94" i="32"/>
  <c r="AQ94" i="32"/>
  <c r="AP94" i="32"/>
  <c r="AO94" i="32"/>
  <c r="AN94" i="32"/>
  <c r="AM94" i="32"/>
  <c r="AL94" i="32"/>
  <c r="AK94" i="32"/>
  <c r="AJ94" i="32"/>
  <c r="AI94" i="32"/>
  <c r="AH94" i="32"/>
  <c r="AG94" i="32"/>
  <c r="AF94" i="32"/>
  <c r="AE94" i="32"/>
  <c r="AD94" i="32"/>
  <c r="AC94" i="32"/>
  <c r="AB94" i="32"/>
  <c r="AA94" i="32"/>
  <c r="Z94" i="32"/>
  <c r="Y94" i="32"/>
  <c r="X94" i="32"/>
  <c r="W94" i="32"/>
  <c r="V94" i="32"/>
  <c r="U94" i="32"/>
  <c r="T94" i="32"/>
  <c r="S94" i="32"/>
  <c r="R94" i="32"/>
  <c r="Q94" i="32"/>
  <c r="P94" i="32"/>
  <c r="O94" i="32"/>
  <c r="N94" i="32"/>
  <c r="M94" i="32"/>
  <c r="L94" i="32"/>
  <c r="K94" i="32"/>
  <c r="J94" i="32"/>
  <c r="I94" i="32"/>
  <c r="H94" i="32"/>
  <c r="G94" i="32"/>
  <c r="F94" i="32"/>
  <c r="E94" i="32"/>
  <c r="D94" i="32"/>
  <c r="C94" i="32"/>
  <c r="B94" i="32"/>
  <c r="BR74" i="32"/>
  <c r="BR75" i="32" s="1"/>
  <c r="BQ74" i="32"/>
  <c r="BQ75" i="32" s="1"/>
  <c r="BP74" i="32"/>
  <c r="BP75" i="32" s="1"/>
  <c r="BO74" i="32"/>
  <c r="BO75" i="32" s="1"/>
  <c r="BN74" i="32"/>
  <c r="BN75" i="32" s="1"/>
  <c r="BM74" i="32"/>
  <c r="BM75" i="32" s="1"/>
  <c r="BL74" i="32"/>
  <c r="BL75" i="32" s="1"/>
  <c r="BK74" i="32"/>
  <c r="BK75" i="32" s="1"/>
  <c r="BJ74" i="32"/>
  <c r="BJ75" i="32" s="1"/>
  <c r="BI74" i="32"/>
  <c r="BI75" i="32" s="1"/>
  <c r="BH74" i="32"/>
  <c r="BH75" i="32" s="1"/>
  <c r="BG74" i="32"/>
  <c r="BG75" i="32" s="1"/>
  <c r="BF74" i="32"/>
  <c r="BF75" i="32" s="1"/>
  <c r="BE74" i="32"/>
  <c r="BE75" i="32" s="1"/>
  <c r="BD74" i="32"/>
  <c r="BD75" i="32" s="1"/>
  <c r="BC74" i="32"/>
  <c r="BC75" i="32" s="1"/>
  <c r="BB74" i="32"/>
  <c r="BB75" i="32" s="1"/>
  <c r="BA74" i="32"/>
  <c r="BA75" i="32" s="1"/>
  <c r="AZ74" i="32"/>
  <c r="AZ75" i="32" s="1"/>
  <c r="AY74" i="32"/>
  <c r="AY75" i="32" s="1"/>
  <c r="AX74" i="32"/>
  <c r="AX75" i="32" s="1"/>
  <c r="AW74" i="32"/>
  <c r="AW75" i="32" s="1"/>
  <c r="AV74" i="32"/>
  <c r="AV75" i="32" s="1"/>
  <c r="AU74" i="32"/>
  <c r="AU75" i="32" s="1"/>
  <c r="AT74" i="32"/>
  <c r="AT75" i="32" s="1"/>
  <c r="AS74" i="32"/>
  <c r="AS75" i="32" s="1"/>
  <c r="AR74" i="32"/>
  <c r="AR75" i="32" s="1"/>
  <c r="AQ74" i="32"/>
  <c r="AQ75" i="32" s="1"/>
  <c r="AP74" i="32"/>
  <c r="AP75" i="32" s="1"/>
  <c r="AO74" i="32"/>
  <c r="AO75" i="32" s="1"/>
  <c r="AN74" i="32"/>
  <c r="AN75" i="32" s="1"/>
  <c r="AM74" i="32"/>
  <c r="AM75" i="32" s="1"/>
  <c r="AL74" i="32"/>
  <c r="AL75" i="32" s="1"/>
  <c r="AK74" i="32"/>
  <c r="AK75" i="32" s="1"/>
  <c r="AJ74" i="32"/>
  <c r="AJ75" i="32" s="1"/>
  <c r="AI74" i="32"/>
  <c r="AI75" i="32" s="1"/>
  <c r="AH74" i="32"/>
  <c r="AH75" i="32" s="1"/>
  <c r="AG74" i="32"/>
  <c r="AG75" i="32" s="1"/>
  <c r="AF74" i="32"/>
  <c r="AF75" i="32" s="1"/>
  <c r="AE74" i="32"/>
  <c r="AE75" i="32" s="1"/>
  <c r="AD74" i="32"/>
  <c r="AD75" i="32" s="1"/>
  <c r="AC74" i="32"/>
  <c r="AC75" i="32" s="1"/>
  <c r="AB74" i="32"/>
  <c r="AB75" i="32" s="1"/>
  <c r="AA74" i="32"/>
  <c r="AA75" i="32" s="1"/>
  <c r="Z74" i="32"/>
  <c r="Z75" i="32" s="1"/>
  <c r="Y74" i="32"/>
  <c r="Y75" i="32" s="1"/>
  <c r="X74" i="32"/>
  <c r="X75" i="32" s="1"/>
  <c r="W74" i="32"/>
  <c r="W75" i="32" s="1"/>
  <c r="V74" i="32"/>
  <c r="V75" i="32" s="1"/>
  <c r="U74" i="32"/>
  <c r="U75" i="32" s="1"/>
  <c r="T74" i="32"/>
  <c r="T75" i="32" s="1"/>
  <c r="S74" i="32"/>
  <c r="S75" i="32" s="1"/>
  <c r="R74" i="32"/>
  <c r="R75" i="32" s="1"/>
  <c r="Q74" i="32"/>
  <c r="Q75" i="32" s="1"/>
  <c r="P74" i="32"/>
  <c r="P75" i="32" s="1"/>
  <c r="O74" i="32"/>
  <c r="O75" i="32" s="1"/>
  <c r="N74" i="32"/>
  <c r="N75" i="32" s="1"/>
  <c r="M74" i="32"/>
  <c r="M75" i="32" s="1"/>
  <c r="L74" i="32"/>
  <c r="L75" i="32" s="1"/>
  <c r="K74" i="32"/>
  <c r="K75" i="32" s="1"/>
  <c r="J74" i="32"/>
  <c r="J75" i="32" s="1"/>
  <c r="I74" i="32"/>
  <c r="I75" i="32" s="1"/>
  <c r="H74" i="32"/>
  <c r="H75" i="32" s="1"/>
  <c r="G74" i="32"/>
  <c r="G75" i="32" s="1"/>
  <c r="F74" i="32"/>
  <c r="F75" i="32" s="1"/>
  <c r="E74" i="32"/>
  <c r="E75" i="32" s="1"/>
  <c r="D74" i="32"/>
  <c r="D75" i="32" s="1"/>
  <c r="C74" i="32"/>
  <c r="C75" i="32" s="1"/>
  <c r="B74" i="32"/>
  <c r="B75" i="32" s="1"/>
  <c r="BR73" i="32"/>
  <c r="BQ73" i="32"/>
  <c r="BP73" i="32"/>
  <c r="BO73" i="32"/>
  <c r="BN73" i="32"/>
  <c r="BM73" i="32"/>
  <c r="BL73" i="32"/>
  <c r="BK73" i="32"/>
  <c r="BJ73" i="32"/>
  <c r="BI73" i="32"/>
  <c r="BH73" i="32"/>
  <c r="BG73" i="32"/>
  <c r="BF73" i="32"/>
  <c r="BE73" i="32"/>
  <c r="BD73" i="32"/>
  <c r="BC73" i="32"/>
  <c r="BB73" i="32"/>
  <c r="BA73" i="32"/>
  <c r="AZ73" i="32"/>
  <c r="AY73" i="32"/>
  <c r="AX73" i="32"/>
  <c r="AW73" i="32"/>
  <c r="AV73" i="32"/>
  <c r="AU73" i="32"/>
  <c r="AT73" i="32"/>
  <c r="AS73" i="32"/>
  <c r="AR73" i="32"/>
  <c r="AQ73" i="32"/>
  <c r="AP73" i="32"/>
  <c r="AO73" i="32"/>
  <c r="AN73" i="32"/>
  <c r="AM73" i="32"/>
  <c r="AL73" i="32"/>
  <c r="AK73" i="32"/>
  <c r="AJ73" i="32"/>
  <c r="AI73" i="32"/>
  <c r="AH73" i="32"/>
  <c r="AG73" i="32"/>
  <c r="AF73" i="32"/>
  <c r="AE73" i="32"/>
  <c r="AD73" i="32"/>
  <c r="AC73" i="32"/>
  <c r="AB73" i="32"/>
  <c r="AA73" i="32"/>
  <c r="Z73" i="32"/>
  <c r="Y73" i="32"/>
  <c r="X73" i="32"/>
  <c r="W73" i="32"/>
  <c r="V73" i="32"/>
  <c r="U73" i="32"/>
  <c r="T73" i="32"/>
  <c r="S73" i="32"/>
  <c r="R73" i="32"/>
  <c r="Q73" i="32"/>
  <c r="P73" i="32"/>
  <c r="O73" i="32"/>
  <c r="N73" i="32"/>
  <c r="M73" i="32"/>
  <c r="L73" i="32"/>
  <c r="K73" i="32"/>
  <c r="J73" i="32"/>
  <c r="I73" i="32"/>
  <c r="H73" i="32"/>
  <c r="G73" i="32"/>
  <c r="F73" i="32"/>
  <c r="E73" i="32"/>
  <c r="D73" i="32"/>
  <c r="C73" i="32"/>
  <c r="B73" i="32"/>
  <c r="BR57" i="32"/>
  <c r="BR58" i="32" s="1"/>
  <c r="BQ57" i="32"/>
  <c r="BQ58" i="32" s="1"/>
  <c r="BP57" i="32"/>
  <c r="BP58" i="32" s="1"/>
  <c r="BO57" i="32"/>
  <c r="BO58" i="32" s="1"/>
  <c r="BN57" i="32"/>
  <c r="BN58" i="32" s="1"/>
  <c r="BM57" i="32"/>
  <c r="BM58" i="32" s="1"/>
  <c r="BL57" i="32"/>
  <c r="BL58" i="32" s="1"/>
  <c r="BK57" i="32"/>
  <c r="BK58" i="32" s="1"/>
  <c r="BJ57" i="32"/>
  <c r="BJ58" i="32" s="1"/>
  <c r="BI57" i="32"/>
  <c r="BI58" i="32" s="1"/>
  <c r="BG57" i="32"/>
  <c r="BG58" i="32" s="1"/>
  <c r="BF57" i="32"/>
  <c r="BF58" i="32" s="1"/>
  <c r="BE57" i="32"/>
  <c r="BE58" i="32" s="1"/>
  <c r="BC57" i="32"/>
  <c r="BC58" i="32" s="1"/>
  <c r="BB57" i="32"/>
  <c r="BB58" i="32" s="1"/>
  <c r="BA57" i="32"/>
  <c r="BA58" i="32" s="1"/>
  <c r="AZ57" i="32"/>
  <c r="AZ58" i="32" s="1"/>
  <c r="AY57" i="32"/>
  <c r="AY58" i="32" s="1"/>
  <c r="AX57" i="32"/>
  <c r="AX58" i="32" s="1"/>
  <c r="AW57" i="32"/>
  <c r="AW58" i="32" s="1"/>
  <c r="AV57" i="32"/>
  <c r="AV58" i="32" s="1"/>
  <c r="AU57" i="32"/>
  <c r="AU58" i="32" s="1"/>
  <c r="AT57" i="32"/>
  <c r="AT58" i="32" s="1"/>
  <c r="AS57" i="32"/>
  <c r="AS58" i="32" s="1"/>
  <c r="AR57" i="32"/>
  <c r="AR58" i="32" s="1"/>
  <c r="AQ57" i="32"/>
  <c r="AQ58" i="32" s="1"/>
  <c r="AP57" i="32"/>
  <c r="AP58" i="32" s="1"/>
  <c r="AO57" i="32"/>
  <c r="AO58" i="32" s="1"/>
  <c r="AN57" i="32"/>
  <c r="AN58" i="32" s="1"/>
  <c r="AM57" i="32"/>
  <c r="AM58" i="32" s="1"/>
  <c r="AL57" i="32"/>
  <c r="AL58" i="32" s="1"/>
  <c r="AK57" i="32"/>
  <c r="AK58" i="32" s="1"/>
  <c r="AJ57" i="32"/>
  <c r="AJ58" i="32" s="1"/>
  <c r="AI57" i="32"/>
  <c r="AI58" i="32" s="1"/>
  <c r="AH57" i="32"/>
  <c r="AH58" i="32" s="1"/>
  <c r="AG57" i="32"/>
  <c r="AG58" i="32" s="1"/>
  <c r="AF57" i="32"/>
  <c r="AF58" i="32" s="1"/>
  <c r="AE57" i="32"/>
  <c r="AE58" i="32" s="1"/>
  <c r="AD57" i="32"/>
  <c r="AD58" i="32" s="1"/>
  <c r="AC57" i="32"/>
  <c r="AC58" i="32" s="1"/>
  <c r="AB57" i="32"/>
  <c r="AB58" i="32" s="1"/>
  <c r="AA57" i="32"/>
  <c r="AA58" i="32" s="1"/>
  <c r="Z57" i="32"/>
  <c r="Z58" i="32" s="1"/>
  <c r="Y57" i="32"/>
  <c r="Y58" i="32" s="1"/>
  <c r="X57" i="32"/>
  <c r="X58" i="32" s="1"/>
  <c r="W57" i="32"/>
  <c r="W58" i="32" s="1"/>
  <c r="V57" i="32"/>
  <c r="V58" i="32" s="1"/>
  <c r="U57" i="32"/>
  <c r="U58" i="32" s="1"/>
  <c r="T57" i="32"/>
  <c r="T58" i="32" s="1"/>
  <c r="S57" i="32"/>
  <c r="S58" i="32" s="1"/>
  <c r="R57" i="32"/>
  <c r="R58" i="32" s="1"/>
  <c r="Q57" i="32"/>
  <c r="Q58" i="32" s="1"/>
  <c r="P57" i="32"/>
  <c r="P58" i="32" s="1"/>
  <c r="O57" i="32"/>
  <c r="O58" i="32" s="1"/>
  <c r="N57" i="32"/>
  <c r="N58" i="32" s="1"/>
  <c r="M57" i="32"/>
  <c r="M58" i="32" s="1"/>
  <c r="L57" i="32"/>
  <c r="L58" i="32" s="1"/>
  <c r="K57" i="32"/>
  <c r="K58" i="32" s="1"/>
  <c r="J57" i="32"/>
  <c r="J58" i="32" s="1"/>
  <c r="I57" i="32"/>
  <c r="I58" i="32" s="1"/>
  <c r="H57" i="32"/>
  <c r="H58" i="32" s="1"/>
  <c r="G57" i="32"/>
  <c r="G58" i="32" s="1"/>
  <c r="F57" i="32"/>
  <c r="F58" i="32" s="1"/>
  <c r="E57" i="32"/>
  <c r="E58" i="32" s="1"/>
  <c r="D57" i="32"/>
  <c r="D58" i="32" s="1"/>
  <c r="C57" i="32"/>
  <c r="C58" i="32" s="1"/>
  <c r="BR56" i="32"/>
  <c r="BQ56" i="32"/>
  <c r="BP56" i="32"/>
  <c r="BO56" i="32"/>
  <c r="BN56" i="32"/>
  <c r="BM56" i="32"/>
  <c r="BL56" i="32"/>
  <c r="BK56" i="32"/>
  <c r="BJ56" i="32"/>
  <c r="BI56" i="32"/>
  <c r="BG56" i="32"/>
  <c r="BF56" i="32"/>
  <c r="BE56" i="32"/>
  <c r="BC56" i="32"/>
  <c r="BB56" i="32"/>
  <c r="BA56" i="32"/>
  <c r="AZ56" i="32"/>
  <c r="AY56" i="32"/>
  <c r="AX56" i="32"/>
  <c r="AW56" i="32"/>
  <c r="AV56" i="32"/>
  <c r="AU56" i="32"/>
  <c r="AT56" i="32"/>
  <c r="AS56" i="32"/>
  <c r="AR56" i="32"/>
  <c r="AQ56" i="32"/>
  <c r="AP56" i="32"/>
  <c r="AO56" i="32"/>
  <c r="AN56" i="32"/>
  <c r="AM56" i="32"/>
  <c r="AL56" i="32"/>
  <c r="AK56" i="32"/>
  <c r="AJ56" i="32"/>
  <c r="AI56" i="32"/>
  <c r="AH56" i="32"/>
  <c r="AG56" i="32"/>
  <c r="AF56" i="32"/>
  <c r="AE56" i="32"/>
  <c r="AD56" i="32"/>
  <c r="AC56" i="32"/>
  <c r="AB56" i="32"/>
  <c r="AA56" i="32"/>
  <c r="Z56" i="32"/>
  <c r="Y56" i="32"/>
  <c r="X56" i="32"/>
  <c r="W56" i="32"/>
  <c r="V56" i="32"/>
  <c r="U56" i="32"/>
  <c r="T56" i="32"/>
  <c r="S56" i="32"/>
  <c r="R56" i="32"/>
  <c r="Q56" i="32"/>
  <c r="P56" i="32"/>
  <c r="O56" i="32"/>
  <c r="N56" i="32"/>
  <c r="M56" i="32"/>
  <c r="L56" i="32"/>
  <c r="K56" i="32"/>
  <c r="J56" i="32"/>
  <c r="I56" i="32"/>
  <c r="H56" i="32"/>
  <c r="G56" i="32"/>
  <c r="F56" i="32"/>
  <c r="E56" i="32"/>
  <c r="D56" i="32"/>
  <c r="C56" i="32"/>
  <c r="AM11" i="33" l="1"/>
  <c r="AU11" i="33"/>
  <c r="CI11" i="21"/>
  <c r="CJ11" i="21"/>
  <c r="CK11" i="21"/>
  <c r="CL11" i="21"/>
  <c r="CM11" i="21"/>
  <c r="CN11" i="21"/>
  <c r="CI11" i="18"/>
  <c r="CJ11" i="18"/>
  <c r="CK11" i="18"/>
  <c r="CL11" i="18"/>
  <c r="CM11" i="18"/>
  <c r="CN11" i="18"/>
  <c r="CI11" i="15"/>
  <c r="CJ11" i="15"/>
  <c r="CK11" i="15"/>
  <c r="CL11" i="15"/>
  <c r="CM11" i="15"/>
  <c r="CN11" i="15"/>
  <c r="CI11" i="10" l="1"/>
  <c r="CJ11" i="10"/>
  <c r="CK11" i="10"/>
  <c r="CL11" i="10"/>
  <c r="CM11" i="10"/>
  <c r="CN11" i="10"/>
  <c r="CI11" i="3"/>
  <c r="CJ11" i="3"/>
  <c r="CK11" i="3"/>
  <c r="CL11" i="3"/>
  <c r="CM11" i="3"/>
  <c r="CN11" i="3"/>
  <c r="X18" i="4" l="1"/>
  <c r="CP11" i="4" s="1"/>
  <c r="Z18" i="4"/>
  <c r="BD11" i="4" s="1"/>
  <c r="BR35" i="32" l="1"/>
  <c r="BR36" i="32" s="1"/>
  <c r="BN35" i="32"/>
  <c r="BN36" i="32" s="1"/>
  <c r="BM35" i="32"/>
  <c r="BM36" i="32" s="1"/>
  <c r="BL35" i="32"/>
  <c r="BL36" i="32" s="1"/>
  <c r="BK35" i="32"/>
  <c r="BK36" i="32" s="1"/>
  <c r="BJ35" i="32"/>
  <c r="BJ36" i="32" s="1"/>
  <c r="BI35" i="32"/>
  <c r="BI36" i="32" s="1"/>
  <c r="BG35" i="32"/>
  <c r="BG36" i="32" s="1"/>
  <c r="BF35" i="32"/>
  <c r="BF36" i="32" s="1"/>
  <c r="BE35" i="32"/>
  <c r="BE36" i="32" s="1"/>
  <c r="BC35" i="32"/>
  <c r="BC36" i="32" s="1"/>
  <c r="BB35" i="32"/>
  <c r="BB36" i="32" s="1"/>
  <c r="BA35" i="32"/>
  <c r="BA36" i="32" s="1"/>
  <c r="AZ35" i="32"/>
  <c r="AZ36" i="32" s="1"/>
  <c r="AY35" i="32"/>
  <c r="AY36" i="32" s="1"/>
  <c r="AX35" i="32"/>
  <c r="AX36" i="32" s="1"/>
  <c r="AW35" i="32"/>
  <c r="AW36" i="32" s="1"/>
  <c r="AV35" i="32"/>
  <c r="AV36" i="32" s="1"/>
  <c r="AU35" i="32"/>
  <c r="AU36" i="32" s="1"/>
  <c r="AT35" i="32"/>
  <c r="AT36" i="32" s="1"/>
  <c r="AS35" i="32"/>
  <c r="AS36" i="32" s="1"/>
  <c r="AR35" i="32"/>
  <c r="AR36" i="32" s="1"/>
  <c r="AQ35" i="32"/>
  <c r="AQ36" i="32" s="1"/>
  <c r="AP35" i="32"/>
  <c r="AP36" i="32" s="1"/>
  <c r="AO35" i="32"/>
  <c r="AO36" i="32" s="1"/>
  <c r="AN35" i="32"/>
  <c r="AN36" i="32" s="1"/>
  <c r="AM35" i="32"/>
  <c r="AM36" i="32" s="1"/>
  <c r="AL35" i="32"/>
  <c r="AL36" i="32" s="1"/>
  <c r="AK35" i="32"/>
  <c r="AK36" i="32" s="1"/>
  <c r="AJ35" i="32"/>
  <c r="AJ36" i="32" s="1"/>
  <c r="AI35" i="32"/>
  <c r="AI36" i="32" s="1"/>
  <c r="AH35" i="32"/>
  <c r="AH36" i="32" s="1"/>
  <c r="AG35" i="32"/>
  <c r="AG36" i="32" s="1"/>
  <c r="AF35" i="32"/>
  <c r="AF36" i="32" s="1"/>
  <c r="AE35" i="32"/>
  <c r="AE36" i="32" s="1"/>
  <c r="AD35" i="32"/>
  <c r="AD36" i="32" s="1"/>
  <c r="AC35" i="32"/>
  <c r="AC36" i="32" s="1"/>
  <c r="AB35" i="32"/>
  <c r="AB36" i="32" s="1"/>
  <c r="AA35" i="32"/>
  <c r="AA36" i="32" s="1"/>
  <c r="Z35" i="32"/>
  <c r="Z36" i="32" s="1"/>
  <c r="Y35" i="32"/>
  <c r="Y36" i="32" s="1"/>
  <c r="X35" i="32"/>
  <c r="X36" i="32" s="1"/>
  <c r="W35" i="32"/>
  <c r="W36" i="32" s="1"/>
  <c r="V35" i="32"/>
  <c r="V36" i="32" s="1"/>
  <c r="U35" i="32"/>
  <c r="U36" i="32" s="1"/>
  <c r="T35" i="32"/>
  <c r="T36" i="32" s="1"/>
  <c r="S35" i="32"/>
  <c r="S36" i="32" s="1"/>
  <c r="R35" i="32"/>
  <c r="R36" i="32" s="1"/>
  <c r="Q35" i="32"/>
  <c r="Q36" i="32" s="1"/>
  <c r="P35" i="32"/>
  <c r="P36" i="32" s="1"/>
  <c r="O35" i="32"/>
  <c r="O36" i="32" s="1"/>
  <c r="N35" i="32"/>
  <c r="N36" i="32" s="1"/>
  <c r="M35" i="32"/>
  <c r="M36" i="32" s="1"/>
  <c r="L35" i="32"/>
  <c r="L36" i="32" s="1"/>
  <c r="K35" i="32"/>
  <c r="K36" i="32" s="1"/>
  <c r="J35" i="32"/>
  <c r="J36" i="32" s="1"/>
  <c r="I35" i="32"/>
  <c r="I36" i="32" s="1"/>
  <c r="H35" i="32"/>
  <c r="H36" i="32" s="1"/>
  <c r="G35" i="32"/>
  <c r="G36" i="32" s="1"/>
  <c r="F35" i="32"/>
  <c r="F36" i="32" s="1"/>
  <c r="E35" i="32"/>
  <c r="E36" i="32" s="1"/>
  <c r="D35" i="32"/>
  <c r="D36" i="32" s="1"/>
  <c r="C35" i="32"/>
  <c r="C36" i="32" s="1"/>
  <c r="BR34" i="32"/>
  <c r="BN34" i="32"/>
  <c r="BM34" i="32"/>
  <c r="BL34" i="32"/>
  <c r="BK34" i="32"/>
  <c r="BJ34" i="32"/>
  <c r="BI34" i="32"/>
  <c r="BG34" i="32"/>
  <c r="BF34" i="32"/>
  <c r="BE34" i="32"/>
  <c r="BC34" i="32"/>
  <c r="BB34" i="32"/>
  <c r="BA34" i="32"/>
  <c r="AZ34" i="32"/>
  <c r="AY34" i="32"/>
  <c r="AX34" i="32"/>
  <c r="AW34" i="32"/>
  <c r="AV34" i="32"/>
  <c r="AU34" i="32"/>
  <c r="AT34" i="32"/>
  <c r="AS34" i="32"/>
  <c r="AR34" i="32"/>
  <c r="AQ34" i="32"/>
  <c r="AP34" i="32"/>
  <c r="AO34" i="32"/>
  <c r="AN34" i="32"/>
  <c r="AM34" i="32"/>
  <c r="AL34" i="32"/>
  <c r="AK34" i="32"/>
  <c r="AJ34" i="32"/>
  <c r="AI34" i="32"/>
  <c r="AH34" i="32"/>
  <c r="AG34" i="32"/>
  <c r="AF34" i="32"/>
  <c r="AE34" i="32"/>
  <c r="AD34" i="32"/>
  <c r="AC34" i="32"/>
  <c r="AB34" i="32"/>
  <c r="AA34" i="32"/>
  <c r="Z34" i="32"/>
  <c r="Y34" i="32"/>
  <c r="X34" i="32"/>
  <c r="W34" i="32"/>
  <c r="V34" i="32"/>
  <c r="U34" i="32"/>
  <c r="T34" i="32"/>
  <c r="S34" i="32"/>
  <c r="R34" i="32"/>
  <c r="Q34" i="32"/>
  <c r="P34" i="32"/>
  <c r="O34" i="32"/>
  <c r="N34" i="32"/>
  <c r="M34" i="32"/>
  <c r="L34" i="32"/>
  <c r="K34" i="32"/>
  <c r="J34" i="32"/>
  <c r="I34" i="32"/>
  <c r="H34" i="32"/>
  <c r="G34" i="32"/>
  <c r="F34" i="32"/>
  <c r="E34" i="32"/>
  <c r="D34" i="32"/>
  <c r="C34" i="32"/>
  <c r="BN18" i="32"/>
  <c r="BN19" i="32" s="1"/>
  <c r="BM18" i="32"/>
  <c r="BM19" i="32" s="1"/>
  <c r="BL18" i="32"/>
  <c r="BL19" i="32" s="1"/>
  <c r="BK18" i="32"/>
  <c r="BK19" i="32" s="1"/>
  <c r="BJ18" i="32"/>
  <c r="BJ19" i="32" s="1"/>
  <c r="BI18" i="32"/>
  <c r="BI19" i="32" s="1"/>
  <c r="BG18" i="32"/>
  <c r="BG19" i="32" s="1"/>
  <c r="BF18" i="32"/>
  <c r="BF19" i="32" s="1"/>
  <c r="BE18" i="32"/>
  <c r="BE19" i="32" s="1"/>
  <c r="BC18" i="32"/>
  <c r="BC19" i="32" s="1"/>
  <c r="BB18" i="32"/>
  <c r="BB19" i="32" s="1"/>
  <c r="BA18" i="32"/>
  <c r="BA19" i="32" s="1"/>
  <c r="AZ18" i="32"/>
  <c r="AZ19" i="32" s="1"/>
  <c r="AY18" i="32"/>
  <c r="AY19" i="32" s="1"/>
  <c r="AX18" i="32"/>
  <c r="AX19" i="32" s="1"/>
  <c r="AW18" i="32"/>
  <c r="AW19" i="32" s="1"/>
  <c r="AV18" i="32"/>
  <c r="AV19" i="32" s="1"/>
  <c r="AU18" i="32"/>
  <c r="AU19" i="32" s="1"/>
  <c r="AT18" i="32"/>
  <c r="AT19" i="32" s="1"/>
  <c r="AS18" i="32"/>
  <c r="AS19" i="32" s="1"/>
  <c r="AR18" i="32"/>
  <c r="AR19" i="32" s="1"/>
  <c r="AQ18" i="32"/>
  <c r="AQ19" i="32" s="1"/>
  <c r="AP18" i="32"/>
  <c r="AP19" i="32" s="1"/>
  <c r="AO18" i="32"/>
  <c r="AO19" i="32" s="1"/>
  <c r="AN18" i="32"/>
  <c r="AN19" i="32" s="1"/>
  <c r="AM18" i="32"/>
  <c r="AM19" i="32" s="1"/>
  <c r="AL18" i="32"/>
  <c r="AL19" i="32" s="1"/>
  <c r="AK18" i="32"/>
  <c r="AK19" i="32" s="1"/>
  <c r="AJ18" i="32"/>
  <c r="AJ19" i="32" s="1"/>
  <c r="AI18" i="32"/>
  <c r="AI19" i="32" s="1"/>
  <c r="AH18" i="32"/>
  <c r="AH19" i="32" s="1"/>
  <c r="AG18" i="32"/>
  <c r="AG19" i="32" s="1"/>
  <c r="AF18" i="32"/>
  <c r="AF19" i="32" s="1"/>
  <c r="AE18" i="32"/>
  <c r="AE19" i="32" s="1"/>
  <c r="AD18" i="32"/>
  <c r="AD19" i="32" s="1"/>
  <c r="AC18" i="32"/>
  <c r="AC19" i="32" s="1"/>
  <c r="AB18" i="32"/>
  <c r="AB19" i="32" s="1"/>
  <c r="AA18" i="32"/>
  <c r="AA19" i="32" s="1"/>
  <c r="Z18" i="32"/>
  <c r="Z19" i="32" s="1"/>
  <c r="Y18" i="32"/>
  <c r="Y19" i="32" s="1"/>
  <c r="X18" i="32"/>
  <c r="X19" i="32" s="1"/>
  <c r="W18" i="32"/>
  <c r="W19" i="32" s="1"/>
  <c r="V18" i="32"/>
  <c r="V19" i="32" s="1"/>
  <c r="U18" i="32"/>
  <c r="U19" i="32" s="1"/>
  <c r="T18" i="32"/>
  <c r="T19" i="32" s="1"/>
  <c r="S18" i="32"/>
  <c r="S19" i="32" s="1"/>
  <c r="R18" i="32"/>
  <c r="R19" i="32" s="1"/>
  <c r="Q18" i="32"/>
  <c r="Q19" i="32" s="1"/>
  <c r="P18" i="32"/>
  <c r="P19" i="32" s="1"/>
  <c r="O18" i="32"/>
  <c r="O19" i="32" s="1"/>
  <c r="N18" i="32"/>
  <c r="N19" i="32" s="1"/>
  <c r="M18" i="32"/>
  <c r="M19" i="32" s="1"/>
  <c r="L18" i="32"/>
  <c r="L19" i="32" s="1"/>
  <c r="K18" i="32"/>
  <c r="K19" i="32" s="1"/>
  <c r="J18" i="32"/>
  <c r="J19" i="32" s="1"/>
  <c r="I18" i="32"/>
  <c r="I19" i="32" s="1"/>
  <c r="H18" i="32"/>
  <c r="H19" i="32" s="1"/>
  <c r="G18" i="32"/>
  <c r="G19" i="32" s="1"/>
  <c r="F18" i="32"/>
  <c r="F19" i="32" s="1"/>
  <c r="E18" i="32"/>
  <c r="E19" i="32" s="1"/>
  <c r="D18" i="32"/>
  <c r="D19" i="32" s="1"/>
  <c r="C18" i="32"/>
  <c r="C19" i="32" s="1"/>
  <c r="BN17" i="32"/>
  <c r="BM17" i="32"/>
  <c r="BL17" i="32"/>
  <c r="BK17" i="32"/>
  <c r="BJ17" i="32"/>
  <c r="BI17" i="32"/>
  <c r="BG17" i="32"/>
  <c r="BF17" i="32"/>
  <c r="BE17" i="32"/>
  <c r="BC17" i="32"/>
  <c r="BB17" i="32"/>
  <c r="BA17" i="32"/>
  <c r="AZ17" i="32"/>
  <c r="AY17" i="32"/>
  <c r="AX17" i="32"/>
  <c r="AW17" i="32"/>
  <c r="AV17" i="32"/>
  <c r="AU17" i="32"/>
  <c r="AT17" i="32"/>
  <c r="AS17" i="32"/>
  <c r="AR17" i="32"/>
  <c r="AQ17" i="32"/>
  <c r="AP17" i="32"/>
  <c r="AO17" i="32"/>
  <c r="AN17" i="32"/>
  <c r="AM17" i="32"/>
  <c r="AL17" i="32"/>
  <c r="AK17" i="32"/>
  <c r="AJ17" i="32"/>
  <c r="AI17" i="32"/>
  <c r="AH17" i="32"/>
  <c r="AG17" i="32"/>
  <c r="AF17" i="32"/>
  <c r="AE17" i="32"/>
  <c r="AD17" i="32"/>
  <c r="AC17" i="32"/>
  <c r="AB17" i="32"/>
  <c r="AA17" i="32"/>
  <c r="Z17" i="32"/>
  <c r="Y17" i="32"/>
  <c r="X17" i="32"/>
  <c r="W17" i="32"/>
  <c r="V17" i="32"/>
  <c r="U17" i="32"/>
  <c r="T17" i="32"/>
  <c r="S17" i="32"/>
  <c r="R17" i="32"/>
  <c r="Q17" i="32"/>
  <c r="P17" i="32"/>
  <c r="O17" i="32"/>
  <c r="N17" i="32"/>
  <c r="M17" i="32"/>
  <c r="L17" i="32"/>
  <c r="K17" i="32"/>
  <c r="J17" i="32"/>
  <c r="I17" i="32"/>
  <c r="H17" i="32"/>
  <c r="G17" i="32"/>
  <c r="F17" i="32"/>
  <c r="E17" i="32"/>
  <c r="D17" i="32"/>
  <c r="C17" i="32"/>
  <c r="B18" i="32"/>
  <c r="B19" i="32" s="1"/>
  <c r="B17" i="32"/>
  <c r="B29" i="31" l="1"/>
  <c r="Z25" i="31"/>
  <c r="X25" i="31"/>
  <c r="CQ11" i="31" s="1"/>
  <c r="B20" i="31"/>
  <c r="Z18" i="31"/>
  <c r="X18" i="31"/>
  <c r="CP11" i="31" s="1"/>
  <c r="Z11" i="31"/>
  <c r="X11" i="31"/>
  <c r="CO11" i="31" s="1"/>
  <c r="B11" i="31"/>
  <c r="CE11" i="31" s="1"/>
  <c r="E5" i="31"/>
  <c r="O3" i="31"/>
  <c r="O1" i="31" s="1"/>
  <c r="N2" i="31" s="1"/>
  <c r="G3" i="31"/>
  <c r="G2" i="31"/>
  <c r="N1" i="31"/>
  <c r="B29" i="30"/>
  <c r="Z25" i="30"/>
  <c r="X25" i="30"/>
  <c r="CQ11" i="30" s="1"/>
  <c r="B20" i="30"/>
  <c r="Z18" i="30"/>
  <c r="X18" i="30"/>
  <c r="CP11" i="30" s="1"/>
  <c r="CN11" i="30"/>
  <c r="CM11" i="30"/>
  <c r="CL11" i="30"/>
  <c r="CK11" i="30"/>
  <c r="CJ11" i="30"/>
  <c r="CI11" i="30"/>
  <c r="Z11" i="30"/>
  <c r="CF11" i="30" s="1"/>
  <c r="X11" i="30"/>
  <c r="CO11" i="30" s="1"/>
  <c r="B11" i="30"/>
  <c r="CE11" i="30" s="1"/>
  <c r="E5" i="30"/>
  <c r="O3" i="30"/>
  <c r="O1" i="30" s="1"/>
  <c r="G3" i="30"/>
  <c r="G2" i="30"/>
  <c r="N1" i="30"/>
  <c r="B29" i="29"/>
  <c r="Z25" i="29"/>
  <c r="X25" i="29"/>
  <c r="B20" i="29"/>
  <c r="Z18" i="29"/>
  <c r="X18" i="29"/>
  <c r="CQ11" i="29"/>
  <c r="CP11" i="29"/>
  <c r="CN11" i="29"/>
  <c r="CM11" i="29"/>
  <c r="CL11" i="29"/>
  <c r="CK11" i="29"/>
  <c r="CJ11" i="29"/>
  <c r="CI11" i="29"/>
  <c r="Z11" i="29"/>
  <c r="CF11" i="29" s="1"/>
  <c r="X11" i="29"/>
  <c r="CO11" i="29" s="1"/>
  <c r="B11" i="29"/>
  <c r="CE11" i="29" s="1"/>
  <c r="E5" i="29"/>
  <c r="O3" i="29"/>
  <c r="O1" i="29" s="1"/>
  <c r="G3" i="29"/>
  <c r="G2" i="29"/>
  <c r="N1" i="29"/>
  <c r="B29" i="28"/>
  <c r="Z25" i="28"/>
  <c r="X25" i="28"/>
  <c r="CQ11" i="28" s="1"/>
  <c r="B20" i="28"/>
  <c r="Z18" i="28"/>
  <c r="BD11" i="28" s="1"/>
  <c r="X18" i="28"/>
  <c r="CP11" i="28" s="1"/>
  <c r="Z11" i="28"/>
  <c r="X11" i="28"/>
  <c r="CO11" i="28" s="1"/>
  <c r="B11" i="28"/>
  <c r="CE11" i="28" s="1"/>
  <c r="E5" i="28"/>
  <c r="O3" i="28"/>
  <c r="O1" i="28" s="1"/>
  <c r="N2" i="28" s="1"/>
  <c r="G3" i="28"/>
  <c r="G2" i="28"/>
  <c r="N1" i="28"/>
  <c r="B29" i="27"/>
  <c r="Z25" i="27"/>
  <c r="B20" i="27"/>
  <c r="Z18" i="27"/>
  <c r="CQ11" i="27"/>
  <c r="CP11" i="27"/>
  <c r="CN11" i="27"/>
  <c r="CM11" i="27"/>
  <c r="CL11" i="27"/>
  <c r="CK11" i="27"/>
  <c r="CJ11" i="27"/>
  <c r="CI11" i="27"/>
  <c r="Z11" i="27"/>
  <c r="CF11" i="27" s="1"/>
  <c r="CO11" i="27"/>
  <c r="B11" i="27"/>
  <c r="CE11" i="27" s="1"/>
  <c r="E5" i="27"/>
  <c r="O3" i="27"/>
  <c r="O1" i="27" s="1"/>
  <c r="N2" i="27" s="1"/>
  <c r="G3" i="27"/>
  <c r="G2" i="27"/>
  <c r="N1" i="27"/>
  <c r="B29" i="26"/>
  <c r="Z25" i="26"/>
  <c r="X25" i="26"/>
  <c r="CQ11" i="26" s="1"/>
  <c r="B20" i="26"/>
  <c r="Z18" i="26"/>
  <c r="X18" i="26"/>
  <c r="CP11" i="26" s="1"/>
  <c r="CN11" i="26"/>
  <c r="CM11" i="26"/>
  <c r="CL11" i="26"/>
  <c r="CK11" i="26"/>
  <c r="CJ11" i="26"/>
  <c r="CI11" i="26"/>
  <c r="Z11" i="26"/>
  <c r="CF11" i="26" s="1"/>
  <c r="X11" i="26"/>
  <c r="CO11" i="26" s="1"/>
  <c r="B11" i="26"/>
  <c r="CE11" i="26" s="1"/>
  <c r="E5" i="26"/>
  <c r="O3" i="26"/>
  <c r="O1" i="26" s="1"/>
  <c r="G3" i="26"/>
  <c r="G2" i="26"/>
  <c r="N1" i="26"/>
  <c r="B29" i="25"/>
  <c r="Z25" i="25"/>
  <c r="B20" i="25"/>
  <c r="Z18" i="25"/>
  <c r="CQ11" i="25"/>
  <c r="CP11" i="25"/>
  <c r="CN11" i="25"/>
  <c r="CM11" i="25"/>
  <c r="CL11" i="25"/>
  <c r="CK11" i="25"/>
  <c r="CJ11" i="25"/>
  <c r="CI11" i="25"/>
  <c r="Z11" i="25"/>
  <c r="CF11" i="25" s="1"/>
  <c r="CO11" i="25"/>
  <c r="B11" i="25"/>
  <c r="CE11" i="25" s="1"/>
  <c r="CG11" i="25" s="1"/>
  <c r="E5" i="25"/>
  <c r="O3" i="25"/>
  <c r="O1" i="25" s="1"/>
  <c r="N2" i="25" s="1"/>
  <c r="G3" i="25"/>
  <c r="G2" i="25"/>
  <c r="N1" i="25"/>
  <c r="B29" i="24"/>
  <c r="Z25" i="24"/>
  <c r="X25" i="24"/>
  <c r="B20" i="24"/>
  <c r="Z18" i="24"/>
  <c r="X18" i="24"/>
  <c r="CP11" i="24" s="1"/>
  <c r="CQ11" i="24"/>
  <c r="CN11" i="24"/>
  <c r="CM11" i="24"/>
  <c r="CL11" i="24"/>
  <c r="CK11" i="24"/>
  <c r="CJ11" i="24"/>
  <c r="CI11" i="24"/>
  <c r="Z11" i="24"/>
  <c r="CF11" i="24" s="1"/>
  <c r="X11" i="24"/>
  <c r="CO11" i="24" s="1"/>
  <c r="B11" i="24"/>
  <c r="CE11" i="24" s="1"/>
  <c r="E5" i="24"/>
  <c r="O3" i="24"/>
  <c r="O1" i="24" s="1"/>
  <c r="N2" i="24" s="1"/>
  <c r="G3" i="24"/>
  <c r="G2" i="24"/>
  <c r="N1" i="24"/>
  <c r="B29" i="21"/>
  <c r="Z25" i="21"/>
  <c r="X25" i="21"/>
  <c r="CQ11" i="21" s="1"/>
  <c r="B20" i="21"/>
  <c r="Z18" i="21"/>
  <c r="X18" i="21"/>
  <c r="CP11" i="21" s="1"/>
  <c r="Z11" i="21"/>
  <c r="CF11" i="21" s="1"/>
  <c r="X11" i="21"/>
  <c r="CO11" i="21" s="1"/>
  <c r="B11" i="21"/>
  <c r="CE11" i="21" s="1"/>
  <c r="E5" i="21"/>
  <c r="O3" i="21"/>
  <c r="O1" i="21" s="1"/>
  <c r="N2" i="21" s="1"/>
  <c r="G3" i="21"/>
  <c r="G2" i="21"/>
  <c r="N1" i="21"/>
  <c r="B29" i="20"/>
  <c r="Z25" i="20"/>
  <c r="X25" i="20"/>
  <c r="CQ11" i="20" s="1"/>
  <c r="B20" i="20"/>
  <c r="Z18" i="20"/>
  <c r="X18" i="20"/>
  <c r="CP11" i="20"/>
  <c r="CN11" i="20"/>
  <c r="CM11" i="20"/>
  <c r="CL11" i="20"/>
  <c r="CK11" i="20"/>
  <c r="CJ11" i="20"/>
  <c r="CI11" i="20"/>
  <c r="Z11" i="20"/>
  <c r="CF11" i="20" s="1"/>
  <c r="X11" i="20"/>
  <c r="CO11" i="20" s="1"/>
  <c r="B11" i="20"/>
  <c r="CE11" i="20" s="1"/>
  <c r="E5" i="20"/>
  <c r="O3" i="20"/>
  <c r="O1" i="20" s="1"/>
  <c r="N2" i="20" s="1"/>
  <c r="G3" i="20"/>
  <c r="G2" i="20"/>
  <c r="N1" i="20"/>
  <c r="B29" i="19"/>
  <c r="Z25" i="19"/>
  <c r="X25" i="19"/>
  <c r="B20" i="19"/>
  <c r="Z18" i="19"/>
  <c r="X18" i="19"/>
  <c r="CP11" i="19" s="1"/>
  <c r="CQ11" i="19"/>
  <c r="CN11" i="19"/>
  <c r="CM11" i="19"/>
  <c r="CL11" i="19"/>
  <c r="CK11" i="19"/>
  <c r="CJ11" i="19"/>
  <c r="CI11" i="19"/>
  <c r="Z11" i="19"/>
  <c r="CF11" i="19" s="1"/>
  <c r="X11" i="19"/>
  <c r="CO11" i="19" s="1"/>
  <c r="B11" i="19"/>
  <c r="CE11" i="19" s="1"/>
  <c r="E5" i="19"/>
  <c r="O3" i="19"/>
  <c r="O1" i="19" s="1"/>
  <c r="N2" i="19" s="1"/>
  <c r="G3" i="19"/>
  <c r="G2" i="19"/>
  <c r="N1" i="19"/>
  <c r="B29" i="18"/>
  <c r="Z25" i="18"/>
  <c r="X25" i="18"/>
  <c r="CQ11" i="18" s="1"/>
  <c r="B20" i="18"/>
  <c r="Z18" i="18"/>
  <c r="X18" i="18"/>
  <c r="CP11" i="18" s="1"/>
  <c r="Z11" i="18"/>
  <c r="CF11" i="18" s="1"/>
  <c r="X11" i="18"/>
  <c r="CO11" i="18" s="1"/>
  <c r="B11" i="18"/>
  <c r="CE11" i="18" s="1"/>
  <c r="E5" i="18"/>
  <c r="O3" i="18"/>
  <c r="O1" i="18" s="1"/>
  <c r="G3" i="18"/>
  <c r="G2" i="18"/>
  <c r="N1" i="18"/>
  <c r="B29" i="15"/>
  <c r="Z25" i="15"/>
  <c r="X25" i="15"/>
  <c r="CQ11" i="15" s="1"/>
  <c r="B20" i="15"/>
  <c r="Z18" i="15"/>
  <c r="X18" i="15"/>
  <c r="CP11" i="15" s="1"/>
  <c r="Z11" i="15"/>
  <c r="CF11" i="15" s="1"/>
  <c r="X11" i="15"/>
  <c r="CO11" i="15" s="1"/>
  <c r="B11" i="15"/>
  <c r="CE11" i="15" s="1"/>
  <c r="E5" i="15"/>
  <c r="O3" i="15"/>
  <c r="O1" i="15" s="1"/>
  <c r="N2" i="15" s="1"/>
  <c r="G3" i="15"/>
  <c r="G2" i="15"/>
  <c r="N1" i="15"/>
  <c r="B29" i="14"/>
  <c r="Z25" i="14"/>
  <c r="X25" i="14"/>
  <c r="B20" i="14"/>
  <c r="Z18" i="14"/>
  <c r="X18" i="14"/>
  <c r="CP11" i="14" s="1"/>
  <c r="BB11" i="14"/>
  <c r="CQ11" i="14"/>
  <c r="CN11" i="14"/>
  <c r="CM11" i="14"/>
  <c r="CL11" i="14"/>
  <c r="CK11" i="14"/>
  <c r="CJ11" i="14"/>
  <c r="CI11" i="14"/>
  <c r="Z11" i="14"/>
  <c r="CF11" i="14" s="1"/>
  <c r="X11" i="14"/>
  <c r="CO11" i="14" s="1"/>
  <c r="B11" i="14"/>
  <c r="CE11" i="14" s="1"/>
  <c r="E5" i="14"/>
  <c r="O3" i="14"/>
  <c r="O1" i="14" s="1"/>
  <c r="N2" i="14" s="1"/>
  <c r="G3" i="14"/>
  <c r="G2" i="14"/>
  <c r="N1" i="14"/>
  <c r="B29" i="13"/>
  <c r="Z25" i="13"/>
  <c r="X25" i="13"/>
  <c r="CQ11" i="13" s="1"/>
  <c r="B20" i="13"/>
  <c r="Z18" i="13"/>
  <c r="X18" i="13"/>
  <c r="CP11" i="13" s="1"/>
  <c r="Z11" i="13"/>
  <c r="CF11" i="13" s="1"/>
  <c r="X11" i="13"/>
  <c r="CO11" i="13" s="1"/>
  <c r="B11" i="13"/>
  <c r="CE11" i="13" s="1"/>
  <c r="E5" i="13"/>
  <c r="O3" i="13"/>
  <c r="O1" i="13" s="1"/>
  <c r="N2" i="13" s="1"/>
  <c r="G3" i="13"/>
  <c r="G2" i="13"/>
  <c r="N1" i="13"/>
  <c r="B29" i="12"/>
  <c r="Z25" i="12"/>
  <c r="X25" i="12"/>
  <c r="CQ11" i="12" s="1"/>
  <c r="B20" i="12"/>
  <c r="Z18" i="12"/>
  <c r="X18" i="12"/>
  <c r="CP11" i="12" s="1"/>
  <c r="CN11" i="12"/>
  <c r="CM11" i="12"/>
  <c r="CL11" i="12"/>
  <c r="CK11" i="12"/>
  <c r="CJ11" i="12"/>
  <c r="CI11" i="12"/>
  <c r="Z11" i="12"/>
  <c r="CF11" i="12" s="1"/>
  <c r="X11" i="12"/>
  <c r="CO11" i="12" s="1"/>
  <c r="B11" i="12"/>
  <c r="CE11" i="12" s="1"/>
  <c r="E5" i="12"/>
  <c r="O3" i="12"/>
  <c r="O1" i="12" s="1"/>
  <c r="G3" i="12"/>
  <c r="G2" i="12"/>
  <c r="N1" i="12"/>
  <c r="B29" i="11"/>
  <c r="Z25" i="11"/>
  <c r="X25" i="11"/>
  <c r="CQ11" i="11" s="1"/>
  <c r="B20" i="11"/>
  <c r="Z18" i="11"/>
  <c r="X18" i="11"/>
  <c r="CP11" i="11" s="1"/>
  <c r="CN11" i="11"/>
  <c r="CM11" i="11"/>
  <c r="CL11" i="11"/>
  <c r="CK11" i="11"/>
  <c r="CJ11" i="11"/>
  <c r="CI11" i="11"/>
  <c r="Z11" i="11"/>
  <c r="CF11" i="11" s="1"/>
  <c r="X11" i="11"/>
  <c r="CO11" i="11" s="1"/>
  <c r="B11" i="11"/>
  <c r="CE11" i="11" s="1"/>
  <c r="E5" i="11"/>
  <c r="O3" i="11"/>
  <c r="O1" i="11" s="1"/>
  <c r="G3" i="11"/>
  <c r="G2" i="11"/>
  <c r="N1" i="11"/>
  <c r="B29" i="10"/>
  <c r="Z25" i="10"/>
  <c r="X25" i="10"/>
  <c r="CQ11" i="10" s="1"/>
  <c r="B20" i="10"/>
  <c r="Z18" i="10"/>
  <c r="X18" i="10"/>
  <c r="CP11" i="10" s="1"/>
  <c r="Z11" i="10"/>
  <c r="CF11" i="10" s="1"/>
  <c r="X11" i="10"/>
  <c r="CO11" i="10" s="1"/>
  <c r="B11" i="10"/>
  <c r="CE11" i="10" s="1"/>
  <c r="E5" i="10"/>
  <c r="O3" i="10"/>
  <c r="O1" i="10" s="1"/>
  <c r="G3" i="10"/>
  <c r="G2" i="10"/>
  <c r="N1" i="10"/>
  <c r="B29" i="7"/>
  <c r="Z25" i="7"/>
  <c r="X25" i="7"/>
  <c r="B20" i="7"/>
  <c r="Z18" i="7"/>
  <c r="X18" i="7"/>
  <c r="CP11" i="7" s="1"/>
  <c r="CQ11" i="7"/>
  <c r="CN11" i="7"/>
  <c r="CM11" i="7"/>
  <c r="CL11" i="7"/>
  <c r="CK11" i="7"/>
  <c r="CJ11" i="7"/>
  <c r="CI11" i="7"/>
  <c r="Z11" i="7"/>
  <c r="CF11" i="7" s="1"/>
  <c r="X11" i="7"/>
  <c r="CO11" i="7" s="1"/>
  <c r="B11" i="7"/>
  <c r="CE11" i="7" s="1"/>
  <c r="E5" i="7"/>
  <c r="O3" i="7"/>
  <c r="O1" i="7" s="1"/>
  <c r="N2" i="7" s="1"/>
  <c r="G3" i="7"/>
  <c r="G2" i="7"/>
  <c r="N1" i="7"/>
  <c r="B29" i="6"/>
  <c r="Z25" i="6"/>
  <c r="X25" i="6"/>
  <c r="CQ11" i="6" s="1"/>
  <c r="B20" i="6"/>
  <c r="Z18" i="6"/>
  <c r="X18" i="6"/>
  <c r="BB11" i="6"/>
  <c r="CP11" i="6"/>
  <c r="CN11" i="6"/>
  <c r="CM11" i="6"/>
  <c r="CL11" i="6"/>
  <c r="CK11" i="6"/>
  <c r="CJ11" i="6"/>
  <c r="CI11" i="6"/>
  <c r="Z11" i="6"/>
  <c r="CF11" i="6" s="1"/>
  <c r="X11" i="6"/>
  <c r="CO11" i="6" s="1"/>
  <c r="B11" i="6"/>
  <c r="CE11" i="6" s="1"/>
  <c r="E5" i="6"/>
  <c r="O3" i="6"/>
  <c r="O1" i="6" s="1"/>
  <c r="N2" i="6" s="1"/>
  <c r="G3" i="6"/>
  <c r="G2" i="6"/>
  <c r="N1" i="6"/>
  <c r="B29" i="5"/>
  <c r="Z25" i="5"/>
  <c r="X25" i="5"/>
  <c r="CQ11" i="5" s="1"/>
  <c r="B20" i="5"/>
  <c r="Z18" i="5"/>
  <c r="BD11" i="5" s="1"/>
  <c r="X18" i="5"/>
  <c r="CP11" i="5" s="1"/>
  <c r="Z11" i="5"/>
  <c r="X11" i="5"/>
  <c r="CO11" i="5" s="1"/>
  <c r="B11" i="5"/>
  <c r="CE11" i="5" s="1"/>
  <c r="E5" i="5"/>
  <c r="O3" i="5"/>
  <c r="O1" i="5" s="1"/>
  <c r="N2" i="5" s="1"/>
  <c r="G3" i="5"/>
  <c r="G2" i="5"/>
  <c r="N1" i="5"/>
  <c r="B29" i="4"/>
  <c r="Z25" i="4"/>
  <c r="X25" i="4"/>
  <c r="CQ11" i="4" s="1"/>
  <c r="B20" i="4"/>
  <c r="Z11" i="4"/>
  <c r="X11" i="4"/>
  <c r="CO11" i="4" s="1"/>
  <c r="B11" i="4"/>
  <c r="CE11" i="4" s="1"/>
  <c r="E5" i="4"/>
  <c r="O3" i="4"/>
  <c r="O1" i="4" s="1"/>
  <c r="N2" i="4" s="1"/>
  <c r="G3" i="4"/>
  <c r="G2" i="4"/>
  <c r="N1" i="4"/>
  <c r="B29" i="3"/>
  <c r="Z25" i="3"/>
  <c r="X25" i="3"/>
  <c r="CQ11" i="3" s="1"/>
  <c r="B20" i="3"/>
  <c r="Z18" i="3"/>
  <c r="X18" i="3"/>
  <c r="CP11" i="3" s="1"/>
  <c r="Z11" i="3"/>
  <c r="CF11" i="3" s="1"/>
  <c r="X11" i="3"/>
  <c r="CO11" i="3" s="1"/>
  <c r="B11" i="3"/>
  <c r="CE11" i="3" s="1"/>
  <c r="E5" i="3"/>
  <c r="O3" i="3"/>
  <c r="O1" i="3" s="1"/>
  <c r="G3" i="3"/>
  <c r="G2" i="3"/>
  <c r="N1" i="3"/>
  <c r="B29" i="2"/>
  <c r="Z25" i="2"/>
  <c r="X25" i="2"/>
  <c r="CQ11" i="2" s="1"/>
  <c r="Z18" i="2"/>
  <c r="X18" i="2"/>
  <c r="CP11" i="2" s="1"/>
  <c r="CN11" i="2"/>
  <c r="CM11" i="2"/>
  <c r="CL11" i="2"/>
  <c r="CK11" i="2"/>
  <c r="CJ11" i="2"/>
  <c r="CI11" i="2"/>
  <c r="Z11" i="2"/>
  <c r="CF11" i="2" s="1"/>
  <c r="X11" i="2"/>
  <c r="CO11" i="2" s="1"/>
  <c r="CE11" i="2"/>
  <c r="O1" i="2"/>
  <c r="N1" i="2"/>
  <c r="B29" i="1"/>
  <c r="Z25" i="1"/>
  <c r="X25" i="1"/>
  <c r="CQ11" i="1" s="1"/>
  <c r="B20" i="1"/>
  <c r="Z18" i="1"/>
  <c r="X18" i="1"/>
  <c r="CP11" i="1" s="1"/>
  <c r="AX11" i="1"/>
  <c r="CN11" i="1"/>
  <c r="CM11" i="1"/>
  <c r="CL11" i="1"/>
  <c r="CK11" i="1"/>
  <c r="CJ11" i="1"/>
  <c r="CI11" i="1"/>
  <c r="Z11" i="1"/>
  <c r="CF11" i="1" s="1"/>
  <c r="X11" i="1"/>
  <c r="CO11" i="1" s="1"/>
  <c r="B11" i="1"/>
  <c r="CE11" i="1" s="1"/>
  <c r="E5" i="1"/>
  <c r="D4" i="1"/>
  <c r="O3" i="1"/>
  <c r="O1" i="1" s="1"/>
  <c r="G3" i="1"/>
  <c r="G2" i="1"/>
  <c r="N1" i="1"/>
  <c r="CF11" i="4" l="1"/>
  <c r="AZ11" i="4"/>
  <c r="CF11" i="31"/>
  <c r="AZ11" i="31"/>
  <c r="BA11" i="31"/>
  <c r="CG11" i="27"/>
  <c r="CG11" i="30"/>
  <c r="BD11" i="31"/>
  <c r="BE11" i="31"/>
  <c r="BP11" i="4"/>
  <c r="BT11" i="4"/>
  <c r="BP11" i="31"/>
  <c r="BQ11" i="31"/>
  <c r="BT11" i="31"/>
  <c r="BU11" i="31"/>
  <c r="CG11" i="4"/>
  <c r="CG11" i="31"/>
  <c r="BC11" i="4"/>
  <c r="BE11" i="4" s="1"/>
  <c r="AY11" i="4"/>
  <c r="BA11" i="4" s="1"/>
  <c r="BO11" i="4"/>
  <c r="BQ11" i="4" s="1"/>
  <c r="BS11" i="4"/>
  <c r="BU11" i="4" s="1"/>
  <c r="E17" i="4"/>
  <c r="G17" i="4" s="1"/>
  <c r="H17" i="4" s="1"/>
  <c r="K17" i="4" s="1"/>
  <c r="N17" i="4" s="1"/>
  <c r="O17" i="4" s="1"/>
  <c r="E16" i="4"/>
  <c r="G16" i="4" s="1"/>
  <c r="H16" i="4" s="1"/>
  <c r="K16" i="4" s="1"/>
  <c r="N16" i="4" s="1"/>
  <c r="O16" i="4" s="1"/>
  <c r="E10" i="4"/>
  <c r="G10" i="4" s="1"/>
  <c r="H10" i="4" s="1"/>
  <c r="J10" i="4" s="1"/>
  <c r="E8" i="4"/>
  <c r="G8" i="4" s="1"/>
  <c r="H8" i="4" s="1"/>
  <c r="J8" i="4" s="1"/>
  <c r="E18" i="4"/>
  <c r="G18" i="4" s="1"/>
  <c r="H18" i="4" s="1"/>
  <c r="K18" i="4" s="1"/>
  <c r="N18" i="4" s="1"/>
  <c r="O18" i="4" s="1"/>
  <c r="E9" i="4"/>
  <c r="G9" i="4" s="1"/>
  <c r="H9" i="4" s="1"/>
  <c r="J9" i="4" s="1"/>
  <c r="E14" i="4"/>
  <c r="E27" i="4"/>
  <c r="G27" i="4" s="1"/>
  <c r="H27" i="4" s="1"/>
  <c r="K27" i="4" s="1"/>
  <c r="N27" i="4" s="1"/>
  <c r="O27" i="4" s="1"/>
  <c r="E24" i="4"/>
  <c r="G24" i="4" s="1"/>
  <c r="E23" i="4"/>
  <c r="E7" i="4"/>
  <c r="E25" i="4"/>
  <c r="G25" i="4" s="1"/>
  <c r="H25" i="4" s="1"/>
  <c r="K25" i="4" s="1"/>
  <c r="N25" i="4" s="1"/>
  <c r="O25" i="4" s="1"/>
  <c r="E15" i="4"/>
  <c r="G15" i="4" s="1"/>
  <c r="E26" i="4"/>
  <c r="G26" i="4" s="1"/>
  <c r="H26" i="4" s="1"/>
  <c r="K26" i="4" s="1"/>
  <c r="N26" i="4" s="1"/>
  <c r="O26" i="4" s="1"/>
  <c r="CF11" i="5"/>
  <c r="AZ11" i="5"/>
  <c r="E10" i="21"/>
  <c r="G10" i="21" s="1"/>
  <c r="H10" i="21" s="1"/>
  <c r="J10" i="21" s="1"/>
  <c r="E18" i="21"/>
  <c r="G18" i="21" s="1"/>
  <c r="H18" i="21" s="1"/>
  <c r="K18" i="21" s="1"/>
  <c r="N18" i="21" s="1"/>
  <c r="O18" i="21" s="1"/>
  <c r="E15" i="21"/>
  <c r="G15" i="21" s="1"/>
  <c r="E23" i="21"/>
  <c r="E9" i="21"/>
  <c r="G9" i="21" s="1"/>
  <c r="H9" i="21" s="1"/>
  <c r="J9" i="21" s="1"/>
  <c r="E8" i="21"/>
  <c r="G8" i="21" s="1"/>
  <c r="H8" i="21" s="1"/>
  <c r="J8" i="21" s="1"/>
  <c r="E16" i="21"/>
  <c r="G16" i="21" s="1"/>
  <c r="H16" i="21" s="1"/>
  <c r="K16" i="21" s="1"/>
  <c r="N16" i="21" s="1"/>
  <c r="O16" i="21" s="1"/>
  <c r="E7" i="21"/>
  <c r="E14" i="21"/>
  <c r="E26" i="21"/>
  <c r="G26" i="21" s="1"/>
  <c r="H26" i="21" s="1"/>
  <c r="K26" i="21" s="1"/>
  <c r="N26" i="21" s="1"/>
  <c r="O26" i="21" s="1"/>
  <c r="E17" i="21"/>
  <c r="G17" i="21" s="1"/>
  <c r="H17" i="21" s="1"/>
  <c r="K17" i="21" s="1"/>
  <c r="N17" i="21" s="1"/>
  <c r="O17" i="21" s="1"/>
  <c r="E25" i="21"/>
  <c r="G25" i="21" s="1"/>
  <c r="H25" i="21" s="1"/>
  <c r="K25" i="21" s="1"/>
  <c r="N25" i="21" s="1"/>
  <c r="O25" i="21" s="1"/>
  <c r="E24" i="21"/>
  <c r="G24" i="21" s="1"/>
  <c r="E27" i="21"/>
  <c r="G27" i="21" s="1"/>
  <c r="H27" i="21" s="1"/>
  <c r="K27" i="21" s="1"/>
  <c r="N27" i="21" s="1"/>
  <c r="O27" i="21" s="1"/>
  <c r="E26" i="26"/>
  <c r="G26" i="26" s="1"/>
  <c r="H26" i="26" s="1"/>
  <c r="E15" i="26"/>
  <c r="G15" i="26" s="1"/>
  <c r="E16" i="26"/>
  <c r="G16" i="26" s="1"/>
  <c r="H16" i="26" s="1"/>
  <c r="E9" i="26"/>
  <c r="G9" i="26" s="1"/>
  <c r="H9" i="26" s="1"/>
  <c r="E7" i="26"/>
  <c r="E17" i="26"/>
  <c r="G17" i="26" s="1"/>
  <c r="H17" i="26" s="1"/>
  <c r="E18" i="26"/>
  <c r="G18" i="26" s="1"/>
  <c r="H18" i="26" s="1"/>
  <c r="E8" i="26"/>
  <c r="G8" i="26" s="1"/>
  <c r="H8" i="26" s="1"/>
  <c r="E27" i="26"/>
  <c r="G27" i="26" s="1"/>
  <c r="H27" i="26" s="1"/>
  <c r="E23" i="26"/>
  <c r="E14" i="26"/>
  <c r="E10" i="26"/>
  <c r="G10" i="26" s="1"/>
  <c r="H10" i="26" s="1"/>
  <c r="E24" i="26"/>
  <c r="G24" i="26" s="1"/>
  <c r="E25" i="26"/>
  <c r="G25" i="26" s="1"/>
  <c r="H25" i="26" s="1"/>
  <c r="E26" i="3"/>
  <c r="G26" i="3" s="1"/>
  <c r="H26" i="3" s="1"/>
  <c r="K26" i="3" s="1"/>
  <c r="N26" i="3" s="1"/>
  <c r="O26" i="3" s="1"/>
  <c r="E17" i="3"/>
  <c r="G17" i="3" s="1"/>
  <c r="H17" i="3" s="1"/>
  <c r="E16" i="3"/>
  <c r="G16" i="3" s="1"/>
  <c r="H16" i="3" s="1"/>
  <c r="E9" i="3"/>
  <c r="G9" i="3" s="1"/>
  <c r="H9" i="3" s="1"/>
  <c r="E27" i="3"/>
  <c r="G27" i="3" s="1"/>
  <c r="H27" i="3" s="1"/>
  <c r="E7" i="3"/>
  <c r="E23" i="3"/>
  <c r="E10" i="3"/>
  <c r="G10" i="3" s="1"/>
  <c r="H10" i="3" s="1"/>
  <c r="E8" i="3"/>
  <c r="G8" i="3" s="1"/>
  <c r="H8" i="3" s="1"/>
  <c r="J8" i="3" s="1"/>
  <c r="E14" i="3"/>
  <c r="E15" i="3"/>
  <c r="G15" i="3" s="1"/>
  <c r="E25" i="3"/>
  <c r="G25" i="3" s="1"/>
  <c r="H25" i="3" s="1"/>
  <c r="E18" i="3"/>
  <c r="G18" i="3" s="1"/>
  <c r="H18" i="3" s="1"/>
  <c r="E24" i="3"/>
  <c r="G24" i="3" s="1"/>
  <c r="E10" i="20"/>
  <c r="G10" i="20" s="1"/>
  <c r="H10" i="20" s="1"/>
  <c r="J10" i="20" s="1"/>
  <c r="E9" i="20"/>
  <c r="G9" i="20" s="1"/>
  <c r="H9" i="20" s="1"/>
  <c r="J9" i="20" s="1"/>
  <c r="E18" i="20"/>
  <c r="G18" i="20" s="1"/>
  <c r="H18" i="20" s="1"/>
  <c r="K18" i="20" s="1"/>
  <c r="N18" i="20" s="1"/>
  <c r="O18" i="20" s="1"/>
  <c r="E7" i="20"/>
  <c r="E23" i="20"/>
  <c r="E27" i="20"/>
  <c r="G27" i="20" s="1"/>
  <c r="H27" i="20" s="1"/>
  <c r="K27" i="20" s="1"/>
  <c r="N27" i="20" s="1"/>
  <c r="O27" i="20" s="1"/>
  <c r="E17" i="20"/>
  <c r="G17" i="20" s="1"/>
  <c r="H17" i="20" s="1"/>
  <c r="K17" i="20" s="1"/>
  <c r="N17" i="20" s="1"/>
  <c r="O17" i="20" s="1"/>
  <c r="E24" i="20"/>
  <c r="G24" i="20" s="1"/>
  <c r="E16" i="20"/>
  <c r="G16" i="20" s="1"/>
  <c r="H16" i="20" s="1"/>
  <c r="K16" i="20" s="1"/>
  <c r="N16" i="20" s="1"/>
  <c r="O16" i="20" s="1"/>
  <c r="E15" i="20"/>
  <c r="G15" i="20" s="1"/>
  <c r="E14" i="20"/>
  <c r="E8" i="20"/>
  <c r="G8" i="20" s="1"/>
  <c r="H8" i="20" s="1"/>
  <c r="J8" i="20" s="1"/>
  <c r="E25" i="20"/>
  <c r="G25" i="20" s="1"/>
  <c r="H25" i="20" s="1"/>
  <c r="K25" i="20" s="1"/>
  <c r="N25" i="20" s="1"/>
  <c r="O25" i="20" s="1"/>
  <c r="E26" i="20"/>
  <c r="G26" i="20" s="1"/>
  <c r="H26" i="20" s="1"/>
  <c r="K26" i="20" s="1"/>
  <c r="N26" i="20" s="1"/>
  <c r="O26" i="20" s="1"/>
  <c r="CG11" i="21"/>
  <c r="E26" i="30"/>
  <c r="G26" i="30" s="1"/>
  <c r="H26" i="30" s="1"/>
  <c r="E10" i="30"/>
  <c r="G10" i="30" s="1"/>
  <c r="H10" i="30" s="1"/>
  <c r="E9" i="30"/>
  <c r="G9" i="30" s="1"/>
  <c r="H9" i="30" s="1"/>
  <c r="E18" i="30"/>
  <c r="G18" i="30" s="1"/>
  <c r="H18" i="30" s="1"/>
  <c r="E17" i="30"/>
  <c r="G17" i="30" s="1"/>
  <c r="H17" i="30" s="1"/>
  <c r="E15" i="30"/>
  <c r="G15" i="30" s="1"/>
  <c r="E8" i="30"/>
  <c r="G8" i="30" s="1"/>
  <c r="H8" i="30" s="1"/>
  <c r="E23" i="30"/>
  <c r="E25" i="30"/>
  <c r="G25" i="30" s="1"/>
  <c r="H25" i="30" s="1"/>
  <c r="E7" i="30"/>
  <c r="E16" i="30"/>
  <c r="G16" i="30" s="1"/>
  <c r="H16" i="30" s="1"/>
  <c r="E14" i="30"/>
  <c r="E24" i="30"/>
  <c r="G24" i="30" s="1"/>
  <c r="E27" i="30"/>
  <c r="G27" i="30" s="1"/>
  <c r="H27" i="30" s="1"/>
  <c r="E9" i="1"/>
  <c r="G9" i="1" s="1"/>
  <c r="H9" i="1" s="1"/>
  <c r="E8" i="1"/>
  <c r="G8" i="1" s="1"/>
  <c r="H8" i="1" s="1"/>
  <c r="E7" i="1"/>
  <c r="E23" i="1"/>
  <c r="E17" i="1"/>
  <c r="G17" i="1" s="1"/>
  <c r="H17" i="1" s="1"/>
  <c r="E16" i="1"/>
  <c r="G16" i="1" s="1"/>
  <c r="H16" i="1" s="1"/>
  <c r="E27" i="1"/>
  <c r="G27" i="1" s="1"/>
  <c r="H27" i="1" s="1"/>
  <c r="E10" i="1"/>
  <c r="G10" i="1" s="1"/>
  <c r="H10" i="1" s="1"/>
  <c r="E26" i="1"/>
  <c r="G26" i="1" s="1"/>
  <c r="H26" i="1" s="1"/>
  <c r="E24" i="1"/>
  <c r="G24" i="1" s="1"/>
  <c r="E15" i="1"/>
  <c r="G15" i="1" s="1"/>
  <c r="E14" i="1"/>
  <c r="E18" i="1"/>
  <c r="G18" i="1" s="1"/>
  <c r="H18" i="1" s="1"/>
  <c r="E25" i="1"/>
  <c r="G25" i="1" s="1"/>
  <c r="H25" i="1" s="1"/>
  <c r="CG11" i="3"/>
  <c r="E16" i="11"/>
  <c r="G16" i="11" s="1"/>
  <c r="H16" i="11" s="1"/>
  <c r="E17" i="11"/>
  <c r="G17" i="11" s="1"/>
  <c r="H17" i="11" s="1"/>
  <c r="E26" i="11"/>
  <c r="G26" i="11" s="1"/>
  <c r="H26" i="11" s="1"/>
  <c r="E10" i="11"/>
  <c r="G10" i="11" s="1"/>
  <c r="H10" i="11" s="1"/>
  <c r="E7" i="11"/>
  <c r="E25" i="11"/>
  <c r="G25" i="11" s="1"/>
  <c r="H25" i="11" s="1"/>
  <c r="E15" i="11"/>
  <c r="G15" i="11" s="1"/>
  <c r="E8" i="11"/>
  <c r="G8" i="11" s="1"/>
  <c r="H8" i="11" s="1"/>
  <c r="E24" i="11"/>
  <c r="G24" i="11" s="1"/>
  <c r="E14" i="11"/>
  <c r="E27" i="11"/>
  <c r="G27" i="11" s="1"/>
  <c r="H27" i="11" s="1"/>
  <c r="E18" i="11"/>
  <c r="G18" i="11" s="1"/>
  <c r="H18" i="11" s="1"/>
  <c r="E9" i="11"/>
  <c r="G9" i="11" s="1"/>
  <c r="H9" i="11" s="1"/>
  <c r="E23" i="11"/>
  <c r="CG11" i="20"/>
  <c r="BS11" i="28"/>
  <c r="BU11" i="28" s="1"/>
  <c r="AY11" i="28"/>
  <c r="BA11" i="28" s="1"/>
  <c r="BO11" i="28"/>
  <c r="BQ11" i="28" s="1"/>
  <c r="BC11" i="28"/>
  <c r="BE11" i="28" s="1"/>
  <c r="E18" i="29"/>
  <c r="G18" i="29" s="1"/>
  <c r="H18" i="29" s="1"/>
  <c r="E9" i="29"/>
  <c r="G9" i="29" s="1"/>
  <c r="H9" i="29" s="1"/>
  <c r="E15" i="29"/>
  <c r="G15" i="29" s="1"/>
  <c r="E17" i="29"/>
  <c r="G17" i="29" s="1"/>
  <c r="H17" i="29" s="1"/>
  <c r="E16" i="29"/>
  <c r="G16" i="29" s="1"/>
  <c r="H16" i="29" s="1"/>
  <c r="E7" i="29"/>
  <c r="E26" i="29"/>
  <c r="G26" i="29" s="1"/>
  <c r="H26" i="29" s="1"/>
  <c r="E8" i="29"/>
  <c r="G8" i="29" s="1"/>
  <c r="H8" i="29" s="1"/>
  <c r="J8" i="29" s="1"/>
  <c r="E14" i="29"/>
  <c r="E25" i="29"/>
  <c r="G25" i="29" s="1"/>
  <c r="H25" i="29" s="1"/>
  <c r="E27" i="29"/>
  <c r="G27" i="29" s="1"/>
  <c r="H27" i="29" s="1"/>
  <c r="E10" i="29"/>
  <c r="G10" i="29" s="1"/>
  <c r="H10" i="29" s="1"/>
  <c r="E23" i="29"/>
  <c r="E24" i="29"/>
  <c r="G24" i="29" s="1"/>
  <c r="E10" i="19"/>
  <c r="G10" i="19" s="1"/>
  <c r="H10" i="19" s="1"/>
  <c r="E18" i="19"/>
  <c r="G18" i="19" s="1"/>
  <c r="H18" i="19" s="1"/>
  <c r="K18" i="19" s="1"/>
  <c r="N18" i="19" s="1"/>
  <c r="O18" i="19" s="1"/>
  <c r="E9" i="19"/>
  <c r="G9" i="19" s="1"/>
  <c r="H9" i="19" s="1"/>
  <c r="E26" i="19"/>
  <c r="G26" i="19" s="1"/>
  <c r="H26" i="19" s="1"/>
  <c r="K26" i="19" s="1"/>
  <c r="N26" i="19" s="1"/>
  <c r="O26" i="19" s="1"/>
  <c r="E24" i="19"/>
  <c r="G24" i="19" s="1"/>
  <c r="E8" i="19"/>
  <c r="G8" i="19" s="1"/>
  <c r="H8" i="19" s="1"/>
  <c r="J8" i="19" s="1"/>
  <c r="E15" i="19"/>
  <c r="G15" i="19" s="1"/>
  <c r="E16" i="19"/>
  <c r="G16" i="19" s="1"/>
  <c r="H16" i="19" s="1"/>
  <c r="E17" i="19"/>
  <c r="G17" i="19" s="1"/>
  <c r="H17" i="19" s="1"/>
  <c r="E7" i="19"/>
  <c r="E14" i="19"/>
  <c r="E25" i="19"/>
  <c r="G25" i="19" s="1"/>
  <c r="H25" i="19" s="1"/>
  <c r="K25" i="19" s="1"/>
  <c r="N25" i="19" s="1"/>
  <c r="O25" i="19" s="1"/>
  <c r="E23" i="19"/>
  <c r="E27" i="19"/>
  <c r="G27" i="19" s="1"/>
  <c r="H27" i="19" s="1"/>
  <c r="K27" i="19" s="1"/>
  <c r="N27" i="19" s="1"/>
  <c r="O27" i="19" s="1"/>
  <c r="E10" i="25"/>
  <c r="G10" i="25" s="1"/>
  <c r="H10" i="25" s="1"/>
  <c r="J10" i="25" s="1"/>
  <c r="E23" i="25"/>
  <c r="E9" i="25"/>
  <c r="G9" i="25" s="1"/>
  <c r="H9" i="25" s="1"/>
  <c r="J9" i="25" s="1"/>
  <c r="E18" i="25"/>
  <c r="G18" i="25" s="1"/>
  <c r="H18" i="25" s="1"/>
  <c r="K18" i="25" s="1"/>
  <c r="N18" i="25" s="1"/>
  <c r="O18" i="25" s="1"/>
  <c r="E15" i="25"/>
  <c r="G15" i="25" s="1"/>
  <c r="E26" i="25"/>
  <c r="G26" i="25" s="1"/>
  <c r="H26" i="25" s="1"/>
  <c r="K26" i="25" s="1"/>
  <c r="N26" i="25" s="1"/>
  <c r="O26" i="25" s="1"/>
  <c r="E7" i="25"/>
  <c r="E27" i="25"/>
  <c r="G27" i="25" s="1"/>
  <c r="H27" i="25" s="1"/>
  <c r="K27" i="25" s="1"/>
  <c r="N27" i="25" s="1"/>
  <c r="O27" i="25" s="1"/>
  <c r="E24" i="25"/>
  <c r="G24" i="25" s="1"/>
  <c r="E25" i="25"/>
  <c r="G25" i="25" s="1"/>
  <c r="H25" i="25" s="1"/>
  <c r="K25" i="25" s="1"/>
  <c r="N25" i="25" s="1"/>
  <c r="O25" i="25" s="1"/>
  <c r="E17" i="25"/>
  <c r="G17" i="25" s="1"/>
  <c r="H17" i="25" s="1"/>
  <c r="K17" i="25" s="1"/>
  <c r="N17" i="25" s="1"/>
  <c r="O17" i="25" s="1"/>
  <c r="E16" i="25"/>
  <c r="G16" i="25" s="1"/>
  <c r="H16" i="25" s="1"/>
  <c r="K16" i="25" s="1"/>
  <c r="N16" i="25" s="1"/>
  <c r="O16" i="25" s="1"/>
  <c r="E8" i="25"/>
  <c r="G8" i="25" s="1"/>
  <c r="H8" i="25" s="1"/>
  <c r="J8" i="25" s="1"/>
  <c r="E14" i="25"/>
  <c r="E17" i="28"/>
  <c r="G17" i="28" s="1"/>
  <c r="H17" i="28" s="1"/>
  <c r="K17" i="28" s="1"/>
  <c r="N17" i="28" s="1"/>
  <c r="O17" i="28" s="1"/>
  <c r="E9" i="28"/>
  <c r="G9" i="28" s="1"/>
  <c r="H9" i="28" s="1"/>
  <c r="J9" i="28" s="1"/>
  <c r="E7" i="28"/>
  <c r="E27" i="28"/>
  <c r="G27" i="28" s="1"/>
  <c r="H27" i="28" s="1"/>
  <c r="K27" i="28" s="1"/>
  <c r="N27" i="28" s="1"/>
  <c r="O27" i="28" s="1"/>
  <c r="E8" i="28"/>
  <c r="G8" i="28" s="1"/>
  <c r="H8" i="28" s="1"/>
  <c r="J8" i="28" s="1"/>
  <c r="E26" i="28"/>
  <c r="G26" i="28" s="1"/>
  <c r="H26" i="28" s="1"/>
  <c r="K26" i="28" s="1"/>
  <c r="N26" i="28" s="1"/>
  <c r="O26" i="28" s="1"/>
  <c r="E10" i="28"/>
  <c r="G10" i="28" s="1"/>
  <c r="H10" i="28" s="1"/>
  <c r="J10" i="28" s="1"/>
  <c r="E14" i="28"/>
  <c r="E18" i="28"/>
  <c r="G18" i="28" s="1"/>
  <c r="H18" i="28" s="1"/>
  <c r="K18" i="28" s="1"/>
  <c r="N18" i="28" s="1"/>
  <c r="O18" i="28" s="1"/>
  <c r="E24" i="28"/>
  <c r="G24" i="28" s="1"/>
  <c r="E23" i="28"/>
  <c r="E25" i="28"/>
  <c r="G25" i="28" s="1"/>
  <c r="H25" i="28" s="1"/>
  <c r="K25" i="28" s="1"/>
  <c r="N25" i="28" s="1"/>
  <c r="O25" i="28" s="1"/>
  <c r="E15" i="28"/>
  <c r="G15" i="28" s="1"/>
  <c r="E16" i="28"/>
  <c r="G16" i="28" s="1"/>
  <c r="H16" i="28" s="1"/>
  <c r="K16" i="28" s="1"/>
  <c r="N16" i="28" s="1"/>
  <c r="O16" i="28" s="1"/>
  <c r="BT11" i="28"/>
  <c r="BP11" i="28"/>
  <c r="E17" i="10"/>
  <c r="G17" i="10" s="1"/>
  <c r="H17" i="10" s="1"/>
  <c r="E7" i="10"/>
  <c r="E10" i="10"/>
  <c r="G10" i="10" s="1"/>
  <c r="H10" i="10" s="1"/>
  <c r="E15" i="10"/>
  <c r="G15" i="10" s="1"/>
  <c r="E16" i="10"/>
  <c r="G16" i="10" s="1"/>
  <c r="H16" i="10" s="1"/>
  <c r="E27" i="10"/>
  <c r="G27" i="10" s="1"/>
  <c r="H27" i="10" s="1"/>
  <c r="E9" i="10"/>
  <c r="G9" i="10" s="1"/>
  <c r="H9" i="10" s="1"/>
  <c r="E18" i="10"/>
  <c r="G18" i="10" s="1"/>
  <c r="H18" i="10" s="1"/>
  <c r="E23" i="10"/>
  <c r="E25" i="10"/>
  <c r="G25" i="10" s="1"/>
  <c r="H25" i="10" s="1"/>
  <c r="E26" i="10"/>
  <c r="G26" i="10" s="1"/>
  <c r="H26" i="10" s="1"/>
  <c r="E24" i="10"/>
  <c r="G24" i="10" s="1"/>
  <c r="E8" i="10"/>
  <c r="G8" i="10" s="1"/>
  <c r="H8" i="10" s="1"/>
  <c r="E14" i="10"/>
  <c r="E26" i="15"/>
  <c r="G26" i="15" s="1"/>
  <c r="H26" i="15" s="1"/>
  <c r="K26" i="15" s="1"/>
  <c r="N26" i="15" s="1"/>
  <c r="O26" i="15" s="1"/>
  <c r="E10" i="15"/>
  <c r="G10" i="15" s="1"/>
  <c r="H10" i="15" s="1"/>
  <c r="J10" i="15" s="1"/>
  <c r="E18" i="15"/>
  <c r="G18" i="15" s="1"/>
  <c r="H18" i="15" s="1"/>
  <c r="K18" i="15" s="1"/>
  <c r="N18" i="15" s="1"/>
  <c r="O18" i="15" s="1"/>
  <c r="E9" i="15"/>
  <c r="G9" i="15" s="1"/>
  <c r="H9" i="15" s="1"/>
  <c r="J9" i="15" s="1"/>
  <c r="E23" i="15"/>
  <c r="E27" i="15"/>
  <c r="G27" i="15" s="1"/>
  <c r="H27" i="15" s="1"/>
  <c r="K27" i="15" s="1"/>
  <c r="N27" i="15" s="1"/>
  <c r="O27" i="15" s="1"/>
  <c r="E15" i="15"/>
  <c r="G15" i="15" s="1"/>
  <c r="E17" i="15"/>
  <c r="G17" i="15" s="1"/>
  <c r="H17" i="15" s="1"/>
  <c r="K17" i="15" s="1"/>
  <c r="N17" i="15" s="1"/>
  <c r="O17" i="15" s="1"/>
  <c r="E24" i="15"/>
  <c r="G24" i="15" s="1"/>
  <c r="E8" i="15"/>
  <c r="G8" i="15" s="1"/>
  <c r="H8" i="15" s="1"/>
  <c r="J8" i="15" s="1"/>
  <c r="E16" i="15"/>
  <c r="G16" i="15" s="1"/>
  <c r="H16" i="15" s="1"/>
  <c r="K16" i="15" s="1"/>
  <c r="N16" i="15" s="1"/>
  <c r="O16" i="15" s="1"/>
  <c r="E7" i="15"/>
  <c r="E25" i="15"/>
  <c r="G25" i="15" s="1"/>
  <c r="H25" i="15" s="1"/>
  <c r="K25" i="15" s="1"/>
  <c r="N25" i="15" s="1"/>
  <c r="O25" i="15" s="1"/>
  <c r="E14" i="15"/>
  <c r="E7" i="18"/>
  <c r="E23" i="18"/>
  <c r="E17" i="18"/>
  <c r="G17" i="18" s="1"/>
  <c r="H17" i="18" s="1"/>
  <c r="E10" i="18"/>
  <c r="G10" i="18" s="1"/>
  <c r="H10" i="18" s="1"/>
  <c r="E18" i="18"/>
  <c r="G18" i="18" s="1"/>
  <c r="H18" i="18" s="1"/>
  <c r="E26" i="18"/>
  <c r="G26" i="18" s="1"/>
  <c r="H26" i="18" s="1"/>
  <c r="E25" i="18"/>
  <c r="G25" i="18" s="1"/>
  <c r="H25" i="18" s="1"/>
  <c r="E15" i="18"/>
  <c r="G15" i="18" s="1"/>
  <c r="E16" i="18"/>
  <c r="G16" i="18" s="1"/>
  <c r="H16" i="18" s="1"/>
  <c r="E9" i="18"/>
  <c r="G9" i="18" s="1"/>
  <c r="H9" i="18" s="1"/>
  <c r="E27" i="18"/>
  <c r="G27" i="18" s="1"/>
  <c r="H27" i="18" s="1"/>
  <c r="E8" i="18"/>
  <c r="G8" i="18" s="1"/>
  <c r="H8" i="18" s="1"/>
  <c r="E24" i="18"/>
  <c r="G24" i="18" s="1"/>
  <c r="E14" i="18"/>
  <c r="E10" i="24"/>
  <c r="G10" i="24" s="1"/>
  <c r="H10" i="24" s="1"/>
  <c r="J10" i="24" s="1"/>
  <c r="E18" i="24"/>
  <c r="G18" i="24" s="1"/>
  <c r="H18" i="24" s="1"/>
  <c r="K18" i="24" s="1"/>
  <c r="N18" i="24" s="1"/>
  <c r="O18" i="24" s="1"/>
  <c r="E8" i="24"/>
  <c r="G8" i="24" s="1"/>
  <c r="H8" i="24" s="1"/>
  <c r="J8" i="24" s="1"/>
  <c r="E7" i="24"/>
  <c r="E23" i="24"/>
  <c r="E16" i="24"/>
  <c r="G16" i="24" s="1"/>
  <c r="H16" i="24" s="1"/>
  <c r="K16" i="24" s="1"/>
  <c r="N16" i="24" s="1"/>
  <c r="O16" i="24" s="1"/>
  <c r="E24" i="24"/>
  <c r="G24" i="24" s="1"/>
  <c r="E25" i="24"/>
  <c r="G25" i="24" s="1"/>
  <c r="H25" i="24" s="1"/>
  <c r="K25" i="24" s="1"/>
  <c r="N25" i="24" s="1"/>
  <c r="O25" i="24" s="1"/>
  <c r="E27" i="24"/>
  <c r="G27" i="24" s="1"/>
  <c r="H27" i="24" s="1"/>
  <c r="K27" i="24" s="1"/>
  <c r="N27" i="24" s="1"/>
  <c r="O27" i="24" s="1"/>
  <c r="E26" i="24"/>
  <c r="G26" i="24" s="1"/>
  <c r="H26" i="24" s="1"/>
  <c r="K26" i="24" s="1"/>
  <c r="N26" i="24" s="1"/>
  <c r="O26" i="24" s="1"/>
  <c r="E9" i="24"/>
  <c r="G9" i="24" s="1"/>
  <c r="H9" i="24" s="1"/>
  <c r="J9" i="24" s="1"/>
  <c r="E17" i="24"/>
  <c r="G17" i="24" s="1"/>
  <c r="H17" i="24" s="1"/>
  <c r="K17" i="24" s="1"/>
  <c r="N17" i="24" s="1"/>
  <c r="O17" i="24" s="1"/>
  <c r="E14" i="24"/>
  <c r="E15" i="24"/>
  <c r="G15" i="24" s="1"/>
  <c r="BO11" i="5"/>
  <c r="BQ11" i="5" s="1"/>
  <c r="BS11" i="5"/>
  <c r="BU11" i="5" s="1"/>
  <c r="BC11" i="5"/>
  <c r="BE11" i="5" s="1"/>
  <c r="AY11" i="5"/>
  <c r="BA11" i="5" s="1"/>
  <c r="E17" i="5"/>
  <c r="G17" i="5" s="1"/>
  <c r="H17" i="5" s="1"/>
  <c r="K17" i="5" s="1"/>
  <c r="N17" i="5" s="1"/>
  <c r="O17" i="5" s="1"/>
  <c r="E7" i="5"/>
  <c r="E15" i="5"/>
  <c r="G15" i="5" s="1"/>
  <c r="E10" i="5"/>
  <c r="G10" i="5" s="1"/>
  <c r="H10" i="5" s="1"/>
  <c r="J10" i="5" s="1"/>
  <c r="E16" i="5"/>
  <c r="G16" i="5" s="1"/>
  <c r="H16" i="5" s="1"/>
  <c r="K16" i="5" s="1"/>
  <c r="N16" i="5" s="1"/>
  <c r="O16" i="5" s="1"/>
  <c r="E25" i="5"/>
  <c r="G25" i="5" s="1"/>
  <c r="H25" i="5" s="1"/>
  <c r="K25" i="5" s="1"/>
  <c r="N25" i="5" s="1"/>
  <c r="O25" i="5" s="1"/>
  <c r="E26" i="5"/>
  <c r="G26" i="5" s="1"/>
  <c r="H26" i="5" s="1"/>
  <c r="K26" i="5" s="1"/>
  <c r="N26" i="5" s="1"/>
  <c r="O26" i="5" s="1"/>
  <c r="E24" i="5"/>
  <c r="G24" i="5" s="1"/>
  <c r="E8" i="5"/>
  <c r="G8" i="5" s="1"/>
  <c r="H8" i="5" s="1"/>
  <c r="J8" i="5" s="1"/>
  <c r="E18" i="5"/>
  <c r="G18" i="5" s="1"/>
  <c r="H18" i="5" s="1"/>
  <c r="K18" i="5" s="1"/>
  <c r="N18" i="5" s="1"/>
  <c r="O18" i="5" s="1"/>
  <c r="E27" i="5"/>
  <c r="G27" i="5" s="1"/>
  <c r="H27" i="5" s="1"/>
  <c r="K27" i="5" s="1"/>
  <c r="N27" i="5" s="1"/>
  <c r="O27" i="5" s="1"/>
  <c r="E14" i="5"/>
  <c r="E23" i="5"/>
  <c r="E9" i="5"/>
  <c r="G9" i="5" s="1"/>
  <c r="H9" i="5" s="1"/>
  <c r="J9" i="5" s="1"/>
  <c r="BP11" i="5"/>
  <c r="BT11" i="5"/>
  <c r="E17" i="14"/>
  <c r="G17" i="14" s="1"/>
  <c r="H17" i="14" s="1"/>
  <c r="K17" i="14" s="1"/>
  <c r="N17" i="14" s="1"/>
  <c r="O17" i="14" s="1"/>
  <c r="E16" i="14"/>
  <c r="G16" i="14" s="1"/>
  <c r="H16" i="14" s="1"/>
  <c r="K16" i="14" s="1"/>
  <c r="N16" i="14" s="1"/>
  <c r="O16" i="14" s="1"/>
  <c r="E7" i="14"/>
  <c r="E26" i="14"/>
  <c r="G26" i="14" s="1"/>
  <c r="H26" i="14" s="1"/>
  <c r="K26" i="14" s="1"/>
  <c r="N26" i="14" s="1"/>
  <c r="O26" i="14" s="1"/>
  <c r="E18" i="14"/>
  <c r="G18" i="14" s="1"/>
  <c r="H18" i="14" s="1"/>
  <c r="K18" i="14" s="1"/>
  <c r="N18" i="14" s="1"/>
  <c r="O18" i="14" s="1"/>
  <c r="E27" i="14"/>
  <c r="G27" i="14" s="1"/>
  <c r="H27" i="14" s="1"/>
  <c r="K27" i="14" s="1"/>
  <c r="N27" i="14" s="1"/>
  <c r="O27" i="14" s="1"/>
  <c r="E9" i="14"/>
  <c r="G9" i="14" s="1"/>
  <c r="H9" i="14" s="1"/>
  <c r="J9" i="14" s="1"/>
  <c r="E15" i="14"/>
  <c r="G15" i="14" s="1"/>
  <c r="E8" i="14"/>
  <c r="G8" i="14" s="1"/>
  <c r="H8" i="14" s="1"/>
  <c r="J8" i="14" s="1"/>
  <c r="E23" i="14"/>
  <c r="E24" i="14"/>
  <c r="G24" i="14" s="1"/>
  <c r="E10" i="14"/>
  <c r="G10" i="14" s="1"/>
  <c r="H10" i="14" s="1"/>
  <c r="J10" i="14" s="1"/>
  <c r="E14" i="14"/>
  <c r="E25" i="14"/>
  <c r="G25" i="14" s="1"/>
  <c r="H25" i="14" s="1"/>
  <c r="K25" i="14" s="1"/>
  <c r="N25" i="14" s="1"/>
  <c r="O25" i="14" s="1"/>
  <c r="CG11" i="18"/>
  <c r="E7" i="12"/>
  <c r="E9" i="12"/>
  <c r="G9" i="12" s="1"/>
  <c r="H9" i="12" s="1"/>
  <c r="E10" i="12"/>
  <c r="G10" i="12" s="1"/>
  <c r="H10" i="12" s="1"/>
  <c r="J10" i="12" s="1"/>
  <c r="E26" i="12"/>
  <c r="G26" i="12" s="1"/>
  <c r="H26" i="12" s="1"/>
  <c r="E15" i="12"/>
  <c r="G15" i="12" s="1"/>
  <c r="E8" i="12"/>
  <c r="G8" i="12" s="1"/>
  <c r="H8" i="12" s="1"/>
  <c r="E16" i="12"/>
  <c r="G16" i="12" s="1"/>
  <c r="H16" i="12" s="1"/>
  <c r="E24" i="12"/>
  <c r="G24" i="12" s="1"/>
  <c r="E14" i="12"/>
  <c r="E25" i="12"/>
  <c r="G25" i="12" s="1"/>
  <c r="H25" i="12" s="1"/>
  <c r="E23" i="12"/>
  <c r="E17" i="12"/>
  <c r="G17" i="12" s="1"/>
  <c r="H17" i="12" s="1"/>
  <c r="E18" i="12"/>
  <c r="G18" i="12" s="1"/>
  <c r="H18" i="12" s="1"/>
  <c r="E27" i="12"/>
  <c r="G27" i="12" s="1"/>
  <c r="H27" i="12" s="1"/>
  <c r="E7" i="6"/>
  <c r="E17" i="6"/>
  <c r="G17" i="6" s="1"/>
  <c r="H17" i="6" s="1"/>
  <c r="K17" i="6" s="1"/>
  <c r="N17" i="6" s="1"/>
  <c r="O17" i="6" s="1"/>
  <c r="E16" i="6"/>
  <c r="G16" i="6" s="1"/>
  <c r="H16" i="6" s="1"/>
  <c r="K16" i="6" s="1"/>
  <c r="N16" i="6" s="1"/>
  <c r="O16" i="6" s="1"/>
  <c r="E27" i="6"/>
  <c r="G27" i="6" s="1"/>
  <c r="H27" i="6" s="1"/>
  <c r="K27" i="6" s="1"/>
  <c r="N27" i="6" s="1"/>
  <c r="O27" i="6" s="1"/>
  <c r="E15" i="6"/>
  <c r="G15" i="6" s="1"/>
  <c r="E18" i="6"/>
  <c r="G18" i="6" s="1"/>
  <c r="H18" i="6" s="1"/>
  <c r="K18" i="6" s="1"/>
  <c r="N18" i="6" s="1"/>
  <c r="O18" i="6" s="1"/>
  <c r="E8" i="6"/>
  <c r="G8" i="6" s="1"/>
  <c r="H8" i="6" s="1"/>
  <c r="J8" i="6" s="1"/>
  <c r="E9" i="6"/>
  <c r="G9" i="6" s="1"/>
  <c r="H9" i="6" s="1"/>
  <c r="J9" i="6" s="1"/>
  <c r="E26" i="6"/>
  <c r="G26" i="6" s="1"/>
  <c r="H26" i="6" s="1"/>
  <c r="K26" i="6" s="1"/>
  <c r="N26" i="6" s="1"/>
  <c r="O26" i="6" s="1"/>
  <c r="E14" i="6"/>
  <c r="E23" i="6"/>
  <c r="E24" i="6"/>
  <c r="G24" i="6" s="1"/>
  <c r="E10" i="6"/>
  <c r="G10" i="6" s="1"/>
  <c r="H10" i="6" s="1"/>
  <c r="J10" i="6" s="1"/>
  <c r="E25" i="6"/>
  <c r="G25" i="6" s="1"/>
  <c r="H25" i="6" s="1"/>
  <c r="K25" i="6" s="1"/>
  <c r="N25" i="6" s="1"/>
  <c r="O25" i="6" s="1"/>
  <c r="E17" i="7"/>
  <c r="G17" i="7" s="1"/>
  <c r="H17" i="7" s="1"/>
  <c r="K17" i="7" s="1"/>
  <c r="N17" i="7" s="1"/>
  <c r="O17" i="7" s="1"/>
  <c r="E7" i="7"/>
  <c r="E8" i="7"/>
  <c r="G8" i="7" s="1"/>
  <c r="H8" i="7" s="1"/>
  <c r="J8" i="7" s="1"/>
  <c r="E24" i="7"/>
  <c r="G24" i="7" s="1"/>
  <c r="E26" i="7"/>
  <c r="G26" i="7" s="1"/>
  <c r="H26" i="7" s="1"/>
  <c r="K26" i="7" s="1"/>
  <c r="N26" i="7" s="1"/>
  <c r="O26" i="7" s="1"/>
  <c r="E25" i="7"/>
  <c r="G25" i="7" s="1"/>
  <c r="H25" i="7" s="1"/>
  <c r="K25" i="7" s="1"/>
  <c r="N25" i="7" s="1"/>
  <c r="O25" i="7" s="1"/>
  <c r="E15" i="7"/>
  <c r="G15" i="7" s="1"/>
  <c r="E10" i="7"/>
  <c r="G10" i="7" s="1"/>
  <c r="H10" i="7" s="1"/>
  <c r="J10" i="7" s="1"/>
  <c r="E23" i="7"/>
  <c r="E16" i="7"/>
  <c r="G16" i="7" s="1"/>
  <c r="H16" i="7" s="1"/>
  <c r="K16" i="7" s="1"/>
  <c r="N16" i="7" s="1"/>
  <c r="O16" i="7" s="1"/>
  <c r="E18" i="7"/>
  <c r="G18" i="7" s="1"/>
  <c r="H18" i="7" s="1"/>
  <c r="K18" i="7" s="1"/>
  <c r="N18" i="7" s="1"/>
  <c r="O18" i="7" s="1"/>
  <c r="E14" i="7"/>
  <c r="E9" i="7"/>
  <c r="G9" i="7" s="1"/>
  <c r="H9" i="7" s="1"/>
  <c r="J9" i="7" s="1"/>
  <c r="E27" i="7"/>
  <c r="G27" i="7" s="1"/>
  <c r="H27" i="7" s="1"/>
  <c r="K27" i="7" s="1"/>
  <c r="N27" i="7" s="1"/>
  <c r="O27" i="7" s="1"/>
  <c r="CG11" i="5"/>
  <c r="E18" i="13"/>
  <c r="G18" i="13" s="1"/>
  <c r="H18" i="13" s="1"/>
  <c r="K18" i="13" s="1"/>
  <c r="N18" i="13" s="1"/>
  <c r="O18" i="13" s="1"/>
  <c r="E10" i="13"/>
  <c r="G10" i="13" s="1"/>
  <c r="H10" i="13" s="1"/>
  <c r="J10" i="13" s="1"/>
  <c r="E8" i="13"/>
  <c r="G8" i="13" s="1"/>
  <c r="H8" i="13" s="1"/>
  <c r="J8" i="13" s="1"/>
  <c r="E16" i="13"/>
  <c r="G16" i="13" s="1"/>
  <c r="H16" i="13" s="1"/>
  <c r="K16" i="13" s="1"/>
  <c r="N16" i="13" s="1"/>
  <c r="O16" i="13" s="1"/>
  <c r="E26" i="13"/>
  <c r="G26" i="13" s="1"/>
  <c r="H26" i="13" s="1"/>
  <c r="K26" i="13" s="1"/>
  <c r="N26" i="13" s="1"/>
  <c r="O26" i="13" s="1"/>
  <c r="E15" i="13"/>
  <c r="G15" i="13" s="1"/>
  <c r="E27" i="13"/>
  <c r="G27" i="13" s="1"/>
  <c r="H27" i="13" s="1"/>
  <c r="K27" i="13" s="1"/>
  <c r="N27" i="13" s="1"/>
  <c r="O27" i="13" s="1"/>
  <c r="E9" i="13"/>
  <c r="G9" i="13" s="1"/>
  <c r="H9" i="13" s="1"/>
  <c r="J9" i="13" s="1"/>
  <c r="E24" i="13"/>
  <c r="G24" i="13" s="1"/>
  <c r="E14" i="13"/>
  <c r="E23" i="13"/>
  <c r="E7" i="13"/>
  <c r="E17" i="13"/>
  <c r="G17" i="13" s="1"/>
  <c r="H17" i="13" s="1"/>
  <c r="K17" i="13" s="1"/>
  <c r="N17" i="13" s="1"/>
  <c r="O17" i="13" s="1"/>
  <c r="E25" i="13"/>
  <c r="G25" i="13" s="1"/>
  <c r="H25" i="13" s="1"/>
  <c r="K25" i="13" s="1"/>
  <c r="N25" i="13" s="1"/>
  <c r="O25" i="13" s="1"/>
  <c r="E16" i="27"/>
  <c r="G16" i="27" s="1"/>
  <c r="H16" i="27" s="1"/>
  <c r="K16" i="27" s="1"/>
  <c r="N16" i="27" s="1"/>
  <c r="O16" i="27" s="1"/>
  <c r="E15" i="27"/>
  <c r="G15" i="27" s="1"/>
  <c r="E17" i="27"/>
  <c r="G17" i="27" s="1"/>
  <c r="H17" i="27" s="1"/>
  <c r="K17" i="27" s="1"/>
  <c r="N17" i="27" s="1"/>
  <c r="O17" i="27" s="1"/>
  <c r="E10" i="27"/>
  <c r="G10" i="27" s="1"/>
  <c r="H10" i="27" s="1"/>
  <c r="J10" i="27" s="1"/>
  <c r="E23" i="27"/>
  <c r="E7" i="27"/>
  <c r="E9" i="27"/>
  <c r="G9" i="27" s="1"/>
  <c r="H9" i="27" s="1"/>
  <c r="J9" i="27" s="1"/>
  <c r="E24" i="27"/>
  <c r="G24" i="27" s="1"/>
  <c r="E25" i="27"/>
  <c r="G25" i="27" s="1"/>
  <c r="H25" i="27" s="1"/>
  <c r="K25" i="27" s="1"/>
  <c r="N25" i="27" s="1"/>
  <c r="O25" i="27" s="1"/>
  <c r="E18" i="27"/>
  <c r="G18" i="27" s="1"/>
  <c r="H18" i="27" s="1"/>
  <c r="K18" i="27" s="1"/>
  <c r="N18" i="27" s="1"/>
  <c r="O18" i="27" s="1"/>
  <c r="E14" i="27"/>
  <c r="E26" i="27"/>
  <c r="G26" i="27" s="1"/>
  <c r="H26" i="27" s="1"/>
  <c r="K26" i="27" s="1"/>
  <c r="N26" i="27" s="1"/>
  <c r="O26" i="27" s="1"/>
  <c r="E27" i="27"/>
  <c r="G27" i="27" s="1"/>
  <c r="H27" i="27" s="1"/>
  <c r="K27" i="27" s="1"/>
  <c r="N27" i="27" s="1"/>
  <c r="O27" i="27" s="1"/>
  <c r="E8" i="27"/>
  <c r="G8" i="27" s="1"/>
  <c r="H8" i="27" s="1"/>
  <c r="J8" i="27" s="1"/>
  <c r="CF11" i="28"/>
  <c r="CG11" i="28" s="1"/>
  <c r="AZ11" i="28"/>
  <c r="E10" i="31"/>
  <c r="G10" i="31" s="1"/>
  <c r="H10" i="31" s="1"/>
  <c r="J10" i="31" s="1"/>
  <c r="E23" i="31"/>
  <c r="E18" i="31"/>
  <c r="G18" i="31" s="1"/>
  <c r="H18" i="31" s="1"/>
  <c r="K18" i="31" s="1"/>
  <c r="N18" i="31" s="1"/>
  <c r="O18" i="31" s="1"/>
  <c r="E9" i="31"/>
  <c r="G9" i="31" s="1"/>
  <c r="H9" i="31" s="1"/>
  <c r="J9" i="31" s="1"/>
  <c r="E15" i="31"/>
  <c r="G15" i="31" s="1"/>
  <c r="E25" i="31"/>
  <c r="G25" i="31" s="1"/>
  <c r="H25" i="31" s="1"/>
  <c r="K25" i="31" s="1"/>
  <c r="N25" i="31" s="1"/>
  <c r="O25" i="31" s="1"/>
  <c r="E7" i="31"/>
  <c r="E8" i="31"/>
  <c r="G8" i="31" s="1"/>
  <c r="H8" i="31" s="1"/>
  <c r="J8" i="31" s="1"/>
  <c r="E17" i="31"/>
  <c r="G17" i="31" s="1"/>
  <c r="H17" i="31" s="1"/>
  <c r="K17" i="31" s="1"/>
  <c r="N17" i="31" s="1"/>
  <c r="O17" i="31" s="1"/>
  <c r="E26" i="31"/>
  <c r="G26" i="31" s="1"/>
  <c r="H26" i="31" s="1"/>
  <c r="K26" i="31" s="1"/>
  <c r="N26" i="31" s="1"/>
  <c r="O26" i="31" s="1"/>
  <c r="E27" i="31"/>
  <c r="G27" i="31" s="1"/>
  <c r="H27" i="31" s="1"/>
  <c r="K27" i="31" s="1"/>
  <c r="N27" i="31" s="1"/>
  <c r="O27" i="31" s="1"/>
  <c r="E16" i="31"/>
  <c r="G16" i="31" s="1"/>
  <c r="H16" i="31" s="1"/>
  <c r="K16" i="31" s="1"/>
  <c r="N16" i="31" s="1"/>
  <c r="O16" i="31" s="1"/>
  <c r="E24" i="31"/>
  <c r="G24" i="31" s="1"/>
  <c r="E14" i="31"/>
  <c r="K16" i="19"/>
  <c r="N16" i="19" s="1"/>
  <c r="O16" i="19" s="1"/>
  <c r="J10" i="19"/>
  <c r="J9" i="19"/>
  <c r="K17" i="19"/>
  <c r="N17" i="19" s="1"/>
  <c r="O17" i="19" s="1"/>
  <c r="N2" i="2"/>
  <c r="N3" i="2"/>
  <c r="CG11" i="11"/>
  <c r="CG11" i="13"/>
  <c r="BR11" i="30"/>
  <c r="BT11" i="30" s="1"/>
  <c r="N3" i="1"/>
  <c r="N2" i="1"/>
  <c r="BB11" i="3"/>
  <c r="AX11" i="3"/>
  <c r="BB11" i="11"/>
  <c r="BB11" i="13"/>
  <c r="AX11" i="13"/>
  <c r="AY11" i="1"/>
  <c r="BA11" i="1" s="1"/>
  <c r="BN11" i="3"/>
  <c r="BN11" i="6"/>
  <c r="BO11" i="6" s="1"/>
  <c r="BQ11" i="6" s="1"/>
  <c r="CG11" i="10"/>
  <c r="BR11" i="11"/>
  <c r="BN11" i="13"/>
  <c r="AX11" i="14"/>
  <c r="AY11" i="14" s="1"/>
  <c r="BA11" i="14" s="1"/>
  <c r="CG11" i="15"/>
  <c r="BN11" i="18"/>
  <c r="CG11" i="24"/>
  <c r="BB11" i="26"/>
  <c r="BN11" i="10"/>
  <c r="BB11" i="12"/>
  <c r="BD11" i="12" s="1"/>
  <c r="CG11" i="14"/>
  <c r="BN11" i="15"/>
  <c r="CG11" i="19"/>
  <c r="BB11" i="18"/>
  <c r="AX11" i="18"/>
  <c r="N3" i="3"/>
  <c r="N2" i="3"/>
  <c r="BN11" i="12"/>
  <c r="BP11" i="12" s="1"/>
  <c r="BR11" i="19"/>
  <c r="BB11" i="21"/>
  <c r="AX11" i="21"/>
  <c r="N3" i="29"/>
  <c r="N2" i="29"/>
  <c r="N3" i="30"/>
  <c r="N2" i="30"/>
  <c r="BB11" i="30"/>
  <c r="BD11" i="30" s="1"/>
  <c r="AX11" i="30"/>
  <c r="AZ11" i="30" s="1"/>
  <c r="BN11" i="30"/>
  <c r="BP11" i="30" s="1"/>
  <c r="BB11" i="25"/>
  <c r="BN11" i="25"/>
  <c r="BB11" i="24"/>
  <c r="BD11" i="24" s="1"/>
  <c r="BN11" i="21"/>
  <c r="N3" i="18"/>
  <c r="N2" i="18"/>
  <c r="N3" i="26"/>
  <c r="N2" i="26"/>
  <c r="N3" i="12"/>
  <c r="N2" i="12"/>
  <c r="AX11" i="12"/>
  <c r="AZ11" i="12" s="1"/>
  <c r="N3" i="11"/>
  <c r="N2" i="11"/>
  <c r="AX11" i="11"/>
  <c r="AZ11" i="11" s="1"/>
  <c r="N3" i="10"/>
  <c r="N2" i="10"/>
  <c r="CG11" i="7"/>
  <c r="BD11" i="6"/>
  <c r="CG11" i="6"/>
  <c r="AX11" i="6"/>
  <c r="AZ11" i="6" s="1"/>
  <c r="CG11" i="2"/>
  <c r="N3" i="31"/>
  <c r="BS11" i="30"/>
  <c r="BU11" i="30" s="1"/>
  <c r="CG11" i="29"/>
  <c r="BR11" i="29"/>
  <c r="BN11" i="29"/>
  <c r="N3" i="28"/>
  <c r="N3" i="27"/>
  <c r="BR11" i="27"/>
  <c r="BN11" i="27"/>
  <c r="BB11" i="27"/>
  <c r="AX11" i="27"/>
  <c r="CG11" i="26"/>
  <c r="BR11" i="26"/>
  <c r="BN11" i="26"/>
  <c r="N3" i="25"/>
  <c r="AX11" i="25"/>
  <c r="N3" i="24"/>
  <c r="BC11" i="24"/>
  <c r="BE11" i="24" s="1"/>
  <c r="BR11" i="24"/>
  <c r="BN11" i="24"/>
  <c r="N3" i="21"/>
  <c r="BR11" i="21"/>
  <c r="N3" i="20"/>
  <c r="BR11" i="20"/>
  <c r="BN11" i="20"/>
  <c r="N3" i="19"/>
  <c r="BN11" i="19"/>
  <c r="BB11" i="19"/>
  <c r="AX11" i="19"/>
  <c r="BR11" i="18"/>
  <c r="N3" i="15"/>
  <c r="BR11" i="15"/>
  <c r="N3" i="14"/>
  <c r="BC11" i="14"/>
  <c r="BE11" i="14" s="1"/>
  <c r="BD11" i="14"/>
  <c r="BR11" i="14"/>
  <c r="BN11" i="14"/>
  <c r="N3" i="13"/>
  <c r="BR11" i="13"/>
  <c r="CG11" i="12"/>
  <c r="BR11" i="12"/>
  <c r="BC11" i="12"/>
  <c r="BE11" i="12" s="1"/>
  <c r="BO11" i="12"/>
  <c r="BQ11" i="12" s="1"/>
  <c r="BN11" i="11"/>
  <c r="BR11" i="10"/>
  <c r="N3" i="7"/>
  <c r="BR11" i="7"/>
  <c r="BN11" i="7"/>
  <c r="BB11" i="7"/>
  <c r="AX11" i="7"/>
  <c r="N3" i="6"/>
  <c r="BC11" i="6"/>
  <c r="BE11" i="6" s="1"/>
  <c r="BR11" i="6"/>
  <c r="N3" i="5"/>
  <c r="N3" i="4"/>
  <c r="BR11" i="3"/>
  <c r="BN11" i="1"/>
  <c r="BR11" i="1"/>
  <c r="AZ11" i="1"/>
  <c r="CG11" i="1"/>
  <c r="BB11" i="1"/>
  <c r="K18" i="10" l="1"/>
  <c r="N18" i="10" s="1"/>
  <c r="O18" i="10" s="1"/>
  <c r="J10" i="30"/>
  <c r="K25" i="10"/>
  <c r="N25" i="10" s="1"/>
  <c r="O25" i="10" s="1"/>
  <c r="AZ11" i="14"/>
  <c r="K17" i="12"/>
  <c r="N17" i="12" s="1"/>
  <c r="O17" i="12" s="1"/>
  <c r="K26" i="12"/>
  <c r="N26" i="12" s="1"/>
  <c r="O26" i="12" s="1"/>
  <c r="K18" i="29"/>
  <c r="N18" i="29" s="1"/>
  <c r="O18" i="29" s="1"/>
  <c r="K25" i="30"/>
  <c r="N25" i="30" s="1"/>
  <c r="O25" i="30" s="1"/>
  <c r="K26" i="30"/>
  <c r="N26" i="30" s="1"/>
  <c r="O26" i="30" s="1"/>
  <c r="K25" i="12"/>
  <c r="N25" i="12" s="1"/>
  <c r="O25" i="12" s="1"/>
  <c r="J9" i="12"/>
  <c r="K26" i="29"/>
  <c r="N26" i="29" s="1"/>
  <c r="O26" i="29" s="1"/>
  <c r="AY11" i="12"/>
  <c r="BA11" i="12" s="1"/>
  <c r="K17" i="3"/>
  <c r="N17" i="3" s="1"/>
  <c r="O17" i="3" s="1"/>
  <c r="J8" i="26"/>
  <c r="N8" i="26" s="1"/>
  <c r="O8" i="26" s="1"/>
  <c r="K18" i="26"/>
  <c r="N18" i="26" s="1"/>
  <c r="O18" i="26" s="1"/>
  <c r="K17" i="10"/>
  <c r="N17" i="10" s="1"/>
  <c r="O17" i="10" s="1"/>
  <c r="K25" i="11"/>
  <c r="N25" i="11" s="1"/>
  <c r="O25" i="11" s="1"/>
  <c r="K18" i="1"/>
  <c r="N18" i="1" s="1"/>
  <c r="O18" i="1" s="1"/>
  <c r="K17" i="1"/>
  <c r="N17" i="1" s="1"/>
  <c r="O17" i="1" s="1"/>
  <c r="K16" i="30"/>
  <c r="N16" i="30" s="1"/>
  <c r="O16" i="30" s="1"/>
  <c r="J9" i="30"/>
  <c r="J10" i="3"/>
  <c r="L10" i="3" s="1"/>
  <c r="K25" i="26"/>
  <c r="N25" i="26" s="1"/>
  <c r="O25" i="26" s="1"/>
  <c r="K17" i="26"/>
  <c r="N17" i="26" s="1"/>
  <c r="O17" i="26" s="1"/>
  <c r="L8" i="15"/>
  <c r="N8" i="15"/>
  <c r="O8" i="15" s="1"/>
  <c r="L9" i="30"/>
  <c r="N9" i="30"/>
  <c r="O9" i="30" s="1"/>
  <c r="N8" i="21"/>
  <c r="O8" i="21" s="1"/>
  <c r="L8" i="21"/>
  <c r="N9" i="4"/>
  <c r="O9" i="4" s="1"/>
  <c r="L9" i="4"/>
  <c r="L9" i="13"/>
  <c r="N9" i="13"/>
  <c r="O9" i="13" s="1"/>
  <c r="G7" i="10"/>
  <c r="E11" i="10"/>
  <c r="N10" i="12"/>
  <c r="O10" i="12" s="1"/>
  <c r="L10" i="12"/>
  <c r="C24" i="19"/>
  <c r="C25" i="19"/>
  <c r="H24" i="19"/>
  <c r="K24" i="19" s="1"/>
  <c r="E11" i="11"/>
  <c r="G7" i="11"/>
  <c r="C16" i="4"/>
  <c r="H15" i="4"/>
  <c r="K15" i="4" s="1"/>
  <c r="C15" i="4"/>
  <c r="N9" i="28"/>
  <c r="O9" i="28" s="1"/>
  <c r="L9" i="28"/>
  <c r="G23" i="11"/>
  <c r="E29" i="11"/>
  <c r="G14" i="3"/>
  <c r="E20" i="3"/>
  <c r="H24" i="24"/>
  <c r="K24" i="24" s="1"/>
  <c r="C24" i="24"/>
  <c r="C25" i="24"/>
  <c r="G7" i="25"/>
  <c r="E11" i="25"/>
  <c r="G7" i="30"/>
  <c r="E11" i="30"/>
  <c r="J9" i="2"/>
  <c r="J10" i="2"/>
  <c r="K17" i="2"/>
  <c r="N17" i="2" s="1"/>
  <c r="O17" i="2" s="1"/>
  <c r="J7" i="2"/>
  <c r="K27" i="2"/>
  <c r="N27" i="2" s="1"/>
  <c r="O27" i="2" s="1"/>
  <c r="K16" i="2"/>
  <c r="N16" i="2" s="1"/>
  <c r="O16" i="2" s="1"/>
  <c r="K25" i="2"/>
  <c r="N25" i="2" s="1"/>
  <c r="O25" i="2" s="1"/>
  <c r="K18" i="2"/>
  <c r="N18" i="2" s="1"/>
  <c r="O18" i="2" s="1"/>
  <c r="J8" i="2"/>
  <c r="K24" i="2"/>
  <c r="K26" i="2"/>
  <c r="N26" i="2" s="1"/>
  <c r="O26" i="2" s="1"/>
  <c r="K15" i="2"/>
  <c r="J15" i="2"/>
  <c r="J16" i="2"/>
  <c r="L16" i="2" s="1"/>
  <c r="J25" i="2"/>
  <c r="L25" i="2" s="1"/>
  <c r="J17" i="2"/>
  <c r="L17" i="2" s="1"/>
  <c r="J18" i="2"/>
  <c r="L18" i="2" s="1"/>
  <c r="J24" i="2"/>
  <c r="J27" i="2"/>
  <c r="L27" i="2" s="1"/>
  <c r="J26" i="2"/>
  <c r="L26" i="2" s="1"/>
  <c r="E20" i="27"/>
  <c r="G14" i="27"/>
  <c r="H15" i="13"/>
  <c r="K15" i="13" s="1"/>
  <c r="C15" i="13"/>
  <c r="C16" i="13"/>
  <c r="N9" i="12"/>
  <c r="O9" i="12" s="1"/>
  <c r="L9" i="12"/>
  <c r="E20" i="25"/>
  <c r="G14" i="25"/>
  <c r="C16" i="1"/>
  <c r="H15" i="1"/>
  <c r="K15" i="1" s="1"/>
  <c r="C15" i="1"/>
  <c r="AY11" i="11"/>
  <c r="BA11" i="11" s="1"/>
  <c r="G23" i="31"/>
  <c r="E29" i="31"/>
  <c r="C16" i="27"/>
  <c r="H15" i="27"/>
  <c r="K15" i="27" s="1"/>
  <c r="C15" i="27"/>
  <c r="H15" i="7"/>
  <c r="K15" i="7" s="1"/>
  <c r="C16" i="7"/>
  <c r="C15" i="7"/>
  <c r="N10" i="6"/>
  <c r="O10" i="6" s="1"/>
  <c r="L10" i="6"/>
  <c r="C15" i="6"/>
  <c r="H15" i="6"/>
  <c r="K15" i="6" s="1"/>
  <c r="C16" i="6"/>
  <c r="G14" i="12"/>
  <c r="E20" i="12"/>
  <c r="G7" i="12"/>
  <c r="E11" i="12"/>
  <c r="N10" i="14"/>
  <c r="O10" i="14" s="1"/>
  <c r="L10" i="14"/>
  <c r="G14" i="5"/>
  <c r="E20" i="5"/>
  <c r="N10" i="5"/>
  <c r="O10" i="5" s="1"/>
  <c r="L10" i="5"/>
  <c r="G14" i="24"/>
  <c r="E20" i="24"/>
  <c r="E29" i="24"/>
  <c r="G23" i="24"/>
  <c r="K27" i="18"/>
  <c r="N27" i="18" s="1"/>
  <c r="O27" i="18" s="1"/>
  <c r="K17" i="18"/>
  <c r="N17" i="18" s="1"/>
  <c r="O17" i="18" s="1"/>
  <c r="C16" i="15"/>
  <c r="H15" i="15"/>
  <c r="K15" i="15" s="1"/>
  <c r="C15" i="15"/>
  <c r="J9" i="10"/>
  <c r="L10" i="28"/>
  <c r="N10" i="28"/>
  <c r="O10" i="28" s="1"/>
  <c r="L8" i="25"/>
  <c r="N8" i="25"/>
  <c r="O8" i="25" s="1"/>
  <c r="C15" i="25"/>
  <c r="C16" i="25"/>
  <c r="H15" i="25"/>
  <c r="K15" i="25" s="1"/>
  <c r="G14" i="19"/>
  <c r="E20" i="19"/>
  <c r="H24" i="29"/>
  <c r="K24" i="29" s="1"/>
  <c r="C24" i="29"/>
  <c r="C25" i="29"/>
  <c r="G7" i="29"/>
  <c r="E11" i="29"/>
  <c r="K27" i="11"/>
  <c r="N27" i="11" s="1"/>
  <c r="O27" i="11" s="1"/>
  <c r="K26" i="11"/>
  <c r="N26" i="11" s="1"/>
  <c r="O26" i="11" s="1"/>
  <c r="C25" i="1"/>
  <c r="H24" i="1"/>
  <c r="K24" i="1" s="1"/>
  <c r="C24" i="1"/>
  <c r="J8" i="1"/>
  <c r="G23" i="30"/>
  <c r="E29" i="30"/>
  <c r="N10" i="20"/>
  <c r="O10" i="20" s="1"/>
  <c r="L10" i="20"/>
  <c r="G23" i="3"/>
  <c r="E29" i="3"/>
  <c r="C24" i="26"/>
  <c r="C25" i="26"/>
  <c r="H24" i="26"/>
  <c r="K24" i="26" s="1"/>
  <c r="E11" i="26"/>
  <c r="G7" i="26"/>
  <c r="H15" i="21"/>
  <c r="K15" i="21" s="1"/>
  <c r="C15" i="21"/>
  <c r="C16" i="21"/>
  <c r="E11" i="4"/>
  <c r="G7" i="4"/>
  <c r="N10" i="4"/>
  <c r="O10" i="4" s="1"/>
  <c r="L10" i="4"/>
  <c r="G23" i="27"/>
  <c r="E29" i="27"/>
  <c r="G7" i="7"/>
  <c r="E11" i="7"/>
  <c r="L9" i="14"/>
  <c r="N9" i="14"/>
  <c r="O9" i="14" s="1"/>
  <c r="K26" i="18"/>
  <c r="N26" i="18" s="1"/>
  <c r="O26" i="18" s="1"/>
  <c r="L10" i="15"/>
  <c r="N10" i="15"/>
  <c r="O10" i="15" s="1"/>
  <c r="G14" i="29"/>
  <c r="E20" i="29"/>
  <c r="N9" i="5"/>
  <c r="O9" i="5" s="1"/>
  <c r="L9" i="5"/>
  <c r="C24" i="18"/>
  <c r="H24" i="18"/>
  <c r="K24" i="18" s="1"/>
  <c r="C25" i="18"/>
  <c r="G23" i="10"/>
  <c r="E29" i="10"/>
  <c r="G23" i="19"/>
  <c r="E29" i="19"/>
  <c r="E20" i="1"/>
  <c r="G14" i="1"/>
  <c r="C25" i="21"/>
  <c r="H24" i="21"/>
  <c r="K24" i="21" s="1"/>
  <c r="C24" i="21"/>
  <c r="N10" i="7"/>
  <c r="O10" i="7" s="1"/>
  <c r="L10" i="7"/>
  <c r="G23" i="5"/>
  <c r="E29" i="5"/>
  <c r="N8" i="4"/>
  <c r="O8" i="4" s="1"/>
  <c r="L8" i="4"/>
  <c r="N10" i="31"/>
  <c r="O10" i="31" s="1"/>
  <c r="L10" i="31"/>
  <c r="E11" i="13"/>
  <c r="G7" i="13"/>
  <c r="C24" i="6"/>
  <c r="H24" i="6"/>
  <c r="K24" i="6" s="1"/>
  <c r="C25" i="6"/>
  <c r="C24" i="12"/>
  <c r="C25" i="12"/>
  <c r="H24" i="12"/>
  <c r="K24" i="12" s="1"/>
  <c r="C25" i="14"/>
  <c r="H24" i="14"/>
  <c r="K24" i="14" s="1"/>
  <c r="C24" i="14"/>
  <c r="E11" i="14"/>
  <c r="G7" i="14"/>
  <c r="C16" i="5"/>
  <c r="H15" i="5"/>
  <c r="K15" i="5" s="1"/>
  <c r="C15" i="5"/>
  <c r="E11" i="24"/>
  <c r="G7" i="24"/>
  <c r="J9" i="18"/>
  <c r="G23" i="18"/>
  <c r="E29" i="18"/>
  <c r="G14" i="15"/>
  <c r="E20" i="15"/>
  <c r="G14" i="10"/>
  <c r="E20" i="10"/>
  <c r="K27" i="10"/>
  <c r="N27" i="10" s="1"/>
  <c r="O27" i="10" s="1"/>
  <c r="G7" i="19"/>
  <c r="E11" i="19"/>
  <c r="G23" i="29"/>
  <c r="E29" i="29"/>
  <c r="K16" i="29"/>
  <c r="N16" i="29" s="1"/>
  <c r="O16" i="29" s="1"/>
  <c r="G14" i="11"/>
  <c r="E20" i="11"/>
  <c r="K17" i="11"/>
  <c r="N17" i="11" s="1"/>
  <c r="O17" i="11" s="1"/>
  <c r="K26" i="1"/>
  <c r="N26" i="1" s="1"/>
  <c r="O26" i="1" s="1"/>
  <c r="J9" i="1"/>
  <c r="J8" i="30"/>
  <c r="C25" i="20"/>
  <c r="H24" i="20"/>
  <c r="K24" i="20" s="1"/>
  <c r="C24" i="20"/>
  <c r="C24" i="3"/>
  <c r="H24" i="3"/>
  <c r="K24" i="3" s="1"/>
  <c r="C25" i="3"/>
  <c r="G7" i="3"/>
  <c r="E11" i="3"/>
  <c r="J10" i="26"/>
  <c r="J9" i="26"/>
  <c r="G23" i="4"/>
  <c r="E29" i="4"/>
  <c r="H15" i="31"/>
  <c r="K15" i="31" s="1"/>
  <c r="C15" i="31"/>
  <c r="C16" i="31"/>
  <c r="N9" i="6"/>
  <c r="O9" i="6" s="1"/>
  <c r="L9" i="6"/>
  <c r="N8" i="20"/>
  <c r="O8" i="20" s="1"/>
  <c r="L8" i="20"/>
  <c r="N8" i="6"/>
  <c r="O8" i="6" s="1"/>
  <c r="L8" i="6"/>
  <c r="K18" i="18"/>
  <c r="N18" i="18" s="1"/>
  <c r="O18" i="18" s="1"/>
  <c r="C25" i="15"/>
  <c r="C24" i="15"/>
  <c r="H24" i="15"/>
  <c r="K24" i="15" s="1"/>
  <c r="L9" i="21"/>
  <c r="N9" i="21"/>
  <c r="O9" i="21" s="1"/>
  <c r="E20" i="14"/>
  <c r="G14" i="14"/>
  <c r="C15" i="24"/>
  <c r="C16" i="24"/>
  <c r="H15" i="24"/>
  <c r="K15" i="24" s="1"/>
  <c r="J10" i="18"/>
  <c r="G23" i="21"/>
  <c r="E29" i="21"/>
  <c r="N8" i="31"/>
  <c r="O8" i="31" s="1"/>
  <c r="L8" i="31"/>
  <c r="C24" i="27"/>
  <c r="C25" i="27"/>
  <c r="H24" i="27"/>
  <c r="K24" i="27" s="1"/>
  <c r="G23" i="13"/>
  <c r="E29" i="13"/>
  <c r="N8" i="13"/>
  <c r="O8" i="13" s="1"/>
  <c r="L8" i="13"/>
  <c r="L9" i="7"/>
  <c r="N9" i="7"/>
  <c r="O9" i="7" s="1"/>
  <c r="G23" i="6"/>
  <c r="E29" i="6"/>
  <c r="K16" i="12"/>
  <c r="N16" i="12" s="1"/>
  <c r="O16" i="12" s="1"/>
  <c r="G23" i="14"/>
  <c r="E29" i="14"/>
  <c r="G7" i="5"/>
  <c r="E11" i="5"/>
  <c r="N9" i="24"/>
  <c r="O9" i="24" s="1"/>
  <c r="L9" i="24"/>
  <c r="N8" i="24"/>
  <c r="O8" i="24" s="1"/>
  <c r="L8" i="24"/>
  <c r="K16" i="18"/>
  <c r="N16" i="18" s="1"/>
  <c r="O16" i="18" s="1"/>
  <c r="G7" i="18"/>
  <c r="E11" i="18"/>
  <c r="G23" i="15"/>
  <c r="E29" i="15"/>
  <c r="J8" i="10"/>
  <c r="K16" i="10"/>
  <c r="N16" i="10" s="1"/>
  <c r="O16" i="10" s="1"/>
  <c r="C16" i="28"/>
  <c r="H15" i="28"/>
  <c r="K15" i="28" s="1"/>
  <c r="C15" i="28"/>
  <c r="N8" i="28"/>
  <c r="O8" i="28" s="1"/>
  <c r="L8" i="28"/>
  <c r="N9" i="25"/>
  <c r="O9" i="25" s="1"/>
  <c r="L9" i="25"/>
  <c r="J10" i="29"/>
  <c r="K17" i="29"/>
  <c r="N17" i="29" s="1"/>
  <c r="O17" i="29" s="1"/>
  <c r="C25" i="11"/>
  <c r="H24" i="11"/>
  <c r="K24" i="11" s="1"/>
  <c r="C24" i="11"/>
  <c r="K16" i="11"/>
  <c r="N16" i="11" s="1"/>
  <c r="O16" i="11" s="1"/>
  <c r="J10" i="1"/>
  <c r="K27" i="30"/>
  <c r="N27" i="30" s="1"/>
  <c r="O27" i="30" s="1"/>
  <c r="C15" i="30"/>
  <c r="H15" i="30"/>
  <c r="K15" i="30" s="1"/>
  <c r="C16" i="30"/>
  <c r="K18" i="3"/>
  <c r="N18" i="3" s="1"/>
  <c r="O18" i="3" s="1"/>
  <c r="K27" i="3"/>
  <c r="N27" i="3" s="1"/>
  <c r="O27" i="3" s="1"/>
  <c r="E20" i="26"/>
  <c r="G14" i="26"/>
  <c r="K16" i="26"/>
  <c r="N16" i="26" s="1"/>
  <c r="O16" i="26" s="1"/>
  <c r="G14" i="21"/>
  <c r="E20" i="21"/>
  <c r="N10" i="21"/>
  <c r="O10" i="21" s="1"/>
  <c r="L10" i="21"/>
  <c r="C25" i="4"/>
  <c r="H24" i="4"/>
  <c r="K24" i="4" s="1"/>
  <c r="C24" i="4"/>
  <c r="C25" i="28"/>
  <c r="H24" i="28"/>
  <c r="K24" i="28" s="1"/>
  <c r="C24" i="28"/>
  <c r="L8" i="26"/>
  <c r="N9" i="31"/>
  <c r="O9" i="31" s="1"/>
  <c r="L9" i="31"/>
  <c r="N8" i="29"/>
  <c r="O8" i="29" s="1"/>
  <c r="L8" i="29"/>
  <c r="N10" i="30"/>
  <c r="O10" i="30" s="1"/>
  <c r="L10" i="30"/>
  <c r="N8" i="3"/>
  <c r="O8" i="3" s="1"/>
  <c r="L8" i="3"/>
  <c r="J8" i="18"/>
  <c r="E20" i="28"/>
  <c r="G14" i="28"/>
  <c r="J10" i="11"/>
  <c r="N9" i="20"/>
  <c r="O9" i="20" s="1"/>
  <c r="L9" i="20"/>
  <c r="G7" i="31"/>
  <c r="E11" i="31"/>
  <c r="N9" i="27"/>
  <c r="O9" i="27" s="1"/>
  <c r="L9" i="27"/>
  <c r="G14" i="13"/>
  <c r="E20" i="13"/>
  <c r="L10" i="13"/>
  <c r="N10" i="13"/>
  <c r="O10" i="13" s="1"/>
  <c r="G14" i="7"/>
  <c r="E20" i="7"/>
  <c r="H24" i="7"/>
  <c r="K24" i="7" s="1"/>
  <c r="C25" i="7"/>
  <c r="C24" i="7"/>
  <c r="G14" i="6"/>
  <c r="E20" i="6"/>
  <c r="K27" i="12"/>
  <c r="N27" i="12" s="1"/>
  <c r="O27" i="12" s="1"/>
  <c r="J8" i="12"/>
  <c r="N8" i="14"/>
  <c r="O8" i="14" s="1"/>
  <c r="L8" i="14"/>
  <c r="N8" i="5"/>
  <c r="O8" i="5" s="1"/>
  <c r="L8" i="5"/>
  <c r="H15" i="18"/>
  <c r="K15" i="18" s="1"/>
  <c r="C15" i="18"/>
  <c r="C16" i="18"/>
  <c r="G7" i="15"/>
  <c r="E11" i="15"/>
  <c r="L9" i="15"/>
  <c r="N9" i="15"/>
  <c r="O9" i="15" s="1"/>
  <c r="C25" i="10"/>
  <c r="H24" i="10"/>
  <c r="K24" i="10" s="1"/>
  <c r="C24" i="10"/>
  <c r="C15" i="10"/>
  <c r="C16" i="10"/>
  <c r="H15" i="10"/>
  <c r="K15" i="10" s="1"/>
  <c r="G23" i="25"/>
  <c r="E29" i="25"/>
  <c r="K27" i="29"/>
  <c r="N27" i="29" s="1"/>
  <c r="O27" i="29" s="1"/>
  <c r="H15" i="29"/>
  <c r="K15" i="29" s="1"/>
  <c r="C15" i="29"/>
  <c r="C16" i="29"/>
  <c r="J8" i="11"/>
  <c r="K27" i="1"/>
  <c r="N27" i="1" s="1"/>
  <c r="O27" i="1" s="1"/>
  <c r="C24" i="30"/>
  <c r="C25" i="30"/>
  <c r="H24" i="30"/>
  <c r="K24" i="30" s="1"/>
  <c r="K17" i="30"/>
  <c r="N17" i="30" s="1"/>
  <c r="O17" i="30" s="1"/>
  <c r="K25" i="3"/>
  <c r="N25" i="3" s="1"/>
  <c r="O25" i="3" s="1"/>
  <c r="J9" i="3"/>
  <c r="G23" i="26"/>
  <c r="E29" i="26"/>
  <c r="C15" i="26"/>
  <c r="C16" i="26"/>
  <c r="H15" i="26"/>
  <c r="K15" i="26" s="1"/>
  <c r="G7" i="21"/>
  <c r="E11" i="21"/>
  <c r="C24" i="31"/>
  <c r="C25" i="31"/>
  <c r="H24" i="31"/>
  <c r="K24" i="31" s="1"/>
  <c r="E20" i="18"/>
  <c r="G14" i="18"/>
  <c r="G7" i="20"/>
  <c r="E11" i="20"/>
  <c r="N10" i="27"/>
  <c r="O10" i="27" s="1"/>
  <c r="L10" i="27"/>
  <c r="G23" i="7"/>
  <c r="E29" i="7"/>
  <c r="G23" i="12"/>
  <c r="E29" i="12"/>
  <c r="J9" i="11"/>
  <c r="E29" i="1"/>
  <c r="G23" i="1"/>
  <c r="E20" i="20"/>
  <c r="G14" i="20"/>
  <c r="K18" i="11"/>
  <c r="N18" i="11" s="1"/>
  <c r="O18" i="11" s="1"/>
  <c r="G7" i="1"/>
  <c r="E11" i="1"/>
  <c r="C16" i="20"/>
  <c r="H15" i="20"/>
  <c r="K15" i="20" s="1"/>
  <c r="C15" i="20"/>
  <c r="G14" i="31"/>
  <c r="E20" i="31"/>
  <c r="N8" i="27"/>
  <c r="O8" i="27" s="1"/>
  <c r="L8" i="27"/>
  <c r="G7" i="27"/>
  <c r="E11" i="27"/>
  <c r="H24" i="13"/>
  <c r="K24" i="13" s="1"/>
  <c r="C24" i="13"/>
  <c r="C25" i="13"/>
  <c r="L8" i="7"/>
  <c r="N8" i="7"/>
  <c r="O8" i="7" s="1"/>
  <c r="G7" i="6"/>
  <c r="E11" i="6"/>
  <c r="K18" i="12"/>
  <c r="N18" i="12" s="1"/>
  <c r="O18" i="12" s="1"/>
  <c r="C15" i="12"/>
  <c r="H15" i="12"/>
  <c r="K15" i="12" s="1"/>
  <c r="C16" i="12"/>
  <c r="C16" i="14"/>
  <c r="H15" i="14"/>
  <c r="K15" i="14" s="1"/>
  <c r="C15" i="14"/>
  <c r="H24" i="5"/>
  <c r="K24" i="5" s="1"/>
  <c r="C25" i="5"/>
  <c r="C24" i="5"/>
  <c r="L10" i="24"/>
  <c r="N10" i="24"/>
  <c r="O10" i="24" s="1"/>
  <c r="K25" i="18"/>
  <c r="N25" i="18" s="1"/>
  <c r="O25" i="18" s="1"/>
  <c r="K26" i="10"/>
  <c r="N26" i="10" s="1"/>
  <c r="O26" i="10" s="1"/>
  <c r="J10" i="10"/>
  <c r="G23" i="28"/>
  <c r="E29" i="28"/>
  <c r="E11" i="28"/>
  <c r="G7" i="28"/>
  <c r="C25" i="25"/>
  <c r="H24" i="25"/>
  <c r="K24" i="25" s="1"/>
  <c r="C24" i="25"/>
  <c r="N10" i="25"/>
  <c r="O10" i="25" s="1"/>
  <c r="L10" i="25"/>
  <c r="H15" i="19"/>
  <c r="K15" i="19" s="1"/>
  <c r="K20" i="19" s="1"/>
  <c r="C15" i="19"/>
  <c r="C16" i="19"/>
  <c r="K25" i="29"/>
  <c r="N25" i="29" s="1"/>
  <c r="O25" i="29" s="1"/>
  <c r="J9" i="29"/>
  <c r="C16" i="11"/>
  <c r="H15" i="11"/>
  <c r="K15" i="11" s="1"/>
  <c r="C15" i="11"/>
  <c r="K25" i="1"/>
  <c r="N25" i="1" s="1"/>
  <c r="O25" i="1" s="1"/>
  <c r="K16" i="1"/>
  <c r="N16" i="1" s="1"/>
  <c r="O16" i="1" s="1"/>
  <c r="G14" i="30"/>
  <c r="E20" i="30"/>
  <c r="K18" i="30"/>
  <c r="N18" i="30" s="1"/>
  <c r="O18" i="30" s="1"/>
  <c r="G23" i="20"/>
  <c r="E29" i="20"/>
  <c r="H15" i="3"/>
  <c r="K15" i="3" s="1"/>
  <c r="C15" i="3"/>
  <c r="C16" i="3"/>
  <c r="K16" i="3"/>
  <c r="N16" i="3" s="1"/>
  <c r="O16" i="3" s="1"/>
  <c r="K27" i="26"/>
  <c r="N27" i="26" s="1"/>
  <c r="O27" i="26" s="1"/>
  <c r="K26" i="26"/>
  <c r="N26" i="26" s="1"/>
  <c r="O26" i="26" s="1"/>
  <c r="G14" i="4"/>
  <c r="E20" i="4"/>
  <c r="K29" i="19"/>
  <c r="N24" i="19"/>
  <c r="N9" i="19"/>
  <c r="O9" i="19" s="1"/>
  <c r="L9" i="19"/>
  <c r="N15" i="19"/>
  <c r="L10" i="19"/>
  <c r="N10" i="19"/>
  <c r="O10" i="19" s="1"/>
  <c r="N8" i="19"/>
  <c r="O8" i="19" s="1"/>
  <c r="L8" i="19"/>
  <c r="BD11" i="11"/>
  <c r="BC11" i="11"/>
  <c r="BE11" i="11" s="1"/>
  <c r="BS11" i="3"/>
  <c r="BU11" i="3" s="1"/>
  <c r="BT11" i="3"/>
  <c r="BP11" i="6"/>
  <c r="AY11" i="21"/>
  <c r="BA11" i="21" s="1"/>
  <c r="AZ11" i="21"/>
  <c r="BP11" i="15"/>
  <c r="BO11" i="15"/>
  <c r="BQ11" i="15" s="1"/>
  <c r="BB11" i="29"/>
  <c r="AX11" i="29"/>
  <c r="BO11" i="13"/>
  <c r="BQ11" i="13" s="1"/>
  <c r="BP11" i="13"/>
  <c r="BB11" i="10"/>
  <c r="AX11" i="10"/>
  <c r="BO11" i="3"/>
  <c r="BQ11" i="3" s="1"/>
  <c r="BP11" i="3"/>
  <c r="AY11" i="3"/>
  <c r="BA11" i="3" s="1"/>
  <c r="AZ11" i="3"/>
  <c r="BS11" i="15"/>
  <c r="BU11" i="15" s="1"/>
  <c r="BT11" i="15"/>
  <c r="BT11" i="10"/>
  <c r="BS11" i="10"/>
  <c r="BU11" i="10" s="1"/>
  <c r="BS11" i="18"/>
  <c r="BU11" i="18" s="1"/>
  <c r="BT11" i="18"/>
  <c r="BR11" i="25"/>
  <c r="BS11" i="25" s="1"/>
  <c r="BU11" i="25" s="1"/>
  <c r="AX11" i="26"/>
  <c r="AY11" i="26" s="1"/>
  <c r="BA11" i="26" s="1"/>
  <c r="BS11" i="13"/>
  <c r="BU11" i="13" s="1"/>
  <c r="BT11" i="13"/>
  <c r="BS11" i="21"/>
  <c r="BU11" i="21" s="1"/>
  <c r="BT11" i="21"/>
  <c r="BO11" i="21"/>
  <c r="BQ11" i="21" s="1"/>
  <c r="BP11" i="21"/>
  <c r="BC11" i="21"/>
  <c r="BE11" i="21" s="1"/>
  <c r="BD11" i="21"/>
  <c r="AY11" i="18"/>
  <c r="BA11" i="18" s="1"/>
  <c r="AZ11" i="18"/>
  <c r="BO11" i="10"/>
  <c r="BQ11" i="10" s="1"/>
  <c r="BP11" i="10"/>
  <c r="BP11" i="18"/>
  <c r="BO11" i="18"/>
  <c r="BQ11" i="18" s="1"/>
  <c r="BB11" i="15"/>
  <c r="AX11" i="15"/>
  <c r="AY11" i="13"/>
  <c r="BA11" i="13" s="1"/>
  <c r="AZ11" i="13"/>
  <c r="BC11" i="3"/>
  <c r="BE11" i="3" s="1"/>
  <c r="BD11" i="3"/>
  <c r="BC11" i="18"/>
  <c r="BE11" i="18" s="1"/>
  <c r="BD11" i="18"/>
  <c r="BC11" i="13"/>
  <c r="BE11" i="13" s="1"/>
  <c r="BD11" i="13"/>
  <c r="BB11" i="20"/>
  <c r="AX11" i="20"/>
  <c r="BO11" i="30"/>
  <c r="BQ11" i="30" s="1"/>
  <c r="BC11" i="30"/>
  <c r="BE11" i="30" s="1"/>
  <c r="AY11" i="30"/>
  <c r="BA11" i="30" s="1"/>
  <c r="AX11" i="24"/>
  <c r="AZ11" i="24" s="1"/>
  <c r="AY11" i="6"/>
  <c r="BA11" i="6" s="1"/>
  <c r="BO11" i="29"/>
  <c r="BQ11" i="29" s="1"/>
  <c r="BP11" i="29"/>
  <c r="BS11" i="29"/>
  <c r="BU11" i="29" s="1"/>
  <c r="BT11" i="29"/>
  <c r="BC11" i="27"/>
  <c r="BE11" i="27" s="1"/>
  <c r="BD11" i="27"/>
  <c r="AY11" i="27"/>
  <c r="BA11" i="27" s="1"/>
  <c r="AZ11" i="27"/>
  <c r="BO11" i="27"/>
  <c r="BQ11" i="27" s="1"/>
  <c r="BP11" i="27"/>
  <c r="BS11" i="27"/>
  <c r="BU11" i="27" s="1"/>
  <c r="BT11" i="27"/>
  <c r="BC11" i="26"/>
  <c r="BE11" i="26" s="1"/>
  <c r="BD11" i="26"/>
  <c r="BO11" i="26"/>
  <c r="BQ11" i="26" s="1"/>
  <c r="BP11" i="26"/>
  <c r="BS11" i="26"/>
  <c r="BU11" i="26" s="1"/>
  <c r="BT11" i="26"/>
  <c r="BC11" i="25"/>
  <c r="BE11" i="25" s="1"/>
  <c r="BD11" i="25"/>
  <c r="BO11" i="25"/>
  <c r="BQ11" i="25" s="1"/>
  <c r="BP11" i="25"/>
  <c r="BT11" i="25"/>
  <c r="AY11" i="25"/>
  <c r="BA11" i="25" s="1"/>
  <c r="AZ11" i="25"/>
  <c r="BO11" i="24"/>
  <c r="BQ11" i="24" s="1"/>
  <c r="BP11" i="24"/>
  <c r="BS11" i="24"/>
  <c r="BU11" i="24" s="1"/>
  <c r="BT11" i="24"/>
  <c r="BO11" i="20"/>
  <c r="BQ11" i="20" s="1"/>
  <c r="BP11" i="20"/>
  <c r="BS11" i="20"/>
  <c r="BU11" i="20" s="1"/>
  <c r="BT11" i="20"/>
  <c r="AY11" i="19"/>
  <c r="BA11" i="19" s="1"/>
  <c r="AZ11" i="19"/>
  <c r="BO11" i="19"/>
  <c r="BQ11" i="19" s="1"/>
  <c r="BP11" i="19"/>
  <c r="BS11" i="19"/>
  <c r="BU11" i="19" s="1"/>
  <c r="BT11" i="19"/>
  <c r="BC11" i="19"/>
  <c r="BE11" i="19" s="1"/>
  <c r="BD11" i="19"/>
  <c r="BO11" i="14"/>
  <c r="BQ11" i="14" s="1"/>
  <c r="BP11" i="14"/>
  <c r="BS11" i="14"/>
  <c r="BU11" i="14" s="1"/>
  <c r="BT11" i="14"/>
  <c r="BS11" i="12"/>
  <c r="BU11" i="12" s="1"/>
  <c r="BT11" i="12"/>
  <c r="BO11" i="11"/>
  <c r="BQ11" i="11" s="1"/>
  <c r="BP11" i="11"/>
  <c r="BS11" i="11"/>
  <c r="BU11" i="11" s="1"/>
  <c r="BT11" i="11"/>
  <c r="AY11" i="7"/>
  <c r="BA11" i="7" s="1"/>
  <c r="AZ11" i="7"/>
  <c r="BO11" i="7"/>
  <c r="BQ11" i="7" s="1"/>
  <c r="BP11" i="7"/>
  <c r="BS11" i="7"/>
  <c r="BU11" i="7" s="1"/>
  <c r="BT11" i="7"/>
  <c r="BC11" i="7"/>
  <c r="BE11" i="7" s="1"/>
  <c r="BD11" i="7"/>
  <c r="BS11" i="6"/>
  <c r="BU11" i="6" s="1"/>
  <c r="BT11" i="6"/>
  <c r="BD11" i="1"/>
  <c r="BC11" i="1"/>
  <c r="BE11" i="1" s="1"/>
  <c r="BP11" i="1"/>
  <c r="BO11" i="1"/>
  <c r="BQ11" i="1" s="1"/>
  <c r="BT11" i="1"/>
  <c r="BS11" i="1"/>
  <c r="BU11" i="1" s="1"/>
  <c r="N10" i="3" l="1"/>
  <c r="O10" i="3" s="1"/>
  <c r="H23" i="7"/>
  <c r="H29" i="7" s="1"/>
  <c r="G29" i="7"/>
  <c r="N24" i="10"/>
  <c r="K29" i="10"/>
  <c r="L8" i="10"/>
  <c r="N8" i="10"/>
  <c r="O8" i="10" s="1"/>
  <c r="G29" i="14"/>
  <c r="H23" i="14"/>
  <c r="H29" i="14" s="1"/>
  <c r="I25" i="20"/>
  <c r="I26" i="20"/>
  <c r="J26" i="20" s="1"/>
  <c r="L26" i="20" s="1"/>
  <c r="I27" i="20"/>
  <c r="I24" i="20"/>
  <c r="I23" i="20"/>
  <c r="H14" i="11"/>
  <c r="H20" i="11" s="1"/>
  <c r="G20" i="11"/>
  <c r="G11" i="24"/>
  <c r="H7" i="24"/>
  <c r="N24" i="14"/>
  <c r="K29" i="14"/>
  <c r="BV11" i="14" s="1"/>
  <c r="G11" i="13"/>
  <c r="H7" i="13"/>
  <c r="N24" i="21"/>
  <c r="K29" i="21"/>
  <c r="G11" i="4"/>
  <c r="H7" i="4"/>
  <c r="K20" i="6"/>
  <c r="BF11" i="6" s="1"/>
  <c r="N15" i="6"/>
  <c r="I18" i="1"/>
  <c r="I14" i="1"/>
  <c r="I16" i="1"/>
  <c r="I17" i="1"/>
  <c r="I15" i="1"/>
  <c r="J15" i="1" s="1"/>
  <c r="K29" i="2"/>
  <c r="BV11" i="2" s="1"/>
  <c r="N24" i="2"/>
  <c r="I15" i="19"/>
  <c r="I17" i="19"/>
  <c r="I18" i="19"/>
  <c r="I14" i="19"/>
  <c r="I16" i="19"/>
  <c r="J16" i="19" s="1"/>
  <c r="L16" i="19" s="1"/>
  <c r="I17" i="20"/>
  <c r="J17" i="20" s="1"/>
  <c r="L17" i="20" s="1"/>
  <c r="I18" i="20"/>
  <c r="I16" i="20"/>
  <c r="I14" i="20"/>
  <c r="I15" i="20"/>
  <c r="H7" i="20"/>
  <c r="G11" i="20"/>
  <c r="N15" i="26"/>
  <c r="K20" i="26"/>
  <c r="K29" i="30"/>
  <c r="N24" i="30"/>
  <c r="N24" i="7"/>
  <c r="K29" i="7"/>
  <c r="BV11" i="7" s="1"/>
  <c r="I24" i="4"/>
  <c r="I27" i="4"/>
  <c r="I23" i="4"/>
  <c r="I26" i="4"/>
  <c r="I25" i="4"/>
  <c r="J25" i="4" s="1"/>
  <c r="L25" i="4" s="1"/>
  <c r="H14" i="26"/>
  <c r="H20" i="26" s="1"/>
  <c r="G20" i="26"/>
  <c r="N10" i="1"/>
  <c r="O10" i="1" s="1"/>
  <c r="L10" i="1"/>
  <c r="H23" i="13"/>
  <c r="H29" i="13" s="1"/>
  <c r="G29" i="13"/>
  <c r="N9" i="26"/>
  <c r="O9" i="26" s="1"/>
  <c r="L9" i="26"/>
  <c r="K29" i="20"/>
  <c r="BV11" i="20" s="1"/>
  <c r="N24" i="20"/>
  <c r="N24" i="18"/>
  <c r="K29" i="18"/>
  <c r="H23" i="27"/>
  <c r="H29" i="27" s="1"/>
  <c r="G29" i="27"/>
  <c r="I26" i="26"/>
  <c r="I24" i="26"/>
  <c r="J24" i="26" s="1"/>
  <c r="I27" i="26"/>
  <c r="I23" i="26"/>
  <c r="I25" i="26"/>
  <c r="I23" i="1"/>
  <c r="I26" i="1"/>
  <c r="I27" i="1"/>
  <c r="I25" i="1"/>
  <c r="I24" i="1"/>
  <c r="I25" i="29"/>
  <c r="J25" i="29" s="1"/>
  <c r="L25" i="29" s="1"/>
  <c r="I26" i="29"/>
  <c r="I27" i="29"/>
  <c r="I23" i="29"/>
  <c r="I24" i="29"/>
  <c r="I16" i="15"/>
  <c r="I15" i="15"/>
  <c r="J15" i="15" s="1"/>
  <c r="I17" i="15"/>
  <c r="J17" i="15" s="1"/>
  <c r="L17" i="15" s="1"/>
  <c r="I18" i="15"/>
  <c r="J18" i="15" s="1"/>
  <c r="L18" i="15" s="1"/>
  <c r="I14" i="15"/>
  <c r="H23" i="24"/>
  <c r="H29" i="24" s="1"/>
  <c r="G29" i="24"/>
  <c r="I16" i="6"/>
  <c r="I15" i="6"/>
  <c r="I17" i="6"/>
  <c r="J17" i="6" s="1"/>
  <c r="L17" i="6" s="1"/>
  <c r="I14" i="6"/>
  <c r="I18" i="6"/>
  <c r="J18" i="6" s="1"/>
  <c r="L18" i="6" s="1"/>
  <c r="K20" i="1"/>
  <c r="N15" i="1"/>
  <c r="L8" i="2"/>
  <c r="N8" i="2"/>
  <c r="O8" i="2" s="1"/>
  <c r="N9" i="2"/>
  <c r="O9" i="2" s="1"/>
  <c r="L9" i="2"/>
  <c r="H23" i="11"/>
  <c r="H29" i="11" s="1"/>
  <c r="G29" i="11"/>
  <c r="G20" i="30"/>
  <c r="H14" i="30"/>
  <c r="H20" i="30" s="1"/>
  <c r="G11" i="28"/>
  <c r="H7" i="28"/>
  <c r="G20" i="20"/>
  <c r="H14" i="20"/>
  <c r="H20" i="20" s="1"/>
  <c r="H7" i="21"/>
  <c r="G11" i="21"/>
  <c r="N15" i="29"/>
  <c r="K20" i="29"/>
  <c r="G11" i="15"/>
  <c r="H7" i="15"/>
  <c r="H23" i="4"/>
  <c r="H29" i="4" s="1"/>
  <c r="G29" i="4"/>
  <c r="G20" i="10"/>
  <c r="H14" i="10"/>
  <c r="H20" i="10" s="1"/>
  <c r="N8" i="1"/>
  <c r="O8" i="1" s="1"/>
  <c r="L8" i="1"/>
  <c r="H14" i="5"/>
  <c r="H20" i="5" s="1"/>
  <c r="G20" i="5"/>
  <c r="N15" i="27"/>
  <c r="K20" i="27"/>
  <c r="BF11" i="27" s="1"/>
  <c r="N30" i="2"/>
  <c r="L24" i="2"/>
  <c r="L29" i="2" s="1"/>
  <c r="J29" i="2"/>
  <c r="J30" i="2" s="1"/>
  <c r="M30" i="2" s="1"/>
  <c r="L10" i="2"/>
  <c r="N10" i="2"/>
  <c r="O10" i="2" s="1"/>
  <c r="G11" i="30"/>
  <c r="H7" i="30"/>
  <c r="I16" i="3"/>
  <c r="I15" i="3"/>
  <c r="I14" i="3"/>
  <c r="I17" i="3"/>
  <c r="I18" i="3"/>
  <c r="H14" i="31"/>
  <c r="H20" i="31" s="1"/>
  <c r="G20" i="31"/>
  <c r="N15" i="20"/>
  <c r="K20" i="20"/>
  <c r="BF11" i="20" s="1"/>
  <c r="G29" i="1"/>
  <c r="H23" i="1"/>
  <c r="H29" i="1" s="1"/>
  <c r="H14" i="18"/>
  <c r="H20" i="18" s="1"/>
  <c r="G20" i="18"/>
  <c r="K29" i="4"/>
  <c r="BV11" i="4" s="1"/>
  <c r="N24" i="4"/>
  <c r="K29" i="27"/>
  <c r="N24" i="27"/>
  <c r="N10" i="18"/>
  <c r="O10" i="18" s="1"/>
  <c r="L10" i="18"/>
  <c r="K29" i="15"/>
  <c r="N24" i="15"/>
  <c r="L10" i="26"/>
  <c r="N10" i="26"/>
  <c r="O10" i="26" s="1"/>
  <c r="I16" i="5"/>
  <c r="I15" i="5"/>
  <c r="I14" i="5"/>
  <c r="I18" i="5"/>
  <c r="I17" i="5"/>
  <c r="J17" i="5" s="1"/>
  <c r="L17" i="5" s="1"/>
  <c r="K29" i="12"/>
  <c r="N24" i="12"/>
  <c r="G20" i="1"/>
  <c r="H14" i="1"/>
  <c r="H20" i="1" s="1"/>
  <c r="I25" i="18"/>
  <c r="I24" i="18"/>
  <c r="J24" i="18" s="1"/>
  <c r="I26" i="18"/>
  <c r="I27" i="18"/>
  <c r="I23" i="18"/>
  <c r="K29" i="1"/>
  <c r="N24" i="1"/>
  <c r="K29" i="29"/>
  <c r="BV11" i="29" s="1"/>
  <c r="N24" i="29"/>
  <c r="N15" i="15"/>
  <c r="K20" i="15"/>
  <c r="BF11" i="15" s="1"/>
  <c r="I16" i="13"/>
  <c r="J16" i="13" s="1"/>
  <c r="L16" i="13" s="1"/>
  <c r="I15" i="13"/>
  <c r="I14" i="13"/>
  <c r="I17" i="13"/>
  <c r="I18" i="13"/>
  <c r="G11" i="25"/>
  <c r="H7" i="25"/>
  <c r="H7" i="10"/>
  <c r="G11" i="10"/>
  <c r="H7" i="31"/>
  <c r="G11" i="31"/>
  <c r="I27" i="11"/>
  <c r="I25" i="11"/>
  <c r="I23" i="11"/>
  <c r="I26" i="11"/>
  <c r="I24" i="11"/>
  <c r="J24" i="11" s="1"/>
  <c r="I27" i="15"/>
  <c r="I25" i="15"/>
  <c r="I23" i="15"/>
  <c r="I24" i="15"/>
  <c r="J24" i="15" s="1"/>
  <c r="I26" i="15"/>
  <c r="G29" i="3"/>
  <c r="H23" i="3"/>
  <c r="H29" i="3" s="1"/>
  <c r="H23" i="31"/>
  <c r="H29" i="31" s="1"/>
  <c r="G29" i="31"/>
  <c r="G20" i="25"/>
  <c r="H14" i="25"/>
  <c r="H20" i="25" s="1"/>
  <c r="N15" i="11"/>
  <c r="K20" i="11"/>
  <c r="N10" i="10"/>
  <c r="O10" i="10" s="1"/>
  <c r="L10" i="10"/>
  <c r="I25" i="5"/>
  <c r="J25" i="5" s="1"/>
  <c r="L25" i="5" s="1"/>
  <c r="I24" i="5"/>
  <c r="I27" i="5"/>
  <c r="I23" i="5"/>
  <c r="I26" i="5"/>
  <c r="I16" i="12"/>
  <c r="I15" i="12"/>
  <c r="I14" i="12"/>
  <c r="I18" i="12"/>
  <c r="J18" i="12" s="1"/>
  <c r="L18" i="12" s="1"/>
  <c r="I17" i="12"/>
  <c r="K29" i="13"/>
  <c r="N24" i="13"/>
  <c r="N9" i="11"/>
  <c r="O9" i="11" s="1"/>
  <c r="L9" i="11"/>
  <c r="N24" i="31"/>
  <c r="K29" i="31"/>
  <c r="BV11" i="31" s="1"/>
  <c r="N15" i="10"/>
  <c r="K20" i="10"/>
  <c r="H14" i="28"/>
  <c r="H20" i="28" s="1"/>
  <c r="G20" i="28"/>
  <c r="I26" i="28"/>
  <c r="I27" i="28"/>
  <c r="J27" i="28" s="1"/>
  <c r="L27" i="28" s="1"/>
  <c r="I25" i="28"/>
  <c r="I23" i="28"/>
  <c r="I24" i="28"/>
  <c r="J24" i="28" s="1"/>
  <c r="N24" i="11"/>
  <c r="K29" i="11"/>
  <c r="I16" i="28"/>
  <c r="I18" i="28"/>
  <c r="I15" i="28"/>
  <c r="I14" i="28"/>
  <c r="I17" i="28"/>
  <c r="H23" i="15"/>
  <c r="H29" i="15" s="1"/>
  <c r="G29" i="15"/>
  <c r="I25" i="27"/>
  <c r="I23" i="27"/>
  <c r="I24" i="27"/>
  <c r="I27" i="27"/>
  <c r="I26" i="27"/>
  <c r="J26" i="27" s="1"/>
  <c r="L26" i="27" s="1"/>
  <c r="H7" i="3"/>
  <c r="G11" i="3"/>
  <c r="N9" i="1"/>
  <c r="O9" i="1" s="1"/>
  <c r="L9" i="1"/>
  <c r="I25" i="12"/>
  <c r="I27" i="12"/>
  <c r="I24" i="12"/>
  <c r="I23" i="12"/>
  <c r="I26" i="12"/>
  <c r="J26" i="12" s="1"/>
  <c r="L26" i="12" s="1"/>
  <c r="H23" i="5"/>
  <c r="H29" i="5" s="1"/>
  <c r="G29" i="5"/>
  <c r="K20" i="21"/>
  <c r="N15" i="21"/>
  <c r="H14" i="19"/>
  <c r="H20" i="19" s="1"/>
  <c r="G20" i="19"/>
  <c r="L9" i="10"/>
  <c r="N9" i="10"/>
  <c r="O9" i="10" s="1"/>
  <c r="H14" i="24"/>
  <c r="H20" i="24" s="1"/>
  <c r="G20" i="24"/>
  <c r="G11" i="12"/>
  <c r="H7" i="12"/>
  <c r="I17" i="7"/>
  <c r="I14" i="7"/>
  <c r="I18" i="7"/>
  <c r="I16" i="7"/>
  <c r="I15" i="7"/>
  <c r="H14" i="27"/>
  <c r="H20" i="27" s="1"/>
  <c r="G20" i="27"/>
  <c r="I27" i="24"/>
  <c r="I25" i="24"/>
  <c r="I24" i="24"/>
  <c r="I23" i="24"/>
  <c r="I26" i="24"/>
  <c r="J26" i="24" s="1"/>
  <c r="L26" i="24" s="1"/>
  <c r="I16" i="4"/>
  <c r="I14" i="4"/>
  <c r="I17" i="4"/>
  <c r="I18" i="4"/>
  <c r="I15" i="4"/>
  <c r="N15" i="14"/>
  <c r="K20" i="14"/>
  <c r="BF11" i="14" s="1"/>
  <c r="N15" i="3"/>
  <c r="K20" i="3"/>
  <c r="BF11" i="3" s="1"/>
  <c r="I15" i="26"/>
  <c r="J15" i="26" s="1"/>
  <c r="I16" i="26"/>
  <c r="I17" i="26"/>
  <c r="I14" i="26"/>
  <c r="I18" i="26"/>
  <c r="H23" i="25"/>
  <c r="H29" i="25" s="1"/>
  <c r="G29" i="25"/>
  <c r="H14" i="7"/>
  <c r="H20" i="7" s="1"/>
  <c r="G20" i="7"/>
  <c r="N10" i="11"/>
  <c r="O10" i="11" s="1"/>
  <c r="L10" i="11"/>
  <c r="H14" i="15"/>
  <c r="H20" i="15" s="1"/>
  <c r="G20" i="15"/>
  <c r="I18" i="21"/>
  <c r="I16" i="21"/>
  <c r="I15" i="21"/>
  <c r="J15" i="21" s="1"/>
  <c r="I14" i="21"/>
  <c r="I17" i="21"/>
  <c r="H14" i="4"/>
  <c r="H20" i="4" s="1"/>
  <c r="G20" i="4"/>
  <c r="H23" i="20"/>
  <c r="H29" i="20" s="1"/>
  <c r="G29" i="20"/>
  <c r="G11" i="1"/>
  <c r="H7" i="1"/>
  <c r="H23" i="26"/>
  <c r="H29" i="26" s="1"/>
  <c r="G29" i="26"/>
  <c r="L8" i="11"/>
  <c r="N8" i="11"/>
  <c r="O8" i="11" s="1"/>
  <c r="I16" i="18"/>
  <c r="I17" i="18"/>
  <c r="I15" i="18"/>
  <c r="J15" i="18" s="1"/>
  <c r="I18" i="18"/>
  <c r="J18" i="18" s="1"/>
  <c r="L18" i="18" s="1"/>
  <c r="I14" i="18"/>
  <c r="K29" i="28"/>
  <c r="BV11" i="28" s="1"/>
  <c r="N24" i="28"/>
  <c r="K20" i="28"/>
  <c r="BF11" i="28" s="1"/>
  <c r="N15" i="28"/>
  <c r="I16" i="24"/>
  <c r="I14" i="24"/>
  <c r="I15" i="24"/>
  <c r="J15" i="24" s="1"/>
  <c r="I17" i="24"/>
  <c r="I18" i="24"/>
  <c r="I16" i="31"/>
  <c r="I17" i="31"/>
  <c r="I15" i="31"/>
  <c r="I14" i="31"/>
  <c r="I18" i="31"/>
  <c r="J18" i="31" s="1"/>
  <c r="L18" i="31" s="1"/>
  <c r="H7" i="19"/>
  <c r="G11" i="19"/>
  <c r="G11" i="14"/>
  <c r="H7" i="14"/>
  <c r="H23" i="19"/>
  <c r="H29" i="19" s="1"/>
  <c r="G29" i="19"/>
  <c r="G11" i="26"/>
  <c r="H7" i="26"/>
  <c r="K20" i="25"/>
  <c r="BF11" i="25" s="1"/>
  <c r="N15" i="25"/>
  <c r="L15" i="2"/>
  <c r="L20" i="2" s="1"/>
  <c r="J20" i="2"/>
  <c r="J21" i="2" s="1"/>
  <c r="M21" i="2" s="1"/>
  <c r="K29" i="24"/>
  <c r="N24" i="24"/>
  <c r="N15" i="4"/>
  <c r="K20" i="4"/>
  <c r="BF11" i="4" s="1"/>
  <c r="I24" i="13"/>
  <c r="I23" i="13"/>
  <c r="I26" i="13"/>
  <c r="I27" i="13"/>
  <c r="J27" i="13" s="1"/>
  <c r="L27" i="13" s="1"/>
  <c r="I25" i="13"/>
  <c r="H23" i="29"/>
  <c r="H29" i="29" s="1"/>
  <c r="G29" i="29"/>
  <c r="K20" i="13"/>
  <c r="BF11" i="13" s="1"/>
  <c r="N15" i="13"/>
  <c r="I26" i="25"/>
  <c r="J26" i="25" s="1"/>
  <c r="L26" i="25" s="1"/>
  <c r="I27" i="25"/>
  <c r="I23" i="25"/>
  <c r="I25" i="25"/>
  <c r="I24" i="25"/>
  <c r="L9" i="29"/>
  <c r="N9" i="29"/>
  <c r="O9" i="29" s="1"/>
  <c r="K29" i="25"/>
  <c r="BV11" i="25" s="1"/>
  <c r="N24" i="25"/>
  <c r="N24" i="5"/>
  <c r="K29" i="5"/>
  <c r="BV11" i="5" s="1"/>
  <c r="G11" i="27"/>
  <c r="H7" i="27"/>
  <c r="H23" i="12"/>
  <c r="H29" i="12" s="1"/>
  <c r="G29" i="12"/>
  <c r="I26" i="31"/>
  <c r="J26" i="31" s="1"/>
  <c r="L26" i="31" s="1"/>
  <c r="I27" i="31"/>
  <c r="I25" i="31"/>
  <c r="I23" i="31"/>
  <c r="I24" i="31"/>
  <c r="N9" i="3"/>
  <c r="O9" i="3" s="1"/>
  <c r="L9" i="3"/>
  <c r="I16" i="10"/>
  <c r="I15" i="10"/>
  <c r="I17" i="10"/>
  <c r="I18" i="10"/>
  <c r="I14" i="10"/>
  <c r="K20" i="18"/>
  <c r="N15" i="18"/>
  <c r="H14" i="6"/>
  <c r="H20" i="6" s="1"/>
  <c r="G20" i="6"/>
  <c r="N8" i="18"/>
  <c r="O8" i="18" s="1"/>
  <c r="L8" i="18"/>
  <c r="N15" i="30"/>
  <c r="K20" i="30"/>
  <c r="BF11" i="30" s="1"/>
  <c r="H7" i="5"/>
  <c r="G11" i="5"/>
  <c r="H14" i="14"/>
  <c r="H20" i="14" s="1"/>
  <c r="G20" i="14"/>
  <c r="K20" i="31"/>
  <c r="BF11" i="31" s="1"/>
  <c r="N15" i="31"/>
  <c r="K29" i="3"/>
  <c r="N24" i="3"/>
  <c r="G29" i="18"/>
  <c r="H23" i="18"/>
  <c r="H29" i="18" s="1"/>
  <c r="K29" i="6"/>
  <c r="BV11" i="6" s="1"/>
  <c r="N24" i="6"/>
  <c r="H14" i="29"/>
  <c r="H20" i="29" s="1"/>
  <c r="G20" i="29"/>
  <c r="H14" i="12"/>
  <c r="H20" i="12" s="1"/>
  <c r="G20" i="12"/>
  <c r="K20" i="7"/>
  <c r="BF11" i="7" s="1"/>
  <c r="N15" i="7"/>
  <c r="K20" i="2"/>
  <c r="BF11" i="2" s="1"/>
  <c r="N15" i="2"/>
  <c r="N7" i="2"/>
  <c r="L7" i="2"/>
  <c r="J11" i="2"/>
  <c r="I15" i="11"/>
  <c r="I14" i="11"/>
  <c r="I17" i="11"/>
  <c r="I18" i="11"/>
  <c r="J18" i="11" s="1"/>
  <c r="L18" i="11" s="1"/>
  <c r="I16" i="11"/>
  <c r="J16" i="11" s="1"/>
  <c r="L16" i="11" s="1"/>
  <c r="H23" i="28"/>
  <c r="H29" i="28" s="1"/>
  <c r="G29" i="28"/>
  <c r="K20" i="12"/>
  <c r="BF11" i="12" s="1"/>
  <c r="N15" i="12"/>
  <c r="I26" i="30"/>
  <c r="I27" i="30"/>
  <c r="I24" i="30"/>
  <c r="I23" i="30"/>
  <c r="I25" i="30"/>
  <c r="N8" i="12"/>
  <c r="O8" i="12" s="1"/>
  <c r="L8" i="12"/>
  <c r="H23" i="6"/>
  <c r="H29" i="6" s="1"/>
  <c r="G29" i="6"/>
  <c r="N15" i="24"/>
  <c r="K20" i="24"/>
  <c r="BF11" i="24" s="1"/>
  <c r="L8" i="30"/>
  <c r="N8" i="30"/>
  <c r="O8" i="30" s="1"/>
  <c r="N15" i="5"/>
  <c r="K20" i="5"/>
  <c r="BF11" i="5" s="1"/>
  <c r="I23" i="19"/>
  <c r="I26" i="19"/>
  <c r="I25" i="19"/>
  <c r="I24" i="19"/>
  <c r="J24" i="19" s="1"/>
  <c r="I27" i="19"/>
  <c r="J27" i="19" s="1"/>
  <c r="L27" i="19" s="1"/>
  <c r="I17" i="14"/>
  <c r="J17" i="14" s="1"/>
  <c r="L17" i="14" s="1"/>
  <c r="I14" i="14"/>
  <c r="I18" i="14"/>
  <c r="I16" i="14"/>
  <c r="I15" i="14"/>
  <c r="G11" i="6"/>
  <c r="H7" i="6"/>
  <c r="I14" i="29"/>
  <c r="I16" i="29"/>
  <c r="J16" i="29" s="1"/>
  <c r="L16" i="29" s="1"/>
  <c r="I15" i="29"/>
  <c r="I17" i="29"/>
  <c r="I18" i="29"/>
  <c r="J18" i="29" s="1"/>
  <c r="L18" i="29" s="1"/>
  <c r="I27" i="10"/>
  <c r="I24" i="10"/>
  <c r="I23" i="10"/>
  <c r="I25" i="10"/>
  <c r="I26" i="10"/>
  <c r="J26" i="10" s="1"/>
  <c r="L26" i="10" s="1"/>
  <c r="I26" i="7"/>
  <c r="I25" i="7"/>
  <c r="I24" i="7"/>
  <c r="I27" i="7"/>
  <c r="I23" i="7"/>
  <c r="H14" i="13"/>
  <c r="H20" i="13" s="1"/>
  <c r="G20" i="13"/>
  <c r="H14" i="21"/>
  <c r="H20" i="21" s="1"/>
  <c r="G20" i="21"/>
  <c r="I18" i="30"/>
  <c r="I16" i="30"/>
  <c r="I15" i="30"/>
  <c r="I17" i="30"/>
  <c r="I14" i="30"/>
  <c r="N10" i="29"/>
  <c r="O10" i="29" s="1"/>
  <c r="L10" i="29"/>
  <c r="H7" i="18"/>
  <c r="G11" i="18"/>
  <c r="H23" i="21"/>
  <c r="H29" i="21" s="1"/>
  <c r="G29" i="21"/>
  <c r="I26" i="3"/>
  <c r="I23" i="3"/>
  <c r="I25" i="3"/>
  <c r="I27" i="3"/>
  <c r="J27" i="3" s="1"/>
  <c r="L27" i="3" s="1"/>
  <c r="I24" i="3"/>
  <c r="N9" i="18"/>
  <c r="O9" i="18" s="1"/>
  <c r="L9" i="18"/>
  <c r="I26" i="14"/>
  <c r="I24" i="14"/>
  <c r="I27" i="14"/>
  <c r="I25" i="14"/>
  <c r="J25" i="14" s="1"/>
  <c r="L25" i="14" s="1"/>
  <c r="I23" i="14"/>
  <c r="I25" i="6"/>
  <c r="J25" i="6" s="1"/>
  <c r="L25" i="6" s="1"/>
  <c r="I24" i="6"/>
  <c r="I23" i="6"/>
  <c r="I26" i="6"/>
  <c r="I27" i="6"/>
  <c r="I23" i="21"/>
  <c r="I26" i="21"/>
  <c r="J26" i="21" s="1"/>
  <c r="L26" i="21" s="1"/>
  <c r="I27" i="21"/>
  <c r="J27" i="21" s="1"/>
  <c r="L27" i="21" s="1"/>
  <c r="I24" i="21"/>
  <c r="I25" i="21"/>
  <c r="H23" i="10"/>
  <c r="H29" i="10" s="1"/>
  <c r="G29" i="10"/>
  <c r="G11" i="7"/>
  <c r="H7" i="7"/>
  <c r="K29" i="26"/>
  <c r="BV11" i="26" s="1"/>
  <c r="N24" i="26"/>
  <c r="H23" i="30"/>
  <c r="H29" i="30" s="1"/>
  <c r="G29" i="30"/>
  <c r="G11" i="29"/>
  <c r="H7" i="29"/>
  <c r="I15" i="25"/>
  <c r="I16" i="25"/>
  <c r="J16" i="25" s="1"/>
  <c r="L16" i="25" s="1"/>
  <c r="I14" i="25"/>
  <c r="I18" i="25"/>
  <c r="I17" i="25"/>
  <c r="I16" i="27"/>
  <c r="I15" i="27"/>
  <c r="I17" i="27"/>
  <c r="I18" i="27"/>
  <c r="J18" i="27" s="1"/>
  <c r="L18" i="27" s="1"/>
  <c r="I14" i="27"/>
  <c r="H14" i="3"/>
  <c r="H20" i="3" s="1"/>
  <c r="G20" i="3"/>
  <c r="G11" i="11"/>
  <c r="H7" i="11"/>
  <c r="O15" i="19"/>
  <c r="O20" i="19" s="1"/>
  <c r="N20" i="19"/>
  <c r="N29" i="19"/>
  <c r="O24" i="19"/>
  <c r="O29" i="19" s="1"/>
  <c r="AZ11" i="26"/>
  <c r="BC11" i="20"/>
  <c r="BE11" i="20" s="1"/>
  <c r="BD11" i="20"/>
  <c r="BC11" i="15"/>
  <c r="BE11" i="15" s="1"/>
  <c r="BD11" i="15"/>
  <c r="AY11" i="10"/>
  <c r="BA11" i="10" s="1"/>
  <c r="AZ11" i="10"/>
  <c r="AY11" i="29"/>
  <c r="BA11" i="29" s="1"/>
  <c r="AZ11" i="29"/>
  <c r="BC11" i="10"/>
  <c r="BE11" i="10" s="1"/>
  <c r="BD11" i="10"/>
  <c r="BC11" i="29"/>
  <c r="BE11" i="29" s="1"/>
  <c r="BD11" i="29"/>
  <c r="AZ11" i="20"/>
  <c r="AY11" i="20"/>
  <c r="BA11" i="20" s="1"/>
  <c r="AY11" i="15"/>
  <c r="BA11" i="15" s="1"/>
  <c r="AZ11" i="15"/>
  <c r="AY11" i="24"/>
  <c r="BA11" i="24" s="1"/>
  <c r="BV11" i="30"/>
  <c r="BF11" i="29"/>
  <c r="BV11" i="27"/>
  <c r="BF11" i="26"/>
  <c r="BV11" i="24"/>
  <c r="BV11" i="21"/>
  <c r="BF11" i="21"/>
  <c r="BF11" i="19"/>
  <c r="BV11" i="19"/>
  <c r="BV11" i="18"/>
  <c r="BF11" i="18"/>
  <c r="BV11" i="15"/>
  <c r="BV11" i="13"/>
  <c r="BV11" i="12"/>
  <c r="BV11" i="11"/>
  <c r="BF11" i="11"/>
  <c r="BV11" i="10"/>
  <c r="BF11" i="10"/>
  <c r="BV11" i="3"/>
  <c r="BF11" i="1"/>
  <c r="BV11" i="1"/>
  <c r="J26" i="6" l="1"/>
  <c r="L26" i="6" s="1"/>
  <c r="J15" i="14"/>
  <c r="J26" i="30"/>
  <c r="L26" i="30" s="1"/>
  <c r="J18" i="28"/>
  <c r="L18" i="28" s="1"/>
  <c r="J17" i="13"/>
  <c r="L17" i="13" s="1"/>
  <c r="J15" i="27"/>
  <c r="L15" i="27" s="1"/>
  <c r="J24" i="7"/>
  <c r="J16" i="31"/>
  <c r="L16" i="31" s="1"/>
  <c r="J17" i="26"/>
  <c r="L17" i="26" s="1"/>
  <c r="J25" i="12"/>
  <c r="L25" i="12" s="1"/>
  <c r="J16" i="28"/>
  <c r="L16" i="28" s="1"/>
  <c r="BX11" i="4"/>
  <c r="BW11" i="4"/>
  <c r="BY11" i="4" s="1"/>
  <c r="J16" i="18"/>
  <c r="L16" i="18" s="1"/>
  <c r="J15" i="30"/>
  <c r="J26" i="19"/>
  <c r="L26" i="19" s="1"/>
  <c r="J25" i="13"/>
  <c r="L25" i="13" s="1"/>
  <c r="J27" i="12"/>
  <c r="L27" i="12" s="1"/>
  <c r="J27" i="4"/>
  <c r="L27" i="4" s="1"/>
  <c r="J16" i="27"/>
  <c r="L16" i="27" s="1"/>
  <c r="J18" i="30"/>
  <c r="L18" i="30" s="1"/>
  <c r="J17" i="29"/>
  <c r="L17" i="29" s="1"/>
  <c r="J18" i="14"/>
  <c r="L18" i="14" s="1"/>
  <c r="J18" i="10"/>
  <c r="L18" i="10" s="1"/>
  <c r="J25" i="31"/>
  <c r="L25" i="31" s="1"/>
  <c r="J27" i="25"/>
  <c r="L27" i="25" s="1"/>
  <c r="J18" i="24"/>
  <c r="L18" i="24" s="1"/>
  <c r="J16" i="26"/>
  <c r="L16" i="26" s="1"/>
  <c r="J17" i="4"/>
  <c r="L17" i="4" s="1"/>
  <c r="J27" i="5"/>
  <c r="L27" i="5" s="1"/>
  <c r="J25" i="15"/>
  <c r="L25" i="15" s="1"/>
  <c r="J18" i="3"/>
  <c r="L18" i="3" s="1"/>
  <c r="J27" i="29"/>
  <c r="L27" i="29" s="1"/>
  <c r="J15" i="20"/>
  <c r="J17" i="19"/>
  <c r="L17" i="19" s="1"/>
  <c r="J18" i="1"/>
  <c r="L18" i="1" s="1"/>
  <c r="J24" i="21"/>
  <c r="L24" i="21" s="1"/>
  <c r="L29" i="21" s="1"/>
  <c r="J24" i="3"/>
  <c r="L24" i="3" s="1"/>
  <c r="L29" i="3" s="1"/>
  <c r="J15" i="29"/>
  <c r="J17" i="10"/>
  <c r="L17" i="10" s="1"/>
  <c r="J27" i="18"/>
  <c r="L27" i="18" s="1"/>
  <c r="J27" i="20"/>
  <c r="L27" i="20" s="1"/>
  <c r="J27" i="26"/>
  <c r="L27" i="26" s="1"/>
  <c r="J16" i="7"/>
  <c r="L16" i="7" s="1"/>
  <c r="BW11" i="31"/>
  <c r="BY11" i="31" s="1"/>
  <c r="BX11" i="31"/>
  <c r="J18" i="20"/>
  <c r="L18" i="20" s="1"/>
  <c r="BG11" i="31"/>
  <c r="BI11" i="31" s="1"/>
  <c r="BH11" i="31"/>
  <c r="BH11" i="4"/>
  <c r="BG11" i="4"/>
  <c r="BI11" i="4" s="1"/>
  <c r="J25" i="28"/>
  <c r="L25" i="28" s="1"/>
  <c r="J15" i="31"/>
  <c r="L15" i="31" s="1"/>
  <c r="J24" i="24"/>
  <c r="L24" i="24" s="1"/>
  <c r="L29" i="24" s="1"/>
  <c r="J16" i="12"/>
  <c r="L16" i="12" s="1"/>
  <c r="J25" i="11"/>
  <c r="L25" i="11" s="1"/>
  <c r="J16" i="15"/>
  <c r="L16" i="15" s="1"/>
  <c r="J27" i="1"/>
  <c r="L27" i="1" s="1"/>
  <c r="J26" i="14"/>
  <c r="L26" i="14" s="1"/>
  <c r="H11" i="14"/>
  <c r="J7" i="14"/>
  <c r="N29" i="28"/>
  <c r="AN11" i="28" s="1"/>
  <c r="O24" i="28"/>
  <c r="O29" i="28" s="1"/>
  <c r="N29" i="11"/>
  <c r="AN11" i="11" s="1"/>
  <c r="O24" i="11"/>
  <c r="O29" i="11" s="1"/>
  <c r="N29" i="13"/>
  <c r="O24" i="13"/>
  <c r="O29" i="13" s="1"/>
  <c r="J26" i="15"/>
  <c r="L26" i="15" s="1"/>
  <c r="L24" i="18"/>
  <c r="J17" i="27"/>
  <c r="L17" i="27" s="1"/>
  <c r="J17" i="25"/>
  <c r="L17" i="25" s="1"/>
  <c r="J16" i="30"/>
  <c r="L16" i="30" s="1"/>
  <c r="J24" i="10"/>
  <c r="N20" i="5"/>
  <c r="AF11" i="5" s="1"/>
  <c r="O15" i="5"/>
  <c r="O20" i="5" s="1"/>
  <c r="L11" i="2"/>
  <c r="N20" i="18"/>
  <c r="O15" i="18"/>
  <c r="O20" i="18" s="1"/>
  <c r="O24" i="5"/>
  <c r="O29" i="5" s="1"/>
  <c r="N29" i="5"/>
  <c r="AN11" i="5" s="1"/>
  <c r="BX11" i="28"/>
  <c r="BW11" i="28"/>
  <c r="BY11" i="28" s="1"/>
  <c r="J17" i="21"/>
  <c r="L17" i="21" s="1"/>
  <c r="J15" i="4"/>
  <c r="J25" i="24"/>
  <c r="L25" i="24" s="1"/>
  <c r="J17" i="7"/>
  <c r="L17" i="7" s="1"/>
  <c r="L24" i="28"/>
  <c r="L24" i="15"/>
  <c r="N30" i="15"/>
  <c r="J29" i="15"/>
  <c r="J30" i="15" s="1"/>
  <c r="M30" i="15" s="1"/>
  <c r="J27" i="11"/>
  <c r="L27" i="11" s="1"/>
  <c r="N29" i="29"/>
  <c r="O24" i="29"/>
  <c r="O29" i="29" s="1"/>
  <c r="J25" i="18"/>
  <c r="L25" i="18" s="1"/>
  <c r="J15" i="5"/>
  <c r="N29" i="27"/>
  <c r="O24" i="27"/>
  <c r="O29" i="27" s="1"/>
  <c r="O15" i="1"/>
  <c r="O20" i="1" s="1"/>
  <c r="N20" i="1"/>
  <c r="AF11" i="1" s="1"/>
  <c r="J25" i="26"/>
  <c r="L25" i="26" s="1"/>
  <c r="N29" i="18"/>
  <c r="O24" i="18"/>
  <c r="O29" i="18" s="1"/>
  <c r="N29" i="7"/>
  <c r="O24" i="7"/>
  <c r="O29" i="7" s="1"/>
  <c r="J15" i="19"/>
  <c r="O15" i="6"/>
  <c r="O20" i="6" s="1"/>
  <c r="N20" i="6"/>
  <c r="AF11" i="6" s="1"/>
  <c r="H11" i="13"/>
  <c r="J7" i="13"/>
  <c r="BX11" i="5"/>
  <c r="BW11" i="5"/>
  <c r="BY11" i="5" s="1"/>
  <c r="H11" i="25"/>
  <c r="J7" i="25"/>
  <c r="N20" i="15"/>
  <c r="AF11" i="15" s="1"/>
  <c r="O15" i="15"/>
  <c r="O20" i="15" s="1"/>
  <c r="L15" i="20"/>
  <c r="N29" i="21"/>
  <c r="AN11" i="21" s="1"/>
  <c r="O24" i="21"/>
  <c r="O29" i="21" s="1"/>
  <c r="J18" i="25"/>
  <c r="L18" i="25" s="1"/>
  <c r="N29" i="26"/>
  <c r="AN11" i="26" s="1"/>
  <c r="O24" i="26"/>
  <c r="O29" i="26" s="1"/>
  <c r="J25" i="21"/>
  <c r="L25" i="21" s="1"/>
  <c r="J24" i="6"/>
  <c r="J27" i="7"/>
  <c r="L27" i="7" s="1"/>
  <c r="J27" i="10"/>
  <c r="L27" i="10" s="1"/>
  <c r="J25" i="30"/>
  <c r="L25" i="30" s="1"/>
  <c r="O7" i="2"/>
  <c r="O11" i="2" s="1"/>
  <c r="N11" i="2"/>
  <c r="H11" i="5"/>
  <c r="J7" i="5"/>
  <c r="J24" i="31"/>
  <c r="O24" i="25"/>
  <c r="O29" i="25" s="1"/>
  <c r="N29" i="25"/>
  <c r="AN11" i="25" s="1"/>
  <c r="O15" i="25"/>
  <c r="O20" i="25" s="1"/>
  <c r="N20" i="25"/>
  <c r="J17" i="24"/>
  <c r="L17" i="24" s="1"/>
  <c r="L15" i="26"/>
  <c r="J18" i="4"/>
  <c r="L18" i="4" s="1"/>
  <c r="J27" i="24"/>
  <c r="L27" i="24" s="1"/>
  <c r="H11" i="12"/>
  <c r="J7" i="12"/>
  <c r="J24" i="12"/>
  <c r="H11" i="3"/>
  <c r="J7" i="3"/>
  <c r="J17" i="28"/>
  <c r="L17" i="28" s="1"/>
  <c r="J17" i="12"/>
  <c r="L17" i="12" s="1"/>
  <c r="J24" i="5"/>
  <c r="J18" i="13"/>
  <c r="L18" i="13" s="1"/>
  <c r="J16" i="5"/>
  <c r="L16" i="5" s="1"/>
  <c r="J17" i="3"/>
  <c r="L17" i="3" s="1"/>
  <c r="O15" i="29"/>
  <c r="O20" i="29" s="1"/>
  <c r="N20" i="29"/>
  <c r="AF11" i="29" s="1"/>
  <c r="J26" i="29"/>
  <c r="L26" i="29" s="1"/>
  <c r="N29" i="20"/>
  <c r="AN11" i="20" s="1"/>
  <c r="O24" i="20"/>
  <c r="O29" i="20" s="1"/>
  <c r="J24" i="4"/>
  <c r="N29" i="30"/>
  <c r="O24" i="30"/>
  <c r="O29" i="30" s="1"/>
  <c r="J16" i="20"/>
  <c r="L16" i="20" s="1"/>
  <c r="O24" i="2"/>
  <c r="O29" i="2" s="1"/>
  <c r="N29" i="2"/>
  <c r="J24" i="20"/>
  <c r="BH11" i="5"/>
  <c r="BG11" i="5"/>
  <c r="BI11" i="5" s="1"/>
  <c r="H11" i="18"/>
  <c r="J7" i="18"/>
  <c r="L15" i="24"/>
  <c r="H11" i="1"/>
  <c r="J7" i="1"/>
  <c r="J25" i="7"/>
  <c r="L25" i="7" s="1"/>
  <c r="H11" i="6"/>
  <c r="J7" i="6"/>
  <c r="L24" i="19"/>
  <c r="J24" i="30"/>
  <c r="N20" i="30"/>
  <c r="AF11" i="30" s="1"/>
  <c r="O15" i="30"/>
  <c r="O20" i="30" s="1"/>
  <c r="H11" i="26"/>
  <c r="J7" i="26"/>
  <c r="L15" i="18"/>
  <c r="J16" i="21"/>
  <c r="L16" i="21" s="1"/>
  <c r="N20" i="3"/>
  <c r="O15" i="3"/>
  <c r="O20" i="3" s="1"/>
  <c r="N20" i="21"/>
  <c r="AF11" i="21" s="1"/>
  <c r="O15" i="21"/>
  <c r="O20" i="21" s="1"/>
  <c r="J27" i="27"/>
  <c r="L27" i="27" s="1"/>
  <c r="J15" i="28"/>
  <c r="J27" i="15"/>
  <c r="L27" i="15" s="1"/>
  <c r="O24" i="12"/>
  <c r="O29" i="12" s="1"/>
  <c r="N29" i="12"/>
  <c r="J15" i="3"/>
  <c r="H11" i="21"/>
  <c r="J7" i="21"/>
  <c r="J24" i="1"/>
  <c r="L24" i="26"/>
  <c r="L15" i="1"/>
  <c r="L20" i="1" s="1"/>
  <c r="J20" i="1"/>
  <c r="J21" i="1" s="1"/>
  <c r="M21" i="1" s="1"/>
  <c r="N29" i="14"/>
  <c r="O24" i="14"/>
  <c r="O29" i="14" s="1"/>
  <c r="H11" i="11"/>
  <c r="J7" i="11"/>
  <c r="N30" i="21"/>
  <c r="L24" i="7"/>
  <c r="N29" i="3"/>
  <c r="AN11" i="3" s="1"/>
  <c r="O24" i="3"/>
  <c r="O29" i="3" s="1"/>
  <c r="N20" i="10"/>
  <c r="O15" i="10"/>
  <c r="O20" i="10" s="1"/>
  <c r="H11" i="7"/>
  <c r="J7" i="7"/>
  <c r="J15" i="25"/>
  <c r="J25" i="3"/>
  <c r="L25" i="3" s="1"/>
  <c r="J26" i="7"/>
  <c r="L26" i="7" s="1"/>
  <c r="L15" i="29"/>
  <c r="L20" i="29" s="1"/>
  <c r="J25" i="19"/>
  <c r="L25" i="19" s="1"/>
  <c r="N20" i="24"/>
  <c r="O15" i="24"/>
  <c r="O20" i="24" s="1"/>
  <c r="J27" i="30"/>
  <c r="L27" i="30" s="1"/>
  <c r="J17" i="11"/>
  <c r="L17" i="11" s="1"/>
  <c r="N20" i="31"/>
  <c r="AF11" i="31" s="1"/>
  <c r="O15" i="31"/>
  <c r="O20" i="31" s="1"/>
  <c r="J27" i="31"/>
  <c r="L27" i="31" s="1"/>
  <c r="J26" i="13"/>
  <c r="L26" i="13" s="1"/>
  <c r="N20" i="4"/>
  <c r="AF11" i="4" s="1"/>
  <c r="O15" i="4"/>
  <c r="O20" i="4" s="1"/>
  <c r="J16" i="24"/>
  <c r="L16" i="24" s="1"/>
  <c r="J17" i="18"/>
  <c r="L17" i="18" s="1"/>
  <c r="J18" i="21"/>
  <c r="L18" i="21" s="1"/>
  <c r="J16" i="4"/>
  <c r="L16" i="4" s="1"/>
  <c r="J15" i="7"/>
  <c r="J24" i="27"/>
  <c r="J26" i="28"/>
  <c r="L26" i="28" s="1"/>
  <c r="O24" i="31"/>
  <c r="O29" i="31" s="1"/>
  <c r="N29" i="31"/>
  <c r="AN11" i="31" s="1"/>
  <c r="J15" i="12"/>
  <c r="L24" i="11"/>
  <c r="N30" i="11"/>
  <c r="J15" i="13"/>
  <c r="O24" i="15"/>
  <c r="O29" i="15" s="1"/>
  <c r="N29" i="15"/>
  <c r="AN11" i="15" s="1"/>
  <c r="N29" i="4"/>
  <c r="AN11" i="4" s="1"/>
  <c r="O24" i="4"/>
  <c r="O29" i="4" s="1"/>
  <c r="J16" i="3"/>
  <c r="L16" i="3" s="1"/>
  <c r="J20" i="15"/>
  <c r="J21" i="15" s="1"/>
  <c r="M21" i="15" s="1"/>
  <c r="L15" i="15"/>
  <c r="L20" i="15" s="1"/>
  <c r="J25" i="1"/>
  <c r="L25" i="1" s="1"/>
  <c r="J26" i="26"/>
  <c r="L26" i="26" s="1"/>
  <c r="O15" i="26"/>
  <c r="O20" i="26" s="1"/>
  <c r="N20" i="26"/>
  <c r="J17" i="1"/>
  <c r="L17" i="1" s="1"/>
  <c r="H11" i="4"/>
  <c r="J7" i="4"/>
  <c r="H11" i="24"/>
  <c r="J7" i="24"/>
  <c r="J25" i="20"/>
  <c r="L25" i="20" s="1"/>
  <c r="N29" i="10"/>
  <c r="O24" i="10"/>
  <c r="O29" i="10" s="1"/>
  <c r="L15" i="30"/>
  <c r="H11" i="19"/>
  <c r="J7" i="19"/>
  <c r="N29" i="1"/>
  <c r="O24" i="1"/>
  <c r="O29" i="1" s="1"/>
  <c r="H11" i="29"/>
  <c r="J7" i="29"/>
  <c r="J27" i="14"/>
  <c r="L27" i="14" s="1"/>
  <c r="J15" i="10"/>
  <c r="H11" i="27"/>
  <c r="J7" i="27"/>
  <c r="O24" i="24"/>
  <c r="O29" i="24" s="1"/>
  <c r="N29" i="24"/>
  <c r="AN11" i="24" s="1"/>
  <c r="N20" i="28"/>
  <c r="AF11" i="28" s="1"/>
  <c r="O15" i="28"/>
  <c r="O20" i="28" s="1"/>
  <c r="J18" i="26"/>
  <c r="L18" i="26" s="1"/>
  <c r="O15" i="14"/>
  <c r="O20" i="14" s="1"/>
  <c r="N20" i="14"/>
  <c r="AF11" i="14" s="1"/>
  <c r="J26" i="11"/>
  <c r="L26" i="11" s="1"/>
  <c r="N20" i="20"/>
  <c r="AF11" i="20" s="1"/>
  <c r="O15" i="20"/>
  <c r="O20" i="20" s="1"/>
  <c r="H11" i="30"/>
  <c r="J7" i="30"/>
  <c r="O15" i="27"/>
  <c r="O20" i="27" s="1"/>
  <c r="N20" i="27"/>
  <c r="AF11" i="27" s="1"/>
  <c r="J15" i="6"/>
  <c r="J16" i="1"/>
  <c r="L16" i="1" s="1"/>
  <c r="O15" i="2"/>
  <c r="O20" i="2" s="1"/>
  <c r="N20" i="2"/>
  <c r="O15" i="13"/>
  <c r="O20" i="13" s="1"/>
  <c r="N20" i="13"/>
  <c r="L15" i="21"/>
  <c r="H11" i="31"/>
  <c r="J7" i="31"/>
  <c r="L15" i="14"/>
  <c r="J20" i="14"/>
  <c r="J21" i="14" s="1"/>
  <c r="M21" i="14" s="1"/>
  <c r="J24" i="25"/>
  <c r="J27" i="6"/>
  <c r="L27" i="6" s="1"/>
  <c r="J24" i="14"/>
  <c r="J26" i="3"/>
  <c r="L26" i="3" s="1"/>
  <c r="J17" i="30"/>
  <c r="L17" i="30" s="1"/>
  <c r="J25" i="10"/>
  <c r="L25" i="10" s="1"/>
  <c r="J16" i="14"/>
  <c r="L16" i="14" s="1"/>
  <c r="N20" i="12"/>
  <c r="AF11" i="12" s="1"/>
  <c r="O15" i="12"/>
  <c r="O20" i="12" s="1"/>
  <c r="J15" i="11"/>
  <c r="N20" i="7"/>
  <c r="AF11" i="7" s="1"/>
  <c r="O15" i="7"/>
  <c r="O20" i="7" s="1"/>
  <c r="O24" i="6"/>
  <c r="O29" i="6" s="1"/>
  <c r="N29" i="6"/>
  <c r="AN11" i="6" s="1"/>
  <c r="J16" i="10"/>
  <c r="L16" i="10" s="1"/>
  <c r="J25" i="25"/>
  <c r="L25" i="25" s="1"/>
  <c r="J24" i="13"/>
  <c r="J17" i="31"/>
  <c r="L17" i="31" s="1"/>
  <c r="BH11" i="28"/>
  <c r="BG11" i="28"/>
  <c r="BI11" i="28" s="1"/>
  <c r="J18" i="7"/>
  <c r="L18" i="7" s="1"/>
  <c r="J25" i="27"/>
  <c r="L25" i="27" s="1"/>
  <c r="J26" i="5"/>
  <c r="L26" i="5" s="1"/>
  <c r="N20" i="11"/>
  <c r="AF11" i="11" s="1"/>
  <c r="O15" i="11"/>
  <c r="O20" i="11" s="1"/>
  <c r="H11" i="10"/>
  <c r="J7" i="10"/>
  <c r="J26" i="18"/>
  <c r="L26" i="18" s="1"/>
  <c r="J18" i="5"/>
  <c r="L18" i="5" s="1"/>
  <c r="H11" i="15"/>
  <c r="J7" i="15"/>
  <c r="H11" i="28"/>
  <c r="J7" i="28"/>
  <c r="J16" i="6"/>
  <c r="L16" i="6" s="1"/>
  <c r="J24" i="29"/>
  <c r="J26" i="1"/>
  <c r="L26" i="1" s="1"/>
  <c r="J26" i="4"/>
  <c r="L26" i="4" s="1"/>
  <c r="H11" i="20"/>
  <c r="J7" i="20"/>
  <c r="J18" i="19"/>
  <c r="L18" i="19" s="1"/>
  <c r="BW11" i="13"/>
  <c r="BY11" i="13" s="1"/>
  <c r="BX11" i="13"/>
  <c r="BG11" i="13"/>
  <c r="BI11" i="13" s="1"/>
  <c r="BH11" i="13"/>
  <c r="BX11" i="18"/>
  <c r="BW11" i="18"/>
  <c r="BY11" i="18" s="1"/>
  <c r="BW11" i="3"/>
  <c r="BY11" i="3" s="1"/>
  <c r="BX11" i="3"/>
  <c r="BH11" i="3"/>
  <c r="BG11" i="3"/>
  <c r="BI11" i="3" s="1"/>
  <c r="BG11" i="10"/>
  <c r="BI11" i="10" s="1"/>
  <c r="BH11" i="10"/>
  <c r="BG11" i="15"/>
  <c r="BI11" i="15" s="1"/>
  <c r="BH11" i="15"/>
  <c r="BW11" i="15"/>
  <c r="BY11" i="15" s="1"/>
  <c r="BX11" i="15"/>
  <c r="BG11" i="21"/>
  <c r="BI11" i="21" s="1"/>
  <c r="BH11" i="21"/>
  <c r="BW11" i="21"/>
  <c r="BY11" i="21" s="1"/>
  <c r="BX11" i="21"/>
  <c r="BW11" i="10"/>
  <c r="BY11" i="10" s="1"/>
  <c r="BX11" i="10"/>
  <c r="BH11" i="18"/>
  <c r="BG11" i="18"/>
  <c r="BI11" i="18" s="1"/>
  <c r="BW11" i="30"/>
  <c r="BY11" i="30" s="1"/>
  <c r="BX11" i="30"/>
  <c r="AN11" i="30"/>
  <c r="BG11" i="30"/>
  <c r="BI11" i="30" s="1"/>
  <c r="BH11" i="30"/>
  <c r="AN11" i="29"/>
  <c r="BG11" i="29"/>
  <c r="BI11" i="29" s="1"/>
  <c r="BH11" i="29"/>
  <c r="BW11" i="29"/>
  <c r="BY11" i="29" s="1"/>
  <c r="BX11" i="29"/>
  <c r="AN11" i="27"/>
  <c r="BG11" i="27"/>
  <c r="BI11" i="27" s="1"/>
  <c r="BH11" i="27"/>
  <c r="BW11" i="27"/>
  <c r="BY11" i="27" s="1"/>
  <c r="BX11" i="27"/>
  <c r="AF11" i="26"/>
  <c r="BG11" i="26"/>
  <c r="BI11" i="26" s="1"/>
  <c r="BH11" i="26"/>
  <c r="BW11" i="26"/>
  <c r="BY11" i="26" s="1"/>
  <c r="BX11" i="26"/>
  <c r="AF11" i="25"/>
  <c r="BG11" i="25"/>
  <c r="BI11" i="25" s="1"/>
  <c r="BH11" i="25"/>
  <c r="BW11" i="25"/>
  <c r="BY11" i="25" s="1"/>
  <c r="BX11" i="25"/>
  <c r="AF11" i="24"/>
  <c r="BW11" i="24"/>
  <c r="BY11" i="24" s="1"/>
  <c r="BX11" i="24"/>
  <c r="BG11" i="24"/>
  <c r="BI11" i="24" s="1"/>
  <c r="BH11" i="24"/>
  <c r="BW11" i="20"/>
  <c r="BY11" i="20" s="1"/>
  <c r="BX11" i="20"/>
  <c r="BG11" i="20"/>
  <c r="BI11" i="20" s="1"/>
  <c r="BH11" i="20"/>
  <c r="AN11" i="19"/>
  <c r="AF11" i="19"/>
  <c r="BW11" i="19"/>
  <c r="BY11" i="19" s="1"/>
  <c r="BX11" i="19"/>
  <c r="BG11" i="19"/>
  <c r="BI11" i="19" s="1"/>
  <c r="BH11" i="19"/>
  <c r="AF11" i="18"/>
  <c r="AN11" i="18"/>
  <c r="AN11" i="14"/>
  <c r="BW11" i="14"/>
  <c r="BY11" i="14" s="1"/>
  <c r="BX11" i="14"/>
  <c r="BG11" i="14"/>
  <c r="BI11" i="14" s="1"/>
  <c r="BH11" i="14"/>
  <c r="AN11" i="13"/>
  <c r="AF11" i="13"/>
  <c r="AN11" i="12"/>
  <c r="BW11" i="12"/>
  <c r="BY11" i="12" s="1"/>
  <c r="BX11" i="12"/>
  <c r="BG11" i="12"/>
  <c r="BI11" i="12" s="1"/>
  <c r="BH11" i="12"/>
  <c r="BG11" i="11"/>
  <c r="BI11" i="11" s="1"/>
  <c r="BH11" i="11"/>
  <c r="BW11" i="11"/>
  <c r="BY11" i="11" s="1"/>
  <c r="BX11" i="11"/>
  <c r="AN11" i="10"/>
  <c r="AF11" i="10"/>
  <c r="BG11" i="7"/>
  <c r="BI11" i="7" s="1"/>
  <c r="BH11" i="7"/>
  <c r="AN11" i="7"/>
  <c r="BW11" i="7"/>
  <c r="BY11" i="7" s="1"/>
  <c r="BX11" i="7"/>
  <c r="BG11" i="6"/>
  <c r="BI11" i="6" s="1"/>
  <c r="BH11" i="6"/>
  <c r="BW11" i="6"/>
  <c r="BY11" i="6" s="1"/>
  <c r="BX11" i="6"/>
  <c r="AF11" i="3"/>
  <c r="BW11" i="2"/>
  <c r="BY11" i="2" s="1"/>
  <c r="BX11" i="2"/>
  <c r="BG11" i="2"/>
  <c r="BI11" i="2" s="1"/>
  <c r="BH11" i="2"/>
  <c r="AN11" i="1"/>
  <c r="BH11" i="1"/>
  <c r="BG11" i="1"/>
  <c r="BI11" i="1" s="1"/>
  <c r="BX11" i="1"/>
  <c r="BW11" i="1"/>
  <c r="BY11" i="1" s="1"/>
  <c r="AO11" i="31" l="1"/>
  <c r="AQ11" i="31" s="1"/>
  <c r="AP11" i="31"/>
  <c r="AP11" i="4"/>
  <c r="AO11" i="4"/>
  <c r="AQ11" i="4" s="1"/>
  <c r="J29" i="21"/>
  <c r="J30" i="21" s="1"/>
  <c r="M30" i="21" s="1"/>
  <c r="J29" i="26"/>
  <c r="J30" i="26" s="1"/>
  <c r="M30" i="26" s="1"/>
  <c r="AG11" i="31"/>
  <c r="AI11" i="31" s="1"/>
  <c r="AH11" i="31"/>
  <c r="J20" i="24"/>
  <c r="J21" i="24" s="1"/>
  <c r="M21" i="24" s="1"/>
  <c r="AH11" i="4"/>
  <c r="AG11" i="4"/>
  <c r="AI11" i="4" s="1"/>
  <c r="N30" i="26"/>
  <c r="L20" i="18"/>
  <c r="J20" i="29"/>
  <c r="J21" i="29" s="1"/>
  <c r="M21" i="29" s="1"/>
  <c r="N30" i="28"/>
  <c r="L29" i="19"/>
  <c r="L29" i="18"/>
  <c r="N7" i="1"/>
  <c r="L7" i="1"/>
  <c r="L11" i="1" s="1"/>
  <c r="J11" i="1"/>
  <c r="AV11" i="1" s="1"/>
  <c r="AW11" i="1" s="1"/>
  <c r="L24" i="4"/>
  <c r="L29" i="4" s="1"/>
  <c r="J29" i="4"/>
  <c r="J30" i="4" s="1"/>
  <c r="N30" i="4"/>
  <c r="L24" i="6"/>
  <c r="L29" i="6" s="1"/>
  <c r="J29" i="6"/>
  <c r="J30" i="6" s="1"/>
  <c r="M30" i="6" s="1"/>
  <c r="N30" i="6"/>
  <c r="J20" i="4"/>
  <c r="J21" i="4" s="1"/>
  <c r="L15" i="4"/>
  <c r="L20" i="4" s="1"/>
  <c r="N30" i="13"/>
  <c r="J29" i="13"/>
  <c r="J30" i="13" s="1"/>
  <c r="M30" i="13" s="1"/>
  <c r="L24" i="13"/>
  <c r="L29" i="13" s="1"/>
  <c r="L15" i="11"/>
  <c r="L20" i="11" s="1"/>
  <c r="J20" i="11"/>
  <c r="J21" i="11" s="1"/>
  <c r="M21" i="11" s="1"/>
  <c r="N7" i="31"/>
  <c r="J11" i="31"/>
  <c r="L7" i="31"/>
  <c r="L11" i="31" s="1"/>
  <c r="J20" i="31"/>
  <c r="J21" i="31" s="1"/>
  <c r="N7" i="29"/>
  <c r="L7" i="29"/>
  <c r="L11" i="29" s="1"/>
  <c r="J11" i="29"/>
  <c r="J29" i="3"/>
  <c r="J30" i="3" s="1"/>
  <c r="M30" i="3" s="1"/>
  <c r="N7" i="24"/>
  <c r="J11" i="24"/>
  <c r="L7" i="24"/>
  <c r="L11" i="24" s="1"/>
  <c r="J29" i="19"/>
  <c r="J30" i="19" s="1"/>
  <c r="M30" i="19" s="1"/>
  <c r="L24" i="5"/>
  <c r="L29" i="5" s="1"/>
  <c r="J29" i="5"/>
  <c r="J30" i="5" s="1"/>
  <c r="N30" i="5"/>
  <c r="J20" i="20"/>
  <c r="J21" i="20" s="1"/>
  <c r="M21" i="20" s="1"/>
  <c r="L15" i="19"/>
  <c r="L20" i="19" s="1"/>
  <c r="J20" i="19"/>
  <c r="J21" i="19" s="1"/>
  <c r="M21" i="19" s="1"/>
  <c r="J29" i="18"/>
  <c r="J30" i="18" s="1"/>
  <c r="M30" i="18" s="1"/>
  <c r="N30" i="24"/>
  <c r="N30" i="14"/>
  <c r="J29" i="14"/>
  <c r="J30" i="14" s="1"/>
  <c r="M30" i="14" s="1"/>
  <c r="L24" i="14"/>
  <c r="L29" i="14" s="1"/>
  <c r="N30" i="30"/>
  <c r="L24" i="30"/>
  <c r="L29" i="30" s="1"/>
  <c r="J29" i="30"/>
  <c r="J30" i="30" s="1"/>
  <c r="L24" i="25"/>
  <c r="L29" i="25" s="1"/>
  <c r="N30" i="25"/>
  <c r="J29" i="25"/>
  <c r="J30" i="25" s="1"/>
  <c r="M30" i="25" s="1"/>
  <c r="L15" i="6"/>
  <c r="L20" i="6" s="1"/>
  <c r="J20" i="6"/>
  <c r="J21" i="6" s="1"/>
  <c r="M21" i="6" s="1"/>
  <c r="L20" i="31"/>
  <c r="N30" i="3"/>
  <c r="L15" i="13"/>
  <c r="L20" i="13" s="1"/>
  <c r="J20" i="13"/>
  <c r="J21" i="13" s="1"/>
  <c r="M21" i="13" s="1"/>
  <c r="L24" i="27"/>
  <c r="L29" i="27" s="1"/>
  <c r="N30" i="27"/>
  <c r="J29" i="27"/>
  <c r="J30" i="27" s="1"/>
  <c r="M30" i="27" s="1"/>
  <c r="N7" i="11"/>
  <c r="J11" i="11"/>
  <c r="L7" i="11"/>
  <c r="L11" i="11" s="1"/>
  <c r="L29" i="26"/>
  <c r="J20" i="28"/>
  <c r="J21" i="28" s="1"/>
  <c r="L15" i="28"/>
  <c r="L20" i="28" s="1"/>
  <c r="J20" i="18"/>
  <c r="J21" i="18" s="1"/>
  <c r="M21" i="18" s="1"/>
  <c r="N30" i="19"/>
  <c r="L20" i="24"/>
  <c r="L24" i="20"/>
  <c r="L29" i="20" s="1"/>
  <c r="N30" i="20"/>
  <c r="J29" i="20"/>
  <c r="J30" i="20" s="1"/>
  <c r="M30" i="20" s="1"/>
  <c r="L20" i="20"/>
  <c r="L29" i="15"/>
  <c r="N30" i="18"/>
  <c r="J29" i="24"/>
  <c r="J30" i="24" s="1"/>
  <c r="M30" i="24" s="1"/>
  <c r="N7" i="15"/>
  <c r="L7" i="15"/>
  <c r="L11" i="15" s="1"/>
  <c r="J11" i="15"/>
  <c r="AG11" i="28"/>
  <c r="AI11" i="28" s="1"/>
  <c r="AH11" i="28"/>
  <c r="J29" i="1"/>
  <c r="J30" i="1" s="1"/>
  <c r="M30" i="1" s="1"/>
  <c r="L24" i="1"/>
  <c r="L29" i="1" s="1"/>
  <c r="N30" i="1"/>
  <c r="J20" i="5"/>
  <c r="J21" i="5" s="1"/>
  <c r="L15" i="5"/>
  <c r="L20" i="5" s="1"/>
  <c r="L24" i="29"/>
  <c r="L29" i="29" s="1"/>
  <c r="J29" i="29"/>
  <c r="J30" i="29" s="1"/>
  <c r="M30" i="29" s="1"/>
  <c r="N30" i="29"/>
  <c r="L20" i="14"/>
  <c r="L20" i="21"/>
  <c r="J20" i="30"/>
  <c r="J21" i="30" s="1"/>
  <c r="M21" i="30" s="1"/>
  <c r="J29" i="11"/>
  <c r="J30" i="11" s="1"/>
  <c r="M30" i="11" s="1"/>
  <c r="L15" i="25"/>
  <c r="L20" i="25" s="1"/>
  <c r="J20" i="25"/>
  <c r="J21" i="25" s="1"/>
  <c r="M21" i="25" s="1"/>
  <c r="N30" i="7"/>
  <c r="L7" i="21"/>
  <c r="L11" i="21" s="1"/>
  <c r="J11" i="21"/>
  <c r="N7" i="21"/>
  <c r="N7" i="26"/>
  <c r="L7" i="26"/>
  <c r="L11" i="26" s="1"/>
  <c r="J11" i="26"/>
  <c r="AV11" i="26" s="1"/>
  <c r="AW11" i="26" s="1"/>
  <c r="N7" i="6"/>
  <c r="L7" i="6"/>
  <c r="L11" i="6" s="1"/>
  <c r="J11" i="6"/>
  <c r="J11" i="3"/>
  <c r="AB11" i="3" s="1"/>
  <c r="N7" i="3"/>
  <c r="L7" i="3"/>
  <c r="L11" i="3" s="1"/>
  <c r="J20" i="26"/>
  <c r="J21" i="26" s="1"/>
  <c r="M21" i="26" s="1"/>
  <c r="J29" i="28"/>
  <c r="J30" i="28" s="1"/>
  <c r="AH11" i="5"/>
  <c r="AG11" i="5"/>
  <c r="AI11" i="5" s="1"/>
  <c r="L15" i="7"/>
  <c r="L20" i="7" s="1"/>
  <c r="J20" i="7"/>
  <c r="J21" i="7" s="1"/>
  <c r="M21" i="7" s="1"/>
  <c r="N7" i="30"/>
  <c r="J11" i="30"/>
  <c r="L7" i="30"/>
  <c r="L11" i="30" s="1"/>
  <c r="N7" i="27"/>
  <c r="J11" i="27"/>
  <c r="L7" i="27"/>
  <c r="L11" i="27" s="1"/>
  <c r="L20" i="30"/>
  <c r="L29" i="11"/>
  <c r="J29" i="7"/>
  <c r="J30" i="7" s="1"/>
  <c r="M30" i="7" s="1"/>
  <c r="L20" i="26"/>
  <c r="J20" i="27"/>
  <c r="J21" i="27" s="1"/>
  <c r="M21" i="27" s="1"/>
  <c r="L7" i="25"/>
  <c r="L11" i="25" s="1"/>
  <c r="N7" i="25"/>
  <c r="J11" i="25"/>
  <c r="N7" i="13"/>
  <c r="L7" i="13"/>
  <c r="L11" i="13" s="1"/>
  <c r="J11" i="13"/>
  <c r="L29" i="28"/>
  <c r="AO11" i="5"/>
  <c r="AQ11" i="5" s="1"/>
  <c r="AP11" i="5"/>
  <c r="L24" i="10"/>
  <c r="L29" i="10" s="1"/>
  <c r="J29" i="10"/>
  <c r="J30" i="10" s="1"/>
  <c r="M30" i="10" s="1"/>
  <c r="N30" i="10"/>
  <c r="AO11" i="28"/>
  <c r="AQ11" i="28" s="1"/>
  <c r="AP11" i="28"/>
  <c r="J20" i="21"/>
  <c r="J21" i="21" s="1"/>
  <c r="M21" i="21" s="1"/>
  <c r="N7" i="28"/>
  <c r="J11" i="28"/>
  <c r="L7" i="28"/>
  <c r="L11" i="28" s="1"/>
  <c r="N7" i="10"/>
  <c r="L7" i="10"/>
  <c r="L11" i="10" s="1"/>
  <c r="J11" i="10"/>
  <c r="L15" i="12"/>
  <c r="L20" i="12" s="1"/>
  <c r="J20" i="12"/>
  <c r="J21" i="12" s="1"/>
  <c r="M21" i="12" s="1"/>
  <c r="N7" i="7"/>
  <c r="L7" i="7"/>
  <c r="L11" i="7" s="1"/>
  <c r="J11" i="7"/>
  <c r="L29" i="7"/>
  <c r="L15" i="3"/>
  <c r="L20" i="3" s="1"/>
  <c r="J20" i="3"/>
  <c r="J21" i="3" s="1"/>
  <c r="M21" i="3" s="1"/>
  <c r="N7" i="18"/>
  <c r="L7" i="18"/>
  <c r="L11" i="18" s="1"/>
  <c r="J11" i="18"/>
  <c r="J29" i="12"/>
  <c r="J30" i="12" s="1"/>
  <c r="M30" i="12" s="1"/>
  <c r="L24" i="12"/>
  <c r="L29" i="12" s="1"/>
  <c r="N30" i="12"/>
  <c r="L24" i="31"/>
  <c r="L29" i="31" s="1"/>
  <c r="J29" i="31"/>
  <c r="J30" i="31" s="1"/>
  <c r="N30" i="31"/>
  <c r="L20" i="27"/>
  <c r="N7" i="14"/>
  <c r="L7" i="14"/>
  <c r="L11" i="14" s="1"/>
  <c r="J11" i="14"/>
  <c r="L7" i="4"/>
  <c r="L11" i="4" s="1"/>
  <c r="N7" i="4"/>
  <c r="J11" i="4"/>
  <c r="N7" i="20"/>
  <c r="L7" i="20"/>
  <c r="L11" i="20" s="1"/>
  <c r="J11" i="20"/>
  <c r="J20" i="10"/>
  <c r="J21" i="10" s="1"/>
  <c r="M21" i="10" s="1"/>
  <c r="L15" i="10"/>
  <c r="L20" i="10" s="1"/>
  <c r="L7" i="19"/>
  <c r="L11" i="19" s="1"/>
  <c r="J11" i="19"/>
  <c r="N7" i="19"/>
  <c r="N7" i="12"/>
  <c r="L7" i="12"/>
  <c r="L11" i="12" s="1"/>
  <c r="J11" i="12"/>
  <c r="AV11" i="12" s="1"/>
  <c r="AW11" i="12" s="1"/>
  <c r="N7" i="5"/>
  <c r="L7" i="5"/>
  <c r="L11" i="5" s="1"/>
  <c r="J11" i="5"/>
  <c r="AO11" i="3"/>
  <c r="AQ11" i="3" s="1"/>
  <c r="AP11" i="3"/>
  <c r="AO11" i="10"/>
  <c r="AQ11" i="10" s="1"/>
  <c r="AP11" i="10"/>
  <c r="AO11" i="15"/>
  <c r="AQ11" i="15" s="1"/>
  <c r="AP11" i="15"/>
  <c r="AO11" i="21"/>
  <c r="AQ11" i="21" s="1"/>
  <c r="AP11" i="21"/>
  <c r="AG11" i="18"/>
  <c r="AI11" i="18" s="1"/>
  <c r="AH11" i="18"/>
  <c r="AG11" i="13"/>
  <c r="AI11" i="13" s="1"/>
  <c r="AH11" i="13"/>
  <c r="AO11" i="18"/>
  <c r="AQ11" i="18" s="1"/>
  <c r="AP11" i="18"/>
  <c r="AG11" i="3"/>
  <c r="AI11" i="3" s="1"/>
  <c r="AH11" i="3"/>
  <c r="AG11" i="10"/>
  <c r="AI11" i="10" s="1"/>
  <c r="AH11" i="10"/>
  <c r="AO11" i="13"/>
  <c r="AQ11" i="13" s="1"/>
  <c r="AP11" i="13"/>
  <c r="AG11" i="15"/>
  <c r="AI11" i="15" s="1"/>
  <c r="AH11" i="15"/>
  <c r="AG11" i="21"/>
  <c r="AI11" i="21" s="1"/>
  <c r="AH11" i="21"/>
  <c r="AO11" i="30"/>
  <c r="AQ11" i="30" s="1"/>
  <c r="AP11" i="30"/>
  <c r="AG11" i="30"/>
  <c r="AI11" i="30" s="1"/>
  <c r="AH11" i="30"/>
  <c r="AG11" i="29"/>
  <c r="AI11" i="29" s="1"/>
  <c r="AH11" i="29"/>
  <c r="AO11" i="29"/>
  <c r="AQ11" i="29" s="1"/>
  <c r="AP11" i="29"/>
  <c r="AV11" i="29"/>
  <c r="AW11" i="29" s="1"/>
  <c r="AB11" i="29"/>
  <c r="AO11" i="27"/>
  <c r="AQ11" i="27" s="1"/>
  <c r="AP11" i="27"/>
  <c r="AG11" i="27"/>
  <c r="AI11" i="27" s="1"/>
  <c r="AH11" i="27"/>
  <c r="AG11" i="26"/>
  <c r="AI11" i="26" s="1"/>
  <c r="AH11" i="26"/>
  <c r="AO11" i="26"/>
  <c r="AQ11" i="26" s="1"/>
  <c r="AP11" i="26"/>
  <c r="AB11" i="26"/>
  <c r="AO11" i="25"/>
  <c r="AQ11" i="25" s="1"/>
  <c r="AP11" i="25"/>
  <c r="AG11" i="25"/>
  <c r="AI11" i="25" s="1"/>
  <c r="AH11" i="25"/>
  <c r="AO11" i="24"/>
  <c r="AQ11" i="24" s="1"/>
  <c r="AP11" i="24"/>
  <c r="AG11" i="24"/>
  <c r="AI11" i="24" s="1"/>
  <c r="AH11" i="24"/>
  <c r="BJ11" i="21"/>
  <c r="AG11" i="20"/>
  <c r="AI11" i="20" s="1"/>
  <c r="AH11" i="20"/>
  <c r="AO11" i="20"/>
  <c r="AQ11" i="20" s="1"/>
  <c r="AP11" i="20"/>
  <c r="AO11" i="19"/>
  <c r="AQ11" i="19" s="1"/>
  <c r="AP11" i="19"/>
  <c r="AG11" i="19"/>
  <c r="AI11" i="19" s="1"/>
  <c r="AH11" i="19"/>
  <c r="BZ11" i="18"/>
  <c r="BJ11" i="18"/>
  <c r="BZ11" i="15"/>
  <c r="BJ11" i="15"/>
  <c r="AO11" i="14"/>
  <c r="AQ11" i="14" s="1"/>
  <c r="AP11" i="14"/>
  <c r="AG11" i="14"/>
  <c r="AI11" i="14" s="1"/>
  <c r="AH11" i="14"/>
  <c r="BJ11" i="13"/>
  <c r="AG11" i="12"/>
  <c r="AI11" i="12" s="1"/>
  <c r="AH11" i="12"/>
  <c r="AO11" i="12"/>
  <c r="AQ11" i="12" s="1"/>
  <c r="AP11" i="12"/>
  <c r="AG11" i="11"/>
  <c r="AI11" i="11" s="1"/>
  <c r="AH11" i="11"/>
  <c r="AO11" i="11"/>
  <c r="AQ11" i="11" s="1"/>
  <c r="AP11" i="11"/>
  <c r="BZ11" i="10"/>
  <c r="AO11" i="7"/>
  <c r="AQ11" i="7" s="1"/>
  <c r="AP11" i="7"/>
  <c r="AG11" i="7"/>
  <c r="AI11" i="7" s="1"/>
  <c r="AH11" i="7"/>
  <c r="BJ11" i="7"/>
  <c r="AG11" i="6"/>
  <c r="AI11" i="6" s="1"/>
  <c r="AH11" i="6"/>
  <c r="AO11" i="6"/>
  <c r="AQ11" i="6" s="1"/>
  <c r="AP11" i="6"/>
  <c r="AP11" i="1"/>
  <c r="AO11" i="1"/>
  <c r="AQ11" i="1" s="1"/>
  <c r="AB11" i="1"/>
  <c r="AH11" i="1"/>
  <c r="AG11" i="1"/>
  <c r="AI11" i="1" s="1"/>
  <c r="BJ11" i="1"/>
  <c r="BJ11" i="3" l="1"/>
  <c r="BK11" i="3" s="1"/>
  <c r="BM11" i="3" s="1"/>
  <c r="AV11" i="3"/>
  <c r="AW11" i="3" s="1"/>
  <c r="BJ11" i="10"/>
  <c r="M30" i="4"/>
  <c r="BZ11" i="4"/>
  <c r="AV11" i="4"/>
  <c r="AW11" i="4" s="1"/>
  <c r="AB11" i="4"/>
  <c r="M30" i="31"/>
  <c r="BZ11" i="31"/>
  <c r="M21" i="31"/>
  <c r="BJ11" i="31"/>
  <c r="AB11" i="31"/>
  <c r="AV11" i="31"/>
  <c r="AW11" i="31" s="1"/>
  <c r="M21" i="4"/>
  <c r="BJ11" i="4"/>
  <c r="BZ11" i="21"/>
  <c r="AB11" i="5"/>
  <c r="AV11" i="5"/>
  <c r="AW11" i="5" s="1"/>
  <c r="N11" i="10"/>
  <c r="O7" i="10"/>
  <c r="O11" i="10" s="1"/>
  <c r="N11" i="30"/>
  <c r="O7" i="30"/>
  <c r="O11" i="30" s="1"/>
  <c r="O7" i="21"/>
  <c r="O11" i="21" s="1"/>
  <c r="N11" i="21"/>
  <c r="N11" i="15"/>
  <c r="O7" i="15"/>
  <c r="O11" i="15" s="1"/>
  <c r="N11" i="11"/>
  <c r="O7" i="11"/>
  <c r="O11" i="11" s="1"/>
  <c r="AB11" i="7"/>
  <c r="AV11" i="7"/>
  <c r="AW11" i="7" s="1"/>
  <c r="O7" i="3"/>
  <c r="O11" i="3" s="1"/>
  <c r="N11" i="3"/>
  <c r="BZ11" i="13"/>
  <c r="CA11" i="13" s="1"/>
  <c r="CC11" i="13" s="1"/>
  <c r="N11" i="5"/>
  <c r="O7" i="5"/>
  <c r="O11" i="5" s="1"/>
  <c r="AB11" i="28"/>
  <c r="AV11" i="28"/>
  <c r="AW11" i="28" s="1"/>
  <c r="N11" i="13"/>
  <c r="O7" i="13"/>
  <c r="O11" i="13" s="1"/>
  <c r="M30" i="5"/>
  <c r="BZ11" i="5"/>
  <c r="N11" i="14"/>
  <c r="O7" i="14"/>
  <c r="O11" i="14" s="1"/>
  <c r="N11" i="28"/>
  <c r="O7" i="28"/>
  <c r="O11" i="28" s="1"/>
  <c r="BZ11" i="1"/>
  <c r="O7" i="25"/>
  <c r="O11" i="25" s="1"/>
  <c r="N11" i="25"/>
  <c r="O7" i="6"/>
  <c r="O11" i="6" s="1"/>
  <c r="N11" i="6"/>
  <c r="M21" i="28"/>
  <c r="BJ11" i="28"/>
  <c r="O7" i="7"/>
  <c r="O11" i="7" s="1"/>
  <c r="N11" i="7"/>
  <c r="BZ11" i="3"/>
  <c r="O7" i="12"/>
  <c r="O11" i="12" s="1"/>
  <c r="N11" i="12"/>
  <c r="O7" i="20"/>
  <c r="O11" i="20" s="1"/>
  <c r="N11" i="20"/>
  <c r="N11" i="18"/>
  <c r="O7" i="18"/>
  <c r="O11" i="18" s="1"/>
  <c r="O7" i="27"/>
  <c r="O11" i="27" s="1"/>
  <c r="N11" i="27"/>
  <c r="M30" i="28"/>
  <c r="BZ11" i="28"/>
  <c r="AB11" i="18"/>
  <c r="AV11" i="18"/>
  <c r="AW11" i="18" s="1"/>
  <c r="N11" i="19"/>
  <c r="O7" i="19"/>
  <c r="O11" i="19" s="1"/>
  <c r="AB11" i="10"/>
  <c r="AV11" i="10"/>
  <c r="AW11" i="10" s="1"/>
  <c r="M21" i="5"/>
  <c r="BJ11" i="5"/>
  <c r="M30" i="30"/>
  <c r="BZ11" i="30"/>
  <c r="N11" i="29"/>
  <c r="O7" i="29"/>
  <c r="O11" i="29" s="1"/>
  <c r="AB11" i="12"/>
  <c r="AR11" i="12" s="1"/>
  <c r="O7" i="4"/>
  <c r="O11" i="4" s="1"/>
  <c r="N11" i="4"/>
  <c r="AB11" i="30"/>
  <c r="AV11" i="30"/>
  <c r="AW11" i="30" s="1"/>
  <c r="N11" i="26"/>
  <c r="O7" i="26"/>
  <c r="O11" i="26" s="1"/>
  <c r="AV11" i="11"/>
  <c r="AW11" i="11" s="1"/>
  <c r="AB11" i="11"/>
  <c r="N11" i="24"/>
  <c r="O7" i="24"/>
  <c r="O11" i="24" s="1"/>
  <c r="O7" i="31"/>
  <c r="O11" i="31" s="1"/>
  <c r="N11" i="31"/>
  <c r="N11" i="1"/>
  <c r="O7" i="1"/>
  <c r="O11" i="1" s="1"/>
  <c r="BJ11" i="30"/>
  <c r="AV11" i="15"/>
  <c r="AW11" i="15" s="1"/>
  <c r="AB11" i="15"/>
  <c r="BK11" i="10"/>
  <c r="BM11" i="10" s="1"/>
  <c r="BL11" i="10"/>
  <c r="BK11" i="21"/>
  <c r="BM11" i="21" s="1"/>
  <c r="BL11" i="21"/>
  <c r="BK11" i="13"/>
  <c r="BM11" i="13" s="1"/>
  <c r="BL11" i="13"/>
  <c r="AC11" i="3"/>
  <c r="AJ11" i="3"/>
  <c r="AR11" i="3"/>
  <c r="AD11" i="3"/>
  <c r="AB11" i="13"/>
  <c r="AV11" i="13"/>
  <c r="AW11" i="13" s="1"/>
  <c r="CA11" i="15"/>
  <c r="CC11" i="15" s="1"/>
  <c r="CB11" i="15"/>
  <c r="CA11" i="18"/>
  <c r="CC11" i="18" s="1"/>
  <c r="CB11" i="18"/>
  <c r="AV11" i="21"/>
  <c r="AW11" i="21" s="1"/>
  <c r="AB11" i="21"/>
  <c r="CA11" i="3"/>
  <c r="CC11" i="3" s="1"/>
  <c r="CB11" i="3"/>
  <c r="CB11" i="10"/>
  <c r="CA11" i="10"/>
  <c r="CC11" i="10" s="1"/>
  <c r="BK11" i="15"/>
  <c r="BM11" i="15" s="1"/>
  <c r="BL11" i="15"/>
  <c r="BL11" i="18"/>
  <c r="BK11" i="18"/>
  <c r="BM11" i="18" s="1"/>
  <c r="CA11" i="21"/>
  <c r="CC11" i="21" s="1"/>
  <c r="CB11" i="21"/>
  <c r="AC11" i="29"/>
  <c r="AD11" i="29"/>
  <c r="AR11" i="29"/>
  <c r="AJ11" i="29"/>
  <c r="BZ11" i="29"/>
  <c r="BJ11" i="29"/>
  <c r="BZ11" i="27"/>
  <c r="AV11" i="27"/>
  <c r="AW11" i="27" s="1"/>
  <c r="AB11" i="27"/>
  <c r="BJ11" i="27"/>
  <c r="AC11" i="26"/>
  <c r="AR11" i="26"/>
  <c r="AD11" i="26"/>
  <c r="AJ11" i="26"/>
  <c r="BZ11" i="26"/>
  <c r="BJ11" i="26"/>
  <c r="BZ11" i="25"/>
  <c r="BJ11" i="25"/>
  <c r="AV11" i="25"/>
  <c r="AW11" i="25" s="1"/>
  <c r="AB11" i="25"/>
  <c r="BZ11" i="24"/>
  <c r="BJ11" i="24"/>
  <c r="AV11" i="24"/>
  <c r="AW11" i="24" s="1"/>
  <c r="AB11" i="24"/>
  <c r="BZ11" i="20"/>
  <c r="BJ11" i="20"/>
  <c r="AV11" i="20"/>
  <c r="AW11" i="20" s="1"/>
  <c r="AB11" i="20"/>
  <c r="BZ11" i="19"/>
  <c r="AV11" i="19"/>
  <c r="AW11" i="19" s="1"/>
  <c r="AB11" i="19"/>
  <c r="BJ11" i="19"/>
  <c r="BZ11" i="14"/>
  <c r="AV11" i="14"/>
  <c r="AW11" i="14" s="1"/>
  <c r="AB11" i="14"/>
  <c r="BJ11" i="14"/>
  <c r="BJ11" i="12"/>
  <c r="AD11" i="12"/>
  <c r="BZ11" i="12"/>
  <c r="BJ11" i="11"/>
  <c r="BZ11" i="11"/>
  <c r="BK11" i="7"/>
  <c r="BM11" i="7" s="1"/>
  <c r="BL11" i="7"/>
  <c r="BZ11" i="7"/>
  <c r="BZ11" i="6"/>
  <c r="BJ11" i="6"/>
  <c r="AV11" i="6"/>
  <c r="AW11" i="6" s="1"/>
  <c r="AB11" i="6"/>
  <c r="AR11" i="1"/>
  <c r="AJ11" i="1"/>
  <c r="AD11" i="1"/>
  <c r="AC11" i="1"/>
  <c r="BL11" i="1"/>
  <c r="BK11" i="1"/>
  <c r="BM11" i="1" s="1"/>
  <c r="CB11" i="1"/>
  <c r="CA11" i="1"/>
  <c r="CC11" i="1" s="1"/>
  <c r="BL11" i="3" l="1"/>
  <c r="BL11" i="4"/>
  <c r="BK11" i="4"/>
  <c r="BM11" i="4" s="1"/>
  <c r="AJ11" i="4"/>
  <c r="AR11" i="4"/>
  <c r="AD11" i="4"/>
  <c r="AC11" i="4"/>
  <c r="CA11" i="31"/>
  <c r="CC11" i="31" s="1"/>
  <c r="CB11" i="31"/>
  <c r="AC11" i="31"/>
  <c r="AD11" i="31"/>
  <c r="AJ11" i="31"/>
  <c r="AR11" i="31"/>
  <c r="CB11" i="13"/>
  <c r="BK11" i="31"/>
  <c r="BM11" i="31" s="1"/>
  <c r="BL11" i="31"/>
  <c r="CB11" i="4"/>
  <c r="CA11" i="4"/>
  <c r="CC11" i="4" s="1"/>
  <c r="AJ11" i="10"/>
  <c r="AR11" i="10"/>
  <c r="AD11" i="10"/>
  <c r="AC11" i="10"/>
  <c r="AC11" i="12"/>
  <c r="AS11" i="12" s="1"/>
  <c r="AR11" i="7"/>
  <c r="AJ11" i="7"/>
  <c r="AC11" i="7"/>
  <c r="AD11" i="7"/>
  <c r="AJ11" i="28"/>
  <c r="AR11" i="28"/>
  <c r="AC11" i="28"/>
  <c r="AD11" i="28"/>
  <c r="AJ11" i="18"/>
  <c r="AC11" i="18"/>
  <c r="AR11" i="18"/>
  <c r="AD11" i="18"/>
  <c r="CB11" i="5"/>
  <c r="CA11" i="5"/>
  <c r="CC11" i="5" s="1"/>
  <c r="AJ11" i="30"/>
  <c r="AC11" i="30"/>
  <c r="AD11" i="30"/>
  <c r="AR11" i="30"/>
  <c r="BL11" i="5"/>
  <c r="BK11" i="5"/>
  <c r="BM11" i="5" s="1"/>
  <c r="CB11" i="30"/>
  <c r="CA11" i="30"/>
  <c r="CC11" i="30" s="1"/>
  <c r="AR11" i="11"/>
  <c r="AJ11" i="11"/>
  <c r="AC11" i="11"/>
  <c r="AD11" i="11"/>
  <c r="AJ11" i="12"/>
  <c r="CB11" i="28"/>
  <c r="CA11" i="28"/>
  <c r="CC11" i="28" s="1"/>
  <c r="BL11" i="28"/>
  <c r="BK11" i="28"/>
  <c r="BM11" i="28" s="1"/>
  <c r="AC11" i="5"/>
  <c r="AR11" i="5"/>
  <c r="AJ11" i="5"/>
  <c r="AD11" i="5"/>
  <c r="BK11" i="30"/>
  <c r="BM11" i="30" s="1"/>
  <c r="BL11" i="30"/>
  <c r="AC11" i="13"/>
  <c r="AJ11" i="13"/>
  <c r="AR11" i="13"/>
  <c r="AD11" i="13"/>
  <c r="AK11" i="3"/>
  <c r="AS11" i="3"/>
  <c r="AE11" i="3"/>
  <c r="AC11" i="21"/>
  <c r="AJ11" i="21"/>
  <c r="AR11" i="21"/>
  <c r="AD11" i="21"/>
  <c r="AL11" i="3"/>
  <c r="AT11" i="3"/>
  <c r="AC11" i="15"/>
  <c r="AJ11" i="15"/>
  <c r="AR11" i="15"/>
  <c r="AD11" i="15"/>
  <c r="BK11" i="29"/>
  <c r="BM11" i="29" s="1"/>
  <c r="BL11" i="29"/>
  <c r="CA11" i="29"/>
  <c r="CC11" i="29" s="1"/>
  <c r="CB11" i="29"/>
  <c r="AT11" i="29"/>
  <c r="AL11" i="29"/>
  <c r="AS11" i="29"/>
  <c r="AK11" i="29"/>
  <c r="AE11" i="29"/>
  <c r="BK11" i="27"/>
  <c r="BM11" i="27" s="1"/>
  <c r="BL11" i="27"/>
  <c r="AC11" i="27"/>
  <c r="AR11" i="27"/>
  <c r="AD11" i="27"/>
  <c r="AJ11" i="27"/>
  <c r="CA11" i="27"/>
  <c r="CC11" i="27" s="1"/>
  <c r="CB11" i="27"/>
  <c r="BK11" i="26"/>
  <c r="BM11" i="26" s="1"/>
  <c r="BL11" i="26"/>
  <c r="CA11" i="26"/>
  <c r="CC11" i="26" s="1"/>
  <c r="CB11" i="26"/>
  <c r="AT11" i="26"/>
  <c r="AL11" i="26"/>
  <c r="AS11" i="26"/>
  <c r="AK11" i="26"/>
  <c r="AE11" i="26"/>
  <c r="AC11" i="25"/>
  <c r="AR11" i="25"/>
  <c r="AJ11" i="25"/>
  <c r="AD11" i="25"/>
  <c r="BK11" i="25"/>
  <c r="BM11" i="25" s="1"/>
  <c r="BL11" i="25"/>
  <c r="CA11" i="25"/>
  <c r="CC11" i="25" s="1"/>
  <c r="CB11" i="25"/>
  <c r="AC11" i="24"/>
  <c r="AR11" i="24"/>
  <c r="AJ11" i="24"/>
  <c r="AD11" i="24"/>
  <c r="BK11" i="24"/>
  <c r="BM11" i="24" s="1"/>
  <c r="BL11" i="24"/>
  <c r="CA11" i="24"/>
  <c r="CC11" i="24" s="1"/>
  <c r="CB11" i="24"/>
  <c r="AC11" i="20"/>
  <c r="AR11" i="20"/>
  <c r="AJ11" i="20"/>
  <c r="AD11" i="20"/>
  <c r="BK11" i="20"/>
  <c r="BM11" i="20" s="1"/>
  <c r="BL11" i="20"/>
  <c r="CA11" i="20"/>
  <c r="CC11" i="20" s="1"/>
  <c r="CB11" i="20"/>
  <c r="BK11" i="19"/>
  <c r="BM11" i="19" s="1"/>
  <c r="BL11" i="19"/>
  <c r="AC11" i="19"/>
  <c r="AD11" i="19"/>
  <c r="AR11" i="19"/>
  <c r="AJ11" i="19"/>
  <c r="CA11" i="19"/>
  <c r="CC11" i="19" s="1"/>
  <c r="CB11" i="19"/>
  <c r="BK11" i="14"/>
  <c r="BM11" i="14" s="1"/>
  <c r="BL11" i="14"/>
  <c r="AC11" i="14"/>
  <c r="AR11" i="14"/>
  <c r="AJ11" i="14"/>
  <c r="AD11" i="14"/>
  <c r="CA11" i="14"/>
  <c r="CC11" i="14" s="1"/>
  <c r="CB11" i="14"/>
  <c r="CA11" i="12"/>
  <c r="CC11" i="12" s="1"/>
  <c r="CB11" i="12"/>
  <c r="AT11" i="12"/>
  <c r="AL11" i="12"/>
  <c r="BK11" i="12"/>
  <c r="BM11" i="12" s="1"/>
  <c r="BL11" i="12"/>
  <c r="AK11" i="12"/>
  <c r="AE11" i="12"/>
  <c r="CA11" i="11"/>
  <c r="CC11" i="11" s="1"/>
  <c r="CB11" i="11"/>
  <c r="BK11" i="11"/>
  <c r="BM11" i="11" s="1"/>
  <c r="BL11" i="11"/>
  <c r="CA11" i="7"/>
  <c r="CC11" i="7" s="1"/>
  <c r="CB11" i="7"/>
  <c r="AC11" i="6"/>
  <c r="AR11" i="6"/>
  <c r="AJ11" i="6"/>
  <c r="AD11" i="6"/>
  <c r="BK11" i="6"/>
  <c r="BM11" i="6" s="1"/>
  <c r="BL11" i="6"/>
  <c r="CA11" i="6"/>
  <c r="CC11" i="6" s="1"/>
  <c r="CB11" i="6"/>
  <c r="AE11" i="1"/>
  <c r="AS11" i="1"/>
  <c r="AK11" i="1"/>
  <c r="AT11" i="1"/>
  <c r="AL11" i="1"/>
  <c r="AE11" i="4" l="1"/>
  <c r="AS11" i="4"/>
  <c r="AK11" i="4"/>
  <c r="AT11" i="4"/>
  <c r="AL11" i="4"/>
  <c r="AT11" i="31"/>
  <c r="AL11" i="31"/>
  <c r="AE11" i="31"/>
  <c r="AS11" i="31"/>
  <c r="AK11" i="31"/>
  <c r="AT11" i="30"/>
  <c r="AL11" i="30"/>
  <c r="AT11" i="5"/>
  <c r="AL11" i="5"/>
  <c r="AS11" i="30"/>
  <c r="AK11" i="30"/>
  <c r="AE11" i="30"/>
  <c r="AL11" i="28"/>
  <c r="AT11" i="28"/>
  <c r="AK11" i="28"/>
  <c r="AS11" i="28"/>
  <c r="AE11" i="28"/>
  <c r="AE11" i="10"/>
  <c r="AK11" i="10"/>
  <c r="AS11" i="10"/>
  <c r="AL11" i="10"/>
  <c r="AT11" i="10"/>
  <c r="AT11" i="18"/>
  <c r="AL11" i="18"/>
  <c r="AT11" i="7"/>
  <c r="AL11" i="7"/>
  <c r="AL11" i="11"/>
  <c r="AT11" i="11"/>
  <c r="AS11" i="7"/>
  <c r="AK11" i="7"/>
  <c r="AE11" i="7"/>
  <c r="AS11" i="5"/>
  <c r="AE11" i="5"/>
  <c r="AK11" i="5"/>
  <c r="AK11" i="11"/>
  <c r="AE11" i="11"/>
  <c r="AS11" i="11"/>
  <c r="AS11" i="18"/>
  <c r="AE11" i="18"/>
  <c r="AK11" i="18"/>
  <c r="AE11" i="21"/>
  <c r="AK11" i="21"/>
  <c r="AS11" i="21"/>
  <c r="AL11" i="13"/>
  <c r="AT11" i="13"/>
  <c r="AM11" i="3"/>
  <c r="AU11" i="3"/>
  <c r="AE11" i="15"/>
  <c r="AK11" i="15"/>
  <c r="AS11" i="15"/>
  <c r="AL11" i="21"/>
  <c r="AT11" i="21"/>
  <c r="AL11" i="15"/>
  <c r="AT11" i="15"/>
  <c r="AE11" i="13"/>
  <c r="AK11" i="13"/>
  <c r="AS11" i="13"/>
  <c r="AU11" i="29"/>
  <c r="AM11" i="29"/>
  <c r="AT11" i="27"/>
  <c r="AL11" i="27"/>
  <c r="AS11" i="27"/>
  <c r="AK11" i="27"/>
  <c r="AE11" i="27"/>
  <c r="AU11" i="26"/>
  <c r="AM11" i="26"/>
  <c r="AT11" i="25"/>
  <c r="AL11" i="25"/>
  <c r="AS11" i="25"/>
  <c r="AK11" i="25"/>
  <c r="AE11" i="25"/>
  <c r="AT11" i="24"/>
  <c r="AL11" i="24"/>
  <c r="AS11" i="24"/>
  <c r="AK11" i="24"/>
  <c r="AE11" i="24"/>
  <c r="AT11" i="20"/>
  <c r="AL11" i="20"/>
  <c r="AS11" i="20"/>
  <c r="AK11" i="20"/>
  <c r="AE11" i="20"/>
  <c r="AT11" i="19"/>
  <c r="AL11" i="19"/>
  <c r="AS11" i="19"/>
  <c r="AK11" i="19"/>
  <c r="AE11" i="19"/>
  <c r="AT11" i="14"/>
  <c r="AL11" i="14"/>
  <c r="AS11" i="14"/>
  <c r="AK11" i="14"/>
  <c r="AE11" i="14"/>
  <c r="AU11" i="12"/>
  <c r="AM11" i="12"/>
  <c r="AT11" i="6"/>
  <c r="AL11" i="6"/>
  <c r="AS11" i="6"/>
  <c r="AK11" i="6"/>
  <c r="AE11" i="6"/>
  <c r="AU11" i="1"/>
  <c r="AM11" i="1"/>
  <c r="AM11" i="31" l="1"/>
  <c r="AU11" i="31"/>
  <c r="AM11" i="4"/>
  <c r="AU11" i="4"/>
  <c r="AM11" i="18"/>
  <c r="AU11" i="18"/>
  <c r="AM11" i="7"/>
  <c r="AU11" i="7"/>
  <c r="AU11" i="30"/>
  <c r="AM11" i="30"/>
  <c r="AU11" i="11"/>
  <c r="AM11" i="11"/>
  <c r="AU11" i="10"/>
  <c r="AM11" i="10"/>
  <c r="AU11" i="5"/>
  <c r="AM11" i="5"/>
  <c r="AM11" i="28"/>
  <c r="AU11" i="28"/>
  <c r="AM11" i="15"/>
  <c r="AU11" i="15"/>
  <c r="AM11" i="13"/>
  <c r="AU11" i="13"/>
  <c r="AM11" i="21"/>
  <c r="AU11" i="21"/>
  <c r="AU11" i="27"/>
  <c r="AM11" i="27"/>
  <c r="AU11" i="25"/>
  <c r="AM11" i="25"/>
  <c r="AU11" i="24"/>
  <c r="AM11" i="24"/>
  <c r="AU11" i="20"/>
  <c r="AM11" i="20"/>
  <c r="AU11" i="19"/>
  <c r="AM11" i="19"/>
  <c r="AU11" i="14"/>
  <c r="AM11" i="14"/>
  <c r="AU11" i="6"/>
  <c r="AM11" i="6"/>
  <c r="AX11" i="2"/>
  <c r="AY11" i="2" s="1"/>
  <c r="BA11" i="2" s="1"/>
  <c r="AF11" i="2"/>
  <c r="AH11" i="2" s="1"/>
  <c r="AV11" i="2"/>
  <c r="AW11" i="2" s="1"/>
  <c r="BB11" i="2"/>
  <c r="BC11" i="2" s="1"/>
  <c r="BE11" i="2" s="1"/>
  <c r="AB11" i="2"/>
  <c r="BN11" i="2"/>
  <c r="BP11" i="2" s="1"/>
  <c r="BR11" i="2"/>
  <c r="BT11" i="2" s="1"/>
  <c r="AN11" i="2"/>
  <c r="AO11" i="2" s="1"/>
  <c r="BJ11" i="2"/>
  <c r="BK11" i="2" s="1"/>
  <c r="BM11" i="2" s="1"/>
  <c r="AZ11" i="2" l="1"/>
  <c r="BO11" i="2"/>
  <c r="BQ11" i="2" s="1"/>
  <c r="AR11" i="2"/>
  <c r="AC11" i="2"/>
  <c r="AS11" i="2" s="1"/>
  <c r="AG11" i="2"/>
  <c r="AI11" i="2" s="1"/>
  <c r="AJ11" i="2"/>
  <c r="BZ11" i="2"/>
  <c r="AQ11" i="2"/>
  <c r="BL11" i="2"/>
  <c r="AD11" i="2"/>
  <c r="BD11" i="2"/>
  <c r="AP11" i="2"/>
  <c r="BS11" i="2"/>
  <c r="BU11" i="2" s="1"/>
  <c r="AK11" i="2" l="1"/>
  <c r="AE11" i="2"/>
  <c r="AU11" i="2" s="1"/>
  <c r="AT11" i="2"/>
  <c r="AL11" i="2"/>
  <c r="CB11" i="2"/>
  <c r="CA11" i="2"/>
  <c r="CC11" i="2" s="1"/>
  <c r="AM1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</authors>
  <commentList>
    <comment ref="N1" authorId="0" shapeId="0" xr:uid="{00000000-0006-0000-0000-000001000000}">
      <text>
        <r>
          <rPr>
            <sz val="9"/>
            <color indexed="81"/>
            <rFont val="Geneva"/>
            <family val="2"/>
          </rPr>
          <t xml:space="preserve">mean dpm of infusate that is measured DIRECTLY without Somogyi (usually 300,000 dpm)
</t>
        </r>
      </text>
    </comment>
    <comment ref="M2" authorId="0" shapeId="0" xr:uid="{00000000-0006-0000-0000-000002000000}">
      <text>
        <r>
          <rPr>
            <sz val="9"/>
            <color indexed="81"/>
            <rFont val="Geneva"/>
            <family val="2"/>
          </rPr>
          <t>IR (counts per min)= theoretically 1uCi=2.223.000 counts; as IR was 0.25uCi /min ≈ 1/4 of above (≈550.000).</t>
        </r>
      </text>
    </comment>
    <comment ref="O3" authorId="0" shapeId="0" xr:uid="{00000000-0006-0000-0000-000003000000}">
      <text>
        <r>
          <rPr>
            <sz val="9"/>
            <color indexed="81"/>
            <rFont val="Geneva"/>
            <family val="2"/>
          </rPr>
          <t xml:space="preserve">INFUSATE that undergoes SOMOGYI (~120,000 - usually 4 values)
mean dpm counted on 50 ul of infusate x 2.86 (to bring up 700ul to 2000ul=50 of original infusate) </t>
        </r>
      </text>
    </comment>
    <comment ref="E6" authorId="0" shapeId="0" xr:uid="{00000000-0006-0000-0000-000004000000}">
      <text>
        <r>
          <rPr>
            <sz val="9"/>
            <color indexed="81"/>
            <rFont val="Geneva"/>
            <family val="2"/>
          </rPr>
          <t>623 dpm/139 ul plasma (x 7.15 for 1000ul or 1ml) / or 623 dpm/700 ul of s'n taken from the 2000/"400 plasma" ul Zn/Ba mix / or (623 x 2.86= ≈1800/2000 s'n)... so ≈1800 x 2.5= ≈4500</t>
        </r>
      </text>
    </comment>
    <comment ref="G6" authorId="0" shapeId="0" xr:uid="{00000000-0006-0000-0000-000005000000}">
      <text>
        <r>
          <rPr>
            <sz val="9"/>
            <color indexed="81"/>
            <rFont val="Geneva"/>
            <family val="2"/>
          </rPr>
          <t>(dpm(c)/700ul s'n) * 2000s'n /.4 plasma (40% of 1ml).......  and should be divided by the correction factor corresponding to % recovery which in this case we asume to be 1 (100%) as it is the same for plasma samples and infusates.</t>
        </r>
      </text>
    </comment>
    <comment ref="J6" authorId="0" shapeId="0" xr:uid="{00000000-0006-0000-0000-000006000000}">
      <text>
        <r>
          <rPr>
            <sz val="9"/>
            <color indexed="81"/>
            <rFont val="Geneva"/>
            <family val="2"/>
          </rPr>
          <t>1. Ra= f (IR-dpm inf)/plasma glu mg%/wt (kg)                    2. Insulin not given until time +60', so Ra calculated the same as baseline for this period (as above).          Unit= mg/kg/min</t>
        </r>
      </text>
    </comment>
    <comment ref="M6" authorId="0" shapeId="0" xr:uid="{00000000-0006-0000-0000-000007000000}">
      <text>
        <r>
          <rPr>
            <sz val="9"/>
            <color indexed="81"/>
            <rFont val="Geneva"/>
            <family val="2"/>
          </rPr>
          <t>Unit=mg/Kg/min</t>
        </r>
      </text>
    </comment>
    <comment ref="N6" authorId="0" shapeId="0" xr:uid="{00000000-0006-0000-0000-000008000000}">
      <text>
        <r>
          <rPr>
            <sz val="9"/>
            <color indexed="81"/>
            <rFont val="Geneva"/>
            <family val="2"/>
          </rPr>
          <t xml:space="preserve">alternative formula (from raw counts): 71.245/((645/1.21)/106.5))  Unit= mg/kg/min              </t>
        </r>
      </text>
    </comment>
    <comment ref="Q6" authorId="0" shapeId="0" xr:uid="{00000000-0006-0000-0000-000009000000}">
      <text>
        <r>
          <rPr>
            <sz val="9"/>
            <color indexed="81"/>
            <rFont val="Geneva"/>
            <family val="2"/>
          </rPr>
          <t>Oxid glu (Gdis)= (4.57 ml/mg *VCO2 ml/min) - (3.23 ml/mg *VO2 ml/min)-(2.6 ml/mg * 7 mg/min)</t>
        </r>
      </text>
    </comment>
    <comment ref="R6" authorId="0" shapeId="0" xr:uid="{00000000-0006-0000-0000-00000A000000}">
      <text>
        <r>
          <rPr>
            <sz val="9"/>
            <color indexed="81"/>
            <rFont val="Geneva"/>
            <family val="2"/>
          </rPr>
          <t>RA=oxid+non-oxid glucose metabolism;                           non-oxid=RA (or M)-oxid</t>
        </r>
      </text>
    </comment>
    <comment ref="M41" authorId="0" shapeId="0" xr:uid="{00000000-0006-0000-0000-00000B000000}">
      <text>
        <r>
          <rPr>
            <sz val="9"/>
            <color indexed="81"/>
            <rFont val="Geneva"/>
            <family val="2"/>
          </rPr>
          <t>IR (counts per min)= theoretically 1uCi=2.223.000 counts; as IR was 0.25uCi /min ≈ 1/4 of above (≈550.000).</t>
        </r>
      </text>
    </comment>
    <comment ref="E45" authorId="0" shapeId="0" xr:uid="{00000000-0006-0000-0000-00000C000000}">
      <text>
        <r>
          <rPr>
            <sz val="9"/>
            <color indexed="81"/>
            <rFont val="Geneva"/>
            <family val="2"/>
          </rPr>
          <t>623 dpm/139 ul plasma (x 7.15 for 1000ul or 1ml) / or 623 dpm/700 ul of s'n taken from the 2000/"400 plasma" ul Zn/Ba mix / or (623 x 2.86= ≈1800/2000 s'n)... so ≈1800 x 2.5= ≈4500</t>
        </r>
      </text>
    </comment>
    <comment ref="G45" authorId="0" shapeId="0" xr:uid="{00000000-0006-0000-0000-00000D000000}">
      <text>
        <r>
          <rPr>
            <sz val="9"/>
            <color indexed="81"/>
            <rFont val="Geneva"/>
            <family val="2"/>
          </rPr>
          <t>(dpm(c)/700ul s'n) * 2000s'n /.4 plasma (40% of 1ml).......  and should be divided by the correction factor corresponding to % recovery which in this case we asume to be 1 (100%) as it is the same for plasma samples and infusates.</t>
        </r>
      </text>
    </comment>
    <comment ref="J45" authorId="0" shapeId="0" xr:uid="{00000000-0006-0000-0000-00000E000000}">
      <text>
        <r>
          <rPr>
            <sz val="9"/>
            <color indexed="81"/>
            <rFont val="Geneva"/>
            <family val="2"/>
          </rPr>
          <t>1. Ra= f (IR-dpm inf)/plasma glu mg%/wt (kg)                    2. Insulin not given until time +60', so Ra calculated the same as baseline for this period (as above).          Unit= mg/kg/min</t>
        </r>
      </text>
    </comment>
    <comment ref="M45" authorId="0" shapeId="0" xr:uid="{00000000-0006-0000-0000-00000F000000}">
      <text>
        <r>
          <rPr>
            <sz val="9"/>
            <color indexed="81"/>
            <rFont val="Geneva"/>
            <family val="2"/>
          </rPr>
          <t>Unit=mg/Kg/min</t>
        </r>
      </text>
    </comment>
    <comment ref="N45" authorId="0" shapeId="0" xr:uid="{00000000-0006-0000-0000-000010000000}">
      <text>
        <r>
          <rPr>
            <sz val="9"/>
            <color indexed="81"/>
            <rFont val="Geneva"/>
            <family val="2"/>
          </rPr>
          <t xml:space="preserve">alternative formula (from raw counts): 71.245/((645/1.21)/106.5))  Unit= mg/kg/min              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</authors>
  <commentList>
    <comment ref="N1" authorId="0" shapeId="0" xr:uid="{00000000-0006-0000-0900-000001000000}">
      <text>
        <r>
          <rPr>
            <sz val="9"/>
            <color indexed="81"/>
            <rFont val="Geneva"/>
            <family val="2"/>
          </rPr>
          <t xml:space="preserve">mean dpm of infusate that is measured DIRECTLY without Somogyi (usually 300,000 dpm)
</t>
        </r>
      </text>
    </comment>
    <comment ref="M2" authorId="0" shapeId="0" xr:uid="{00000000-0006-0000-0900-000002000000}">
      <text>
        <r>
          <rPr>
            <sz val="9"/>
            <color indexed="81"/>
            <rFont val="Geneva"/>
            <family val="2"/>
          </rPr>
          <t>IR (counts per min)= theoretically 1uCi=2.223.000 counts; as IR was 0.25uCi /min ≈ 1/4 of above (≈550.000).</t>
        </r>
      </text>
    </comment>
    <comment ref="O3" authorId="0" shapeId="0" xr:uid="{00000000-0006-0000-0900-000003000000}">
      <text>
        <r>
          <rPr>
            <sz val="9"/>
            <color indexed="81"/>
            <rFont val="Geneva"/>
            <family val="2"/>
          </rPr>
          <t xml:space="preserve">INFUSATE that undergoes SOMOGYI (~120,000 - usually 4 values)
mean dpm counted on 50 ul of infusate x 2.86 (to bring up 700ul to 2000ul=50 of original infusate) </t>
        </r>
      </text>
    </comment>
    <comment ref="E6" authorId="0" shapeId="0" xr:uid="{00000000-0006-0000-0900-000004000000}">
      <text>
        <r>
          <rPr>
            <sz val="9"/>
            <color indexed="81"/>
            <rFont val="Geneva"/>
            <family val="2"/>
          </rPr>
          <t>623 dpm/139 ul plasma (x 7.15 for 1000ul or 1ml) / or 623 dpm/700 ul of s'n taken from the 2000/"400 plasma" ul Zn/Ba mix / or (623 x 2.86= ≈1800/2000 s'n)... so ≈1800 x 2.5= ≈4500</t>
        </r>
      </text>
    </comment>
    <comment ref="G6" authorId="0" shapeId="0" xr:uid="{00000000-0006-0000-0900-000005000000}">
      <text>
        <r>
          <rPr>
            <sz val="9"/>
            <color indexed="81"/>
            <rFont val="Geneva"/>
            <family val="2"/>
          </rPr>
          <t>(dpm(c)/700ul s'n) * 2000s'n /.4 plasma (40% of 1ml).......  and should be divided by the correction factor corresponding to % recovery which in this case we asume to be 1 (100%) as it is the same for plasma samples and infusates.</t>
        </r>
      </text>
    </comment>
    <comment ref="J6" authorId="0" shapeId="0" xr:uid="{00000000-0006-0000-0900-000006000000}">
      <text>
        <r>
          <rPr>
            <sz val="9"/>
            <color indexed="81"/>
            <rFont val="Geneva"/>
            <family val="2"/>
          </rPr>
          <t>1. Ra= f (IR-dpm inf)/plasma glu mg%/wt (kg)                    2. Insulin not given until time +60', so Ra calculated the same as baseline for this period (as above).          Unit= mg/kg/min</t>
        </r>
      </text>
    </comment>
    <comment ref="M6" authorId="0" shapeId="0" xr:uid="{00000000-0006-0000-0900-000007000000}">
      <text>
        <r>
          <rPr>
            <sz val="9"/>
            <color indexed="81"/>
            <rFont val="Geneva"/>
            <family val="2"/>
          </rPr>
          <t>Unit=mg/Kg/min</t>
        </r>
      </text>
    </comment>
    <comment ref="N6" authorId="0" shapeId="0" xr:uid="{00000000-0006-0000-0900-000008000000}">
      <text>
        <r>
          <rPr>
            <sz val="9"/>
            <color indexed="81"/>
            <rFont val="Geneva"/>
            <family val="2"/>
          </rPr>
          <t xml:space="preserve">alternative formula (from raw counts): 71.245/((645/1.21)/106.5))  Unit= mg/kg/min              </t>
        </r>
      </text>
    </comment>
    <comment ref="Q6" authorId="0" shapeId="0" xr:uid="{00000000-0006-0000-0900-000009000000}">
      <text>
        <r>
          <rPr>
            <sz val="9"/>
            <color indexed="81"/>
            <rFont val="Geneva"/>
            <family val="2"/>
          </rPr>
          <t>Oxid glu (Gdis)= (4.57 ml/mg *VCO2 ml/min) - (3.23 ml/mg *VO2 ml/min)-(2.6 ml/mg * 7 mg/min)</t>
        </r>
      </text>
    </comment>
    <comment ref="R6" authorId="0" shapeId="0" xr:uid="{00000000-0006-0000-0900-00000A000000}">
      <text>
        <r>
          <rPr>
            <sz val="9"/>
            <color indexed="81"/>
            <rFont val="Geneva"/>
            <family val="2"/>
          </rPr>
          <t>RA=oxid+non-oxid glucose metabolism;                           non-oxid=RA (or M)-oxid</t>
        </r>
      </text>
    </comment>
    <comment ref="M41" authorId="0" shapeId="0" xr:uid="{00000000-0006-0000-0900-00000B000000}">
      <text>
        <r>
          <rPr>
            <sz val="9"/>
            <color indexed="81"/>
            <rFont val="Geneva"/>
            <family val="2"/>
          </rPr>
          <t>IR (counts per min)= theoretically 1uCi=2.223.000 counts; as IR was 0.25uCi /min ≈ 1/4 of above (≈550.000).</t>
        </r>
      </text>
    </comment>
    <comment ref="E45" authorId="0" shapeId="0" xr:uid="{00000000-0006-0000-0900-00000C000000}">
      <text>
        <r>
          <rPr>
            <sz val="9"/>
            <color indexed="81"/>
            <rFont val="Geneva"/>
            <family val="2"/>
          </rPr>
          <t>623 dpm/139 ul plasma (x 7.15 for 1000ul or 1ml) / or 623 dpm/700 ul of s'n taken from the 2000/"400 plasma" ul Zn/Ba mix / or (623 x 2.86= ≈1800/2000 s'n)... so ≈1800 x 2.5= ≈4500</t>
        </r>
      </text>
    </comment>
    <comment ref="G45" authorId="0" shapeId="0" xr:uid="{00000000-0006-0000-0900-00000D000000}">
      <text>
        <r>
          <rPr>
            <sz val="9"/>
            <color indexed="81"/>
            <rFont val="Geneva"/>
            <family val="2"/>
          </rPr>
          <t>(dpm(c)/700ul s'n) * 2000s'n /.4 plasma (40% of 1ml).......  and should be divided by the correction factor corresponding to % recovery which in this case we asume to be 1 (100%) as it is the same for plasma samples and infusates.</t>
        </r>
      </text>
    </comment>
    <comment ref="J45" authorId="0" shapeId="0" xr:uid="{00000000-0006-0000-0900-00000E000000}">
      <text>
        <r>
          <rPr>
            <sz val="9"/>
            <color indexed="81"/>
            <rFont val="Geneva"/>
            <family val="2"/>
          </rPr>
          <t>1. Ra= f (IR-dpm inf)/plasma glu mg%/wt (kg)                    2. Insulin not given until time +60', so Ra calculated the same as baseline for this period (as above).          Unit= mg/kg/min</t>
        </r>
      </text>
    </comment>
    <comment ref="M45" authorId="0" shapeId="0" xr:uid="{00000000-0006-0000-0900-00000F000000}">
      <text>
        <r>
          <rPr>
            <sz val="9"/>
            <color indexed="81"/>
            <rFont val="Geneva"/>
            <family val="2"/>
          </rPr>
          <t>Unit=mg/Kg/min</t>
        </r>
      </text>
    </comment>
    <comment ref="N45" authorId="0" shapeId="0" xr:uid="{00000000-0006-0000-0900-000010000000}">
      <text>
        <r>
          <rPr>
            <sz val="9"/>
            <color indexed="81"/>
            <rFont val="Geneva"/>
            <family val="2"/>
          </rPr>
          <t xml:space="preserve">alternative formula (from raw counts): 71.245/((645/1.21)/106.5))  Unit= mg/kg/min              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</authors>
  <commentList>
    <comment ref="N1" authorId="0" shapeId="0" xr:uid="{00000000-0006-0000-0A00-000001000000}">
      <text>
        <r>
          <rPr>
            <sz val="9"/>
            <color indexed="81"/>
            <rFont val="Geneva"/>
            <family val="2"/>
          </rPr>
          <t xml:space="preserve">mean dpm of infusate that is measured DIRECTLY without Somogyi (usually 300,000 dpm)
</t>
        </r>
      </text>
    </comment>
    <comment ref="M2" authorId="0" shapeId="0" xr:uid="{00000000-0006-0000-0A00-000002000000}">
      <text>
        <r>
          <rPr>
            <sz val="9"/>
            <color indexed="81"/>
            <rFont val="Geneva"/>
            <family val="2"/>
          </rPr>
          <t>IR (counts per min)= theoretically 1uCi=2.223.000 counts; as IR was 0.25uCi /min ≈ 1/4 of above (≈550.000).</t>
        </r>
      </text>
    </comment>
    <comment ref="O3" authorId="0" shapeId="0" xr:uid="{00000000-0006-0000-0A00-000003000000}">
      <text>
        <r>
          <rPr>
            <sz val="9"/>
            <color indexed="81"/>
            <rFont val="Geneva"/>
            <family val="2"/>
          </rPr>
          <t xml:space="preserve">INFUSATE that undergoes SOMOGYI (~120,000 - usually 4 values)
mean dpm counted on 50 ul of infusate x 2.86 (to bring up 700ul to 2000ul=50 of original infusate) </t>
        </r>
      </text>
    </comment>
    <comment ref="E6" authorId="0" shapeId="0" xr:uid="{00000000-0006-0000-0A00-000004000000}">
      <text>
        <r>
          <rPr>
            <sz val="9"/>
            <color indexed="81"/>
            <rFont val="Geneva"/>
            <family val="2"/>
          </rPr>
          <t>623 dpm/139 ul plasma (x 7.15 for 1000ul or 1ml) / or 623 dpm/700 ul of s'n taken from the 2000/"400 plasma" ul Zn/Ba mix / or (623 x 2.86= ≈1800/2000 s'n)... so ≈1800 x 2.5= ≈4500</t>
        </r>
      </text>
    </comment>
    <comment ref="G6" authorId="0" shapeId="0" xr:uid="{00000000-0006-0000-0A00-000005000000}">
      <text>
        <r>
          <rPr>
            <sz val="9"/>
            <color indexed="81"/>
            <rFont val="Geneva"/>
            <family val="2"/>
          </rPr>
          <t>(dpm(c)/700ul s'n) * 2000s'n /.4 plasma (40% of 1ml).......  and should be divided by the correction factor corresponding to % recovery which in this case we asume to be 1 (100%) as it is the same for plasma samples and infusates.</t>
        </r>
      </text>
    </comment>
    <comment ref="J6" authorId="0" shapeId="0" xr:uid="{00000000-0006-0000-0A00-000006000000}">
      <text>
        <r>
          <rPr>
            <sz val="9"/>
            <color indexed="81"/>
            <rFont val="Geneva"/>
            <family val="2"/>
          </rPr>
          <t>1. Ra= f (IR-dpm inf)/plasma glu mg%/wt (kg)                    2. Insulin not given until time +60', so Ra calculated the same as baseline for this period (as above).          Unit= mg/kg/min</t>
        </r>
      </text>
    </comment>
    <comment ref="M6" authorId="0" shapeId="0" xr:uid="{00000000-0006-0000-0A00-000007000000}">
      <text>
        <r>
          <rPr>
            <sz val="9"/>
            <color indexed="81"/>
            <rFont val="Geneva"/>
            <family val="2"/>
          </rPr>
          <t>Unit=mg/Kg/min</t>
        </r>
      </text>
    </comment>
    <comment ref="N6" authorId="0" shapeId="0" xr:uid="{00000000-0006-0000-0A00-000008000000}">
      <text>
        <r>
          <rPr>
            <sz val="9"/>
            <color indexed="81"/>
            <rFont val="Geneva"/>
            <family val="2"/>
          </rPr>
          <t xml:space="preserve">alternative formula (from raw counts): 71.245/((645/1.21)/106.5))  Unit= mg/kg/min              </t>
        </r>
      </text>
    </comment>
    <comment ref="Q6" authorId="0" shapeId="0" xr:uid="{00000000-0006-0000-0A00-000009000000}">
      <text>
        <r>
          <rPr>
            <sz val="9"/>
            <color indexed="81"/>
            <rFont val="Geneva"/>
            <family val="2"/>
          </rPr>
          <t>Oxid glu (Gdis)= (4.57 ml/mg *VCO2 ml/min) - (3.23 ml/mg *VO2 ml/min)-(2.6 ml/mg * 7 mg/min)</t>
        </r>
      </text>
    </comment>
    <comment ref="R6" authorId="0" shapeId="0" xr:uid="{00000000-0006-0000-0A00-00000A000000}">
      <text>
        <r>
          <rPr>
            <sz val="9"/>
            <color indexed="81"/>
            <rFont val="Geneva"/>
            <family val="2"/>
          </rPr>
          <t>RA=oxid+non-oxid glucose metabolism;                           non-oxid=RA (or M)-oxid</t>
        </r>
      </text>
    </comment>
    <comment ref="M41" authorId="0" shapeId="0" xr:uid="{00000000-0006-0000-0A00-00000B000000}">
      <text>
        <r>
          <rPr>
            <sz val="9"/>
            <color indexed="81"/>
            <rFont val="Geneva"/>
            <family val="2"/>
          </rPr>
          <t>IR (counts per min)= theoretically 1uCi=2.223.000 counts; as IR was 0.25uCi /min ≈ 1/4 of above (≈550.000).</t>
        </r>
      </text>
    </comment>
    <comment ref="E45" authorId="0" shapeId="0" xr:uid="{00000000-0006-0000-0A00-00000C000000}">
      <text>
        <r>
          <rPr>
            <sz val="9"/>
            <color indexed="81"/>
            <rFont val="Geneva"/>
            <family val="2"/>
          </rPr>
          <t>623 dpm/139 ul plasma (x 7.15 for 1000ul or 1ml) / or 623 dpm/700 ul of s'n taken from the 2000/"400 plasma" ul Zn/Ba mix / or (623 x 2.86= ≈1800/2000 s'n)... so ≈1800 x 2.5= ≈4500</t>
        </r>
      </text>
    </comment>
    <comment ref="G45" authorId="0" shapeId="0" xr:uid="{00000000-0006-0000-0A00-00000D000000}">
      <text>
        <r>
          <rPr>
            <sz val="9"/>
            <color indexed="81"/>
            <rFont val="Geneva"/>
            <family val="2"/>
          </rPr>
          <t>(dpm(c)/700ul s'n) * 2000s'n /.4 plasma (40% of 1ml).......  and should be divided by the correction factor corresponding to % recovery which in this case we asume to be 1 (100%) as it is the same for plasma samples and infusates.</t>
        </r>
      </text>
    </comment>
    <comment ref="J45" authorId="0" shapeId="0" xr:uid="{00000000-0006-0000-0A00-00000E000000}">
      <text>
        <r>
          <rPr>
            <sz val="9"/>
            <color indexed="81"/>
            <rFont val="Geneva"/>
            <family val="2"/>
          </rPr>
          <t>1. Ra= f (IR-dpm inf)/plasma glu mg%/wt (kg)                    2. Insulin not given until time +60', so Ra calculated the same as baseline for this period (as above).          Unit= mg/kg/min</t>
        </r>
      </text>
    </comment>
    <comment ref="M45" authorId="0" shapeId="0" xr:uid="{00000000-0006-0000-0A00-00000F000000}">
      <text>
        <r>
          <rPr>
            <sz val="9"/>
            <color indexed="81"/>
            <rFont val="Geneva"/>
            <family val="2"/>
          </rPr>
          <t>Unit=mg/Kg/min</t>
        </r>
      </text>
    </comment>
    <comment ref="N45" authorId="0" shapeId="0" xr:uid="{00000000-0006-0000-0A00-000010000000}">
      <text>
        <r>
          <rPr>
            <sz val="9"/>
            <color indexed="81"/>
            <rFont val="Geneva"/>
            <family val="2"/>
          </rPr>
          <t xml:space="preserve">alternative formula (from raw counts): 71.245/((645/1.21)/106.5))  Unit= mg/kg/min              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</authors>
  <commentList>
    <comment ref="N1" authorId="0" shapeId="0" xr:uid="{00000000-0006-0000-0B00-000001000000}">
      <text>
        <r>
          <rPr>
            <sz val="9"/>
            <color indexed="81"/>
            <rFont val="Geneva"/>
            <family val="2"/>
          </rPr>
          <t xml:space="preserve">mean dpm of infusate that is measured DIRECTLY without Somogyi (usually 300,000 dpm)
</t>
        </r>
      </text>
    </comment>
    <comment ref="M2" authorId="0" shapeId="0" xr:uid="{00000000-0006-0000-0B00-000002000000}">
      <text>
        <r>
          <rPr>
            <sz val="9"/>
            <color indexed="81"/>
            <rFont val="Geneva"/>
            <family val="2"/>
          </rPr>
          <t>IR (counts per min)= theoretically 1uCi=2.223.000 counts; as IR was 0.25uCi /min ≈ 1/4 of above (≈550.000).</t>
        </r>
      </text>
    </comment>
    <comment ref="O3" authorId="0" shapeId="0" xr:uid="{00000000-0006-0000-0B00-000003000000}">
      <text>
        <r>
          <rPr>
            <sz val="9"/>
            <color indexed="81"/>
            <rFont val="Geneva"/>
            <family val="2"/>
          </rPr>
          <t xml:space="preserve">INFUSATE that undergoes SOMOGYI (~120,000 - usually 4 values)
mean dpm counted on 50 ul of infusate x 2.86 (to bring up 700ul to 2000ul=50 of original infusate) </t>
        </r>
      </text>
    </comment>
    <comment ref="E6" authorId="0" shapeId="0" xr:uid="{00000000-0006-0000-0B00-000004000000}">
      <text>
        <r>
          <rPr>
            <sz val="9"/>
            <color indexed="81"/>
            <rFont val="Geneva"/>
            <family val="2"/>
          </rPr>
          <t>623 dpm/139 ul plasma (x 7.15 for 1000ul or 1ml) / or 623 dpm/700 ul of s'n taken from the 2000/"400 plasma" ul Zn/Ba mix / or (623 x 2.86= ≈1800/2000 s'n)... so ≈1800 x 2.5= ≈4500</t>
        </r>
      </text>
    </comment>
    <comment ref="G6" authorId="0" shapeId="0" xr:uid="{00000000-0006-0000-0B00-000005000000}">
      <text>
        <r>
          <rPr>
            <sz val="9"/>
            <color indexed="81"/>
            <rFont val="Geneva"/>
            <family val="2"/>
          </rPr>
          <t>(dpm(c)/700ul s'n) * 2000s'n /.4 plasma (40% of 1ml).......  and should be divided by the correction factor corresponding to % recovery which in this case we asume to be 1 (100%) as it is the same for plasma samples and infusates.</t>
        </r>
      </text>
    </comment>
    <comment ref="J6" authorId="0" shapeId="0" xr:uid="{00000000-0006-0000-0B00-000006000000}">
      <text>
        <r>
          <rPr>
            <sz val="9"/>
            <color indexed="81"/>
            <rFont val="Geneva"/>
            <family val="2"/>
          </rPr>
          <t>1. Ra= f (IR-dpm inf)/plasma glu mg%/wt (kg)                    2. Insulin not given until time +60', so Ra calculated the same as baseline for this period (as above).          Unit= mg/kg/min</t>
        </r>
      </text>
    </comment>
    <comment ref="M6" authorId="0" shapeId="0" xr:uid="{00000000-0006-0000-0B00-000007000000}">
      <text>
        <r>
          <rPr>
            <sz val="9"/>
            <color indexed="81"/>
            <rFont val="Geneva"/>
            <family val="2"/>
          </rPr>
          <t>Unit=mg/Kg/min</t>
        </r>
      </text>
    </comment>
    <comment ref="N6" authorId="0" shapeId="0" xr:uid="{00000000-0006-0000-0B00-000008000000}">
      <text>
        <r>
          <rPr>
            <sz val="9"/>
            <color indexed="81"/>
            <rFont val="Geneva"/>
            <family val="2"/>
          </rPr>
          <t xml:space="preserve">alternative formula (from raw counts): 71.245/((645/1.21)/106.5))  Unit= mg/kg/min              </t>
        </r>
      </text>
    </comment>
    <comment ref="Q6" authorId="0" shapeId="0" xr:uid="{00000000-0006-0000-0B00-000009000000}">
      <text>
        <r>
          <rPr>
            <sz val="9"/>
            <color indexed="81"/>
            <rFont val="Geneva"/>
            <family val="2"/>
          </rPr>
          <t>Oxid glu (Gdis)= (4.57 ml/mg *VCO2 ml/min) - (3.23 ml/mg *VO2 ml/min)-(2.6 ml/mg * 7 mg/min)</t>
        </r>
      </text>
    </comment>
    <comment ref="R6" authorId="0" shapeId="0" xr:uid="{00000000-0006-0000-0B00-00000A000000}">
      <text>
        <r>
          <rPr>
            <sz val="9"/>
            <color indexed="81"/>
            <rFont val="Geneva"/>
            <family val="2"/>
          </rPr>
          <t>RA=oxid+non-oxid glucose metabolism;                           non-oxid=RA (or M)-oxid</t>
        </r>
      </text>
    </comment>
    <comment ref="M41" authorId="0" shapeId="0" xr:uid="{00000000-0006-0000-0B00-00000B000000}">
      <text>
        <r>
          <rPr>
            <sz val="9"/>
            <color indexed="81"/>
            <rFont val="Geneva"/>
            <family val="2"/>
          </rPr>
          <t>IR (counts per min)= theoretically 1uCi=2.223.000 counts; as IR was 0.25uCi /min ≈ 1/4 of above (≈550.000).</t>
        </r>
      </text>
    </comment>
    <comment ref="E45" authorId="0" shapeId="0" xr:uid="{00000000-0006-0000-0B00-00000C000000}">
      <text>
        <r>
          <rPr>
            <sz val="9"/>
            <color indexed="81"/>
            <rFont val="Geneva"/>
            <family val="2"/>
          </rPr>
          <t>623 dpm/139 ul plasma (x 7.15 for 1000ul or 1ml) / or 623 dpm/700 ul of s'n taken from the 2000/"400 plasma" ul Zn/Ba mix / or (623 x 2.86= ≈1800/2000 s'n)... so ≈1800 x 2.5= ≈4500</t>
        </r>
      </text>
    </comment>
    <comment ref="G45" authorId="0" shapeId="0" xr:uid="{00000000-0006-0000-0B00-00000D000000}">
      <text>
        <r>
          <rPr>
            <sz val="9"/>
            <color indexed="81"/>
            <rFont val="Geneva"/>
            <family val="2"/>
          </rPr>
          <t>(dpm(c)/700ul s'n) * 2000s'n /.4 plasma (40% of 1ml).......  and should be divided by the correction factor corresponding to % recovery which in this case we asume to be 1 (100%) as it is the same for plasma samples and infusates.</t>
        </r>
      </text>
    </comment>
    <comment ref="J45" authorId="0" shapeId="0" xr:uid="{00000000-0006-0000-0B00-00000E000000}">
      <text>
        <r>
          <rPr>
            <sz val="9"/>
            <color indexed="81"/>
            <rFont val="Geneva"/>
            <family val="2"/>
          </rPr>
          <t>1. Ra= f (IR-dpm inf)/plasma glu mg%/wt (kg)                    2. Insulin not given until time +60', so Ra calculated the same as baseline for this period (as above).          Unit= mg/kg/min</t>
        </r>
      </text>
    </comment>
    <comment ref="M45" authorId="0" shapeId="0" xr:uid="{00000000-0006-0000-0B00-00000F000000}">
      <text>
        <r>
          <rPr>
            <sz val="9"/>
            <color indexed="81"/>
            <rFont val="Geneva"/>
            <family val="2"/>
          </rPr>
          <t>Unit=mg/Kg/min</t>
        </r>
      </text>
    </comment>
    <comment ref="N45" authorId="0" shapeId="0" xr:uid="{00000000-0006-0000-0B00-000010000000}">
      <text>
        <r>
          <rPr>
            <sz val="9"/>
            <color indexed="81"/>
            <rFont val="Geneva"/>
            <family val="2"/>
          </rPr>
          <t xml:space="preserve">alternative formula (from raw counts): 71.245/((645/1.21)/106.5))  Unit= mg/kg/min              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</authors>
  <commentList>
    <comment ref="N1" authorId="0" shapeId="0" xr:uid="{00000000-0006-0000-0C00-000001000000}">
      <text>
        <r>
          <rPr>
            <sz val="9"/>
            <color indexed="81"/>
            <rFont val="Geneva"/>
            <family val="2"/>
          </rPr>
          <t xml:space="preserve">mean dpm of infusate that is measured DIRECTLY without Somogyi (usually 300,000 dpm)
</t>
        </r>
      </text>
    </comment>
    <comment ref="M2" authorId="0" shapeId="0" xr:uid="{00000000-0006-0000-0C00-000002000000}">
      <text>
        <r>
          <rPr>
            <sz val="9"/>
            <color indexed="81"/>
            <rFont val="Geneva"/>
            <family val="2"/>
          </rPr>
          <t>IR (counts per min)= theoretically 1uCi=2.223.000 counts; as IR was 0.25uCi /min ≈ 1/4 of above (≈550.000).</t>
        </r>
      </text>
    </comment>
    <comment ref="O3" authorId="0" shapeId="0" xr:uid="{00000000-0006-0000-0C00-000003000000}">
      <text>
        <r>
          <rPr>
            <sz val="9"/>
            <color indexed="81"/>
            <rFont val="Geneva"/>
            <family val="2"/>
          </rPr>
          <t xml:space="preserve">INFUSATE that undergoes SOMOGYI (~120,000 - usually 4 values)
mean dpm counted on 50 ul of infusate x 2.86 (to bring up 700ul to 2000ul=50 of original infusate) </t>
        </r>
      </text>
    </comment>
    <comment ref="E6" authorId="0" shapeId="0" xr:uid="{00000000-0006-0000-0C00-000004000000}">
      <text>
        <r>
          <rPr>
            <sz val="9"/>
            <color indexed="81"/>
            <rFont val="Geneva"/>
            <family val="2"/>
          </rPr>
          <t>623 dpm/139 ul plasma (x 7.15 for 1000ul or 1ml) / or 623 dpm/700 ul of s'n taken from the 2000/"400 plasma" ul Zn/Ba mix / or (623 x 2.86= ≈1800/2000 s'n)... so ≈1800 x 2.5= ≈4500</t>
        </r>
      </text>
    </comment>
    <comment ref="G6" authorId="0" shapeId="0" xr:uid="{00000000-0006-0000-0C00-000005000000}">
      <text>
        <r>
          <rPr>
            <sz val="9"/>
            <color indexed="81"/>
            <rFont val="Geneva"/>
            <family val="2"/>
          </rPr>
          <t>(dpm(c)/700ul s'n) * 2000s'n /.4 plasma (40% of 1ml).......  and should be divided by the correction factor corresponding to % recovery which in this case we asume to be 1 (100%) as it is the same for plasma samples and infusates.</t>
        </r>
      </text>
    </comment>
    <comment ref="J6" authorId="0" shapeId="0" xr:uid="{00000000-0006-0000-0C00-000006000000}">
      <text>
        <r>
          <rPr>
            <sz val="9"/>
            <color indexed="81"/>
            <rFont val="Geneva"/>
            <family val="2"/>
          </rPr>
          <t>1. Ra= f (IR-dpm inf)/plasma glu mg%/wt (kg)                    2. Insulin not given until time +60', so Ra calculated the same as baseline for this period (as above).          Unit= mg/kg/min</t>
        </r>
      </text>
    </comment>
    <comment ref="M6" authorId="0" shapeId="0" xr:uid="{00000000-0006-0000-0C00-000007000000}">
      <text>
        <r>
          <rPr>
            <sz val="9"/>
            <color indexed="81"/>
            <rFont val="Geneva"/>
            <family val="2"/>
          </rPr>
          <t>Unit=mg/Kg/min</t>
        </r>
      </text>
    </comment>
    <comment ref="N6" authorId="0" shapeId="0" xr:uid="{00000000-0006-0000-0C00-000008000000}">
      <text>
        <r>
          <rPr>
            <sz val="9"/>
            <color indexed="81"/>
            <rFont val="Geneva"/>
            <family val="2"/>
          </rPr>
          <t xml:space="preserve">alternative formula (from raw counts): 71.245/((645/1.21)/106.5))  Unit= mg/kg/min              </t>
        </r>
      </text>
    </comment>
    <comment ref="Q6" authorId="0" shapeId="0" xr:uid="{00000000-0006-0000-0C00-000009000000}">
      <text>
        <r>
          <rPr>
            <sz val="9"/>
            <color indexed="81"/>
            <rFont val="Geneva"/>
            <family val="2"/>
          </rPr>
          <t>Oxid glu (Gdis)= (4.57 ml/mg *VCO2 ml/min) - (3.23 ml/mg *VO2 ml/min)-(2.6 ml/mg * 7 mg/min)</t>
        </r>
      </text>
    </comment>
    <comment ref="R6" authorId="0" shapeId="0" xr:uid="{00000000-0006-0000-0C00-00000A000000}">
      <text>
        <r>
          <rPr>
            <sz val="9"/>
            <color indexed="81"/>
            <rFont val="Geneva"/>
            <family val="2"/>
          </rPr>
          <t>RA=oxid+non-oxid glucose metabolism;                           non-oxid=RA (or M)-oxid</t>
        </r>
      </text>
    </comment>
    <comment ref="M41" authorId="0" shapeId="0" xr:uid="{00000000-0006-0000-0C00-00000B000000}">
      <text>
        <r>
          <rPr>
            <sz val="9"/>
            <color indexed="81"/>
            <rFont val="Geneva"/>
            <family val="2"/>
          </rPr>
          <t>IR (counts per min)= theoretically 1uCi=2.223.000 counts; as IR was 0.25uCi /min ≈ 1/4 of above (≈550.000).</t>
        </r>
      </text>
    </comment>
    <comment ref="E45" authorId="0" shapeId="0" xr:uid="{00000000-0006-0000-0C00-00000C000000}">
      <text>
        <r>
          <rPr>
            <sz val="9"/>
            <color indexed="81"/>
            <rFont val="Geneva"/>
            <family val="2"/>
          </rPr>
          <t>623 dpm/139 ul plasma (x 7.15 for 1000ul or 1ml) / or 623 dpm/700 ul of s'n taken from the 2000/"400 plasma" ul Zn/Ba mix / or (623 x 2.86= ≈1800/2000 s'n)... so ≈1800 x 2.5= ≈4500</t>
        </r>
      </text>
    </comment>
    <comment ref="G45" authorId="0" shapeId="0" xr:uid="{00000000-0006-0000-0C00-00000D000000}">
      <text>
        <r>
          <rPr>
            <sz val="9"/>
            <color indexed="81"/>
            <rFont val="Geneva"/>
            <family val="2"/>
          </rPr>
          <t>(dpm(c)/700ul s'n) * 2000s'n /.4 plasma (40% of 1ml).......  and should be divided by the correction factor corresponding to % recovery which in this case we asume to be 1 (100%) as it is the same for plasma samples and infusates.</t>
        </r>
      </text>
    </comment>
    <comment ref="J45" authorId="0" shapeId="0" xr:uid="{00000000-0006-0000-0C00-00000E000000}">
      <text>
        <r>
          <rPr>
            <sz val="9"/>
            <color indexed="81"/>
            <rFont val="Geneva"/>
            <family val="2"/>
          </rPr>
          <t>1. Ra= f (IR-dpm inf)/plasma glu mg%/wt (kg)                    2. Insulin not given until time +60', so Ra calculated the same as baseline for this period (as above).          Unit= mg/kg/min</t>
        </r>
      </text>
    </comment>
    <comment ref="M45" authorId="0" shapeId="0" xr:uid="{00000000-0006-0000-0C00-00000F000000}">
      <text>
        <r>
          <rPr>
            <sz val="9"/>
            <color indexed="81"/>
            <rFont val="Geneva"/>
            <family val="2"/>
          </rPr>
          <t>Unit=mg/Kg/min</t>
        </r>
      </text>
    </comment>
    <comment ref="N45" authorId="0" shapeId="0" xr:uid="{00000000-0006-0000-0C00-000010000000}">
      <text>
        <r>
          <rPr>
            <sz val="9"/>
            <color indexed="81"/>
            <rFont val="Geneva"/>
            <family val="2"/>
          </rPr>
          <t xml:space="preserve">alternative formula (from raw counts): 71.245/((645/1.21)/106.5))  Unit= mg/kg/min              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</authors>
  <commentList>
    <comment ref="N1" authorId="0" shapeId="0" xr:uid="{00000000-0006-0000-0D00-000001000000}">
      <text>
        <r>
          <rPr>
            <sz val="9"/>
            <color indexed="81"/>
            <rFont val="Geneva"/>
            <family val="2"/>
          </rPr>
          <t xml:space="preserve">mean dpm of infusate that is measured DIRECTLY without Somogyi (usually 300,000 dpm)
</t>
        </r>
      </text>
    </comment>
    <comment ref="M2" authorId="0" shapeId="0" xr:uid="{00000000-0006-0000-0D00-000002000000}">
      <text>
        <r>
          <rPr>
            <sz val="9"/>
            <color indexed="81"/>
            <rFont val="Geneva"/>
            <family val="2"/>
          </rPr>
          <t>IR (counts per min)= theoretically 1uCi=2.223.000 counts; as IR was 0.25uCi /min ≈ 1/4 of above (≈550.000).</t>
        </r>
      </text>
    </comment>
    <comment ref="O3" authorId="0" shapeId="0" xr:uid="{00000000-0006-0000-0D00-000003000000}">
      <text>
        <r>
          <rPr>
            <sz val="9"/>
            <color indexed="81"/>
            <rFont val="Geneva"/>
            <family val="2"/>
          </rPr>
          <t xml:space="preserve">INFUSATE that undergoes SOMOGYI (~120,000 - usually 4 values)
mean dpm counted on 50 ul of infusate x 2.86 (to bring up 700ul to 2000ul=50 of original infusate) </t>
        </r>
      </text>
    </comment>
    <comment ref="E6" authorId="0" shapeId="0" xr:uid="{00000000-0006-0000-0D00-000004000000}">
      <text>
        <r>
          <rPr>
            <sz val="9"/>
            <color indexed="81"/>
            <rFont val="Geneva"/>
            <family val="2"/>
          </rPr>
          <t>623 dpm/139 ul plasma (x 7.15 for 1000ul or 1ml) / or 623 dpm/700 ul of s'n taken from the 2000/"400 plasma" ul Zn/Ba mix / or (623 x 2.86= ≈1800/2000 s'n)... so ≈1800 x 2.5= ≈4500</t>
        </r>
      </text>
    </comment>
    <comment ref="G6" authorId="0" shapeId="0" xr:uid="{00000000-0006-0000-0D00-000005000000}">
      <text>
        <r>
          <rPr>
            <sz val="9"/>
            <color indexed="81"/>
            <rFont val="Geneva"/>
            <family val="2"/>
          </rPr>
          <t>(dpm(c)/700ul s'n) * 2000s'n /.4 plasma (40% of 1ml).......  and should be divided by the correction factor corresponding to % recovery which in this case we asume to be 1 (100%) as it is the same for plasma samples and infusates.</t>
        </r>
      </text>
    </comment>
    <comment ref="J6" authorId="0" shapeId="0" xr:uid="{00000000-0006-0000-0D00-000006000000}">
      <text>
        <r>
          <rPr>
            <sz val="9"/>
            <color indexed="81"/>
            <rFont val="Geneva"/>
            <family val="2"/>
          </rPr>
          <t>1. Ra= f (IR-dpm inf)/plasma glu mg%/wt (kg)                    2. Insulin not given until time +60', so Ra calculated the same as baseline for this period (as above).          Unit= mg/kg/min</t>
        </r>
      </text>
    </comment>
    <comment ref="M6" authorId="0" shapeId="0" xr:uid="{00000000-0006-0000-0D00-000007000000}">
      <text>
        <r>
          <rPr>
            <sz val="9"/>
            <color indexed="81"/>
            <rFont val="Geneva"/>
            <family val="2"/>
          </rPr>
          <t>Unit=mg/Kg/min</t>
        </r>
      </text>
    </comment>
    <comment ref="N6" authorId="0" shapeId="0" xr:uid="{00000000-0006-0000-0D00-000008000000}">
      <text>
        <r>
          <rPr>
            <sz val="9"/>
            <color indexed="81"/>
            <rFont val="Geneva"/>
            <family val="2"/>
          </rPr>
          <t xml:space="preserve">alternative formula (from raw counts): 71.245/((645/1.21)/106.5))  Unit= mg/kg/min              </t>
        </r>
      </text>
    </comment>
    <comment ref="Q6" authorId="0" shapeId="0" xr:uid="{00000000-0006-0000-0D00-000009000000}">
      <text>
        <r>
          <rPr>
            <sz val="9"/>
            <color indexed="81"/>
            <rFont val="Geneva"/>
            <family val="2"/>
          </rPr>
          <t>Oxid glu (Gdis)= (4.57 ml/mg *VCO2 ml/min) - (3.23 ml/mg *VO2 ml/min)-(2.6 ml/mg * 7 mg/min)</t>
        </r>
      </text>
    </comment>
    <comment ref="R6" authorId="0" shapeId="0" xr:uid="{00000000-0006-0000-0D00-00000A000000}">
      <text>
        <r>
          <rPr>
            <sz val="9"/>
            <color indexed="81"/>
            <rFont val="Geneva"/>
            <family val="2"/>
          </rPr>
          <t>RA=oxid+non-oxid glucose metabolism;                           non-oxid=RA (or M)-oxid</t>
        </r>
      </text>
    </comment>
    <comment ref="M41" authorId="0" shapeId="0" xr:uid="{00000000-0006-0000-0D00-00000B000000}">
      <text>
        <r>
          <rPr>
            <sz val="9"/>
            <color indexed="81"/>
            <rFont val="Geneva"/>
            <family val="2"/>
          </rPr>
          <t>IR (counts per min)= theoretically 1uCi=2.223.000 counts; as IR was 0.25uCi /min ≈ 1/4 of above (≈550.000).</t>
        </r>
      </text>
    </comment>
    <comment ref="E45" authorId="0" shapeId="0" xr:uid="{00000000-0006-0000-0D00-00000C000000}">
      <text>
        <r>
          <rPr>
            <sz val="9"/>
            <color indexed="81"/>
            <rFont val="Geneva"/>
            <family val="2"/>
          </rPr>
          <t>623 dpm/139 ul plasma (x 7.15 for 1000ul or 1ml) / or 623 dpm/700 ul of s'n taken from the 2000/"400 plasma" ul Zn/Ba mix / or (623 x 2.86= ≈1800/2000 s'n)... so ≈1800 x 2.5= ≈4500</t>
        </r>
      </text>
    </comment>
    <comment ref="G45" authorId="0" shapeId="0" xr:uid="{00000000-0006-0000-0D00-00000D000000}">
      <text>
        <r>
          <rPr>
            <sz val="9"/>
            <color indexed="81"/>
            <rFont val="Geneva"/>
            <family val="2"/>
          </rPr>
          <t>(dpm(c)/700ul s'n) * 2000s'n /.4 plasma (40% of 1ml).......  and should be divided by the correction factor corresponding to % recovery which in this case we asume to be 1 (100%) as it is the same for plasma samples and infusates.</t>
        </r>
      </text>
    </comment>
    <comment ref="J45" authorId="0" shapeId="0" xr:uid="{00000000-0006-0000-0D00-00000E000000}">
      <text>
        <r>
          <rPr>
            <sz val="9"/>
            <color indexed="81"/>
            <rFont val="Geneva"/>
            <family val="2"/>
          </rPr>
          <t>1. Ra= f (IR-dpm inf)/plasma glu mg%/wt (kg)                    2. Insulin not given until time +60', so Ra calculated the same as baseline for this period (as above).          Unit= mg/kg/min</t>
        </r>
      </text>
    </comment>
    <comment ref="M45" authorId="0" shapeId="0" xr:uid="{00000000-0006-0000-0D00-00000F000000}">
      <text>
        <r>
          <rPr>
            <sz val="9"/>
            <color indexed="81"/>
            <rFont val="Geneva"/>
            <family val="2"/>
          </rPr>
          <t>Unit=mg/Kg/min</t>
        </r>
      </text>
    </comment>
    <comment ref="N45" authorId="0" shapeId="0" xr:uid="{00000000-0006-0000-0D00-000010000000}">
      <text>
        <r>
          <rPr>
            <sz val="9"/>
            <color indexed="81"/>
            <rFont val="Geneva"/>
            <family val="2"/>
          </rPr>
          <t xml:space="preserve">alternative formula (from raw counts): 71.245/((645/1.21)/106.5))  Unit= mg/kg/min             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</authors>
  <commentList>
    <comment ref="N1" authorId="0" shapeId="0" xr:uid="{00000000-0006-0000-0E00-000001000000}">
      <text>
        <r>
          <rPr>
            <sz val="9"/>
            <color indexed="81"/>
            <rFont val="Geneva"/>
            <family val="2"/>
          </rPr>
          <t xml:space="preserve">mean dpm of infusate that is measured DIRECTLY without Somogyi (usually 300,000 dpm)
</t>
        </r>
      </text>
    </comment>
    <comment ref="M2" authorId="0" shapeId="0" xr:uid="{00000000-0006-0000-0E00-000002000000}">
      <text>
        <r>
          <rPr>
            <sz val="9"/>
            <color indexed="81"/>
            <rFont val="Geneva"/>
            <family val="2"/>
          </rPr>
          <t>IR (counts per min)= theoretically 1uCi=2.223.000 counts; as IR was 0.25uCi /min ≈ 1/4 of above (≈550.000).</t>
        </r>
      </text>
    </comment>
    <comment ref="O3" authorId="0" shapeId="0" xr:uid="{00000000-0006-0000-0E00-000003000000}">
      <text>
        <r>
          <rPr>
            <sz val="9"/>
            <color indexed="81"/>
            <rFont val="Geneva"/>
            <family val="2"/>
          </rPr>
          <t xml:space="preserve">INFUSATE that undergoes SOMOGYI (~120,000 - usually 4 values)
mean dpm counted on 50 ul of infusate x 2.86 (to bring up 700ul to 2000ul=50 of original infusate) </t>
        </r>
      </text>
    </comment>
    <comment ref="E6" authorId="0" shapeId="0" xr:uid="{00000000-0006-0000-0E00-000004000000}">
      <text>
        <r>
          <rPr>
            <sz val="9"/>
            <color indexed="81"/>
            <rFont val="Geneva"/>
            <family val="2"/>
          </rPr>
          <t>623 dpm/139 ul plasma (x 7.15 for 1000ul or 1ml) / or 623 dpm/700 ul of s'n taken from the 2000/"400 plasma" ul Zn/Ba mix / or (623 x 2.86= ≈1800/2000 s'n)... so ≈1800 x 2.5= ≈4500</t>
        </r>
      </text>
    </comment>
    <comment ref="G6" authorId="0" shapeId="0" xr:uid="{00000000-0006-0000-0E00-000005000000}">
      <text>
        <r>
          <rPr>
            <sz val="9"/>
            <color indexed="81"/>
            <rFont val="Geneva"/>
            <family val="2"/>
          </rPr>
          <t>(dpm(c)/700ul s'n) * 2000s'n /.4 plasma (40% of 1ml).......  and should be divided by the correction factor corresponding to % recovery which in this case we asume to be 1 (100%) as it is the same for plasma samples and infusates.</t>
        </r>
      </text>
    </comment>
    <comment ref="J6" authorId="0" shapeId="0" xr:uid="{00000000-0006-0000-0E00-000006000000}">
      <text>
        <r>
          <rPr>
            <sz val="9"/>
            <color indexed="81"/>
            <rFont val="Geneva"/>
            <family val="2"/>
          </rPr>
          <t>1. Ra= f (IR-dpm inf)/plasma glu mg%/wt (kg)                    2. Insulin not given until time +60', so Ra calculated the same as baseline for this period (as above).          Unit= mg/kg/min</t>
        </r>
      </text>
    </comment>
    <comment ref="M6" authorId="0" shapeId="0" xr:uid="{00000000-0006-0000-0E00-000007000000}">
      <text>
        <r>
          <rPr>
            <sz val="9"/>
            <color indexed="81"/>
            <rFont val="Geneva"/>
            <family val="2"/>
          </rPr>
          <t>Unit=mg/Kg/min</t>
        </r>
      </text>
    </comment>
    <comment ref="N6" authorId="0" shapeId="0" xr:uid="{00000000-0006-0000-0E00-000008000000}">
      <text>
        <r>
          <rPr>
            <sz val="9"/>
            <color indexed="81"/>
            <rFont val="Geneva"/>
            <family val="2"/>
          </rPr>
          <t xml:space="preserve">alternative formula (from raw counts): 71.245/((645/1.21)/106.5))  Unit= mg/kg/min              </t>
        </r>
      </text>
    </comment>
    <comment ref="Q6" authorId="0" shapeId="0" xr:uid="{00000000-0006-0000-0E00-000009000000}">
      <text>
        <r>
          <rPr>
            <sz val="9"/>
            <color indexed="81"/>
            <rFont val="Geneva"/>
            <family val="2"/>
          </rPr>
          <t>Oxid glu (Gdis)= (4.57 ml/mg *VCO2 ml/min) - (3.23 ml/mg *VO2 ml/min)-(2.6 ml/mg * 7 mg/min)</t>
        </r>
      </text>
    </comment>
    <comment ref="R6" authorId="0" shapeId="0" xr:uid="{00000000-0006-0000-0E00-00000A000000}">
      <text>
        <r>
          <rPr>
            <sz val="9"/>
            <color indexed="81"/>
            <rFont val="Geneva"/>
            <family val="2"/>
          </rPr>
          <t>RA=oxid+non-oxid glucose metabolism;                           non-oxid=RA (or M)-oxid</t>
        </r>
      </text>
    </comment>
    <comment ref="M41" authorId="0" shapeId="0" xr:uid="{00000000-0006-0000-0E00-00000B000000}">
      <text>
        <r>
          <rPr>
            <sz val="9"/>
            <color indexed="81"/>
            <rFont val="Geneva"/>
            <family val="2"/>
          </rPr>
          <t>IR (counts per min)= theoretically 1uCi=2.223.000 counts; as IR was 0.25uCi /min ≈ 1/4 of above (≈550.000).</t>
        </r>
      </text>
    </comment>
    <comment ref="E45" authorId="0" shapeId="0" xr:uid="{00000000-0006-0000-0E00-00000C000000}">
      <text>
        <r>
          <rPr>
            <sz val="9"/>
            <color indexed="81"/>
            <rFont val="Geneva"/>
            <family val="2"/>
          </rPr>
          <t>623 dpm/139 ul plasma (x 7.15 for 1000ul or 1ml) / or 623 dpm/700 ul of s'n taken from the 2000/"400 plasma" ul Zn/Ba mix / or (623 x 2.86= ≈1800/2000 s'n)... so ≈1800 x 2.5= ≈4500</t>
        </r>
      </text>
    </comment>
    <comment ref="G45" authorId="0" shapeId="0" xr:uid="{00000000-0006-0000-0E00-00000D000000}">
      <text>
        <r>
          <rPr>
            <sz val="9"/>
            <color indexed="81"/>
            <rFont val="Geneva"/>
            <family val="2"/>
          </rPr>
          <t>(dpm(c)/700ul s'n) * 2000s'n /.4 plasma (40% of 1ml).......  and should be divided by the correction factor corresponding to % recovery which in this case we asume to be 1 (100%) as it is the same for plasma samples and infusates.</t>
        </r>
      </text>
    </comment>
    <comment ref="J45" authorId="0" shapeId="0" xr:uid="{00000000-0006-0000-0E00-00000E000000}">
      <text>
        <r>
          <rPr>
            <sz val="9"/>
            <color indexed="81"/>
            <rFont val="Geneva"/>
            <family val="2"/>
          </rPr>
          <t>1. Ra= f (IR-dpm inf)/plasma glu mg%/wt (kg)                    2. Insulin not given until time +60', so Ra calculated the same as baseline for this period (as above).          Unit= mg/kg/min</t>
        </r>
      </text>
    </comment>
    <comment ref="M45" authorId="0" shapeId="0" xr:uid="{00000000-0006-0000-0E00-00000F000000}">
      <text>
        <r>
          <rPr>
            <sz val="9"/>
            <color indexed="81"/>
            <rFont val="Geneva"/>
            <family val="2"/>
          </rPr>
          <t>Unit=mg/Kg/min</t>
        </r>
      </text>
    </comment>
    <comment ref="N45" authorId="0" shapeId="0" xr:uid="{00000000-0006-0000-0E00-000010000000}">
      <text>
        <r>
          <rPr>
            <sz val="9"/>
            <color indexed="81"/>
            <rFont val="Geneva"/>
            <family val="2"/>
          </rPr>
          <t xml:space="preserve">alternative formula (from raw counts): 71.245/((645/1.21)/106.5))  Unit= mg/kg/min             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</authors>
  <commentList>
    <comment ref="N1" authorId="0" shapeId="0" xr:uid="{00000000-0006-0000-0F00-000001000000}">
      <text>
        <r>
          <rPr>
            <sz val="9"/>
            <color indexed="81"/>
            <rFont val="Geneva"/>
            <family val="2"/>
          </rPr>
          <t xml:space="preserve">mean dpm of infusate that is measured DIRECTLY without Somogyi (usually 300,000 dpm)
</t>
        </r>
      </text>
    </comment>
    <comment ref="M2" authorId="0" shapeId="0" xr:uid="{00000000-0006-0000-0F00-000002000000}">
      <text>
        <r>
          <rPr>
            <sz val="9"/>
            <color indexed="81"/>
            <rFont val="Geneva"/>
            <family val="2"/>
          </rPr>
          <t>IR (counts per min)= theoretically 1uCi=2.223.000 counts; as IR was 0.25uCi /min ≈ 1/4 of above (≈550.000).</t>
        </r>
      </text>
    </comment>
    <comment ref="O3" authorId="0" shapeId="0" xr:uid="{00000000-0006-0000-0F00-000003000000}">
      <text>
        <r>
          <rPr>
            <sz val="9"/>
            <color indexed="81"/>
            <rFont val="Geneva"/>
            <family val="2"/>
          </rPr>
          <t xml:space="preserve">INFUSATE that undergoes SOMOGYI (~120,000 - usually 4 values)
mean dpm counted on 50 ul of infusate x 2.86 (to bring up 700ul to 2000ul=50 of original infusate) </t>
        </r>
      </text>
    </comment>
    <comment ref="E6" authorId="0" shapeId="0" xr:uid="{00000000-0006-0000-0F00-000004000000}">
      <text>
        <r>
          <rPr>
            <sz val="9"/>
            <color indexed="81"/>
            <rFont val="Geneva"/>
            <family val="2"/>
          </rPr>
          <t>623 dpm/139 ul plasma (x 7.15 for 1000ul or 1ml) / or 623 dpm/700 ul of s'n taken from the 2000/"400 plasma" ul Zn/Ba mix / or (623 x 2.86= ≈1800/2000 s'n)... so ≈1800 x 2.5= ≈4500</t>
        </r>
      </text>
    </comment>
    <comment ref="G6" authorId="0" shapeId="0" xr:uid="{00000000-0006-0000-0F00-000005000000}">
      <text>
        <r>
          <rPr>
            <sz val="9"/>
            <color indexed="81"/>
            <rFont val="Geneva"/>
            <family val="2"/>
          </rPr>
          <t>(dpm(c)/700ul s'n) * 2000s'n /.4 plasma (40% of 1ml).......  and should be divided by the correction factor corresponding to % recovery which in this case we asume to be 1 (100%) as it is the same for plasma samples and infusates.</t>
        </r>
      </text>
    </comment>
    <comment ref="J6" authorId="0" shapeId="0" xr:uid="{00000000-0006-0000-0F00-000006000000}">
      <text>
        <r>
          <rPr>
            <sz val="9"/>
            <color indexed="81"/>
            <rFont val="Geneva"/>
            <family val="2"/>
          </rPr>
          <t>1. Ra= f (IR-dpm inf)/plasma glu mg%/wt (kg)                    2. Insulin not given until time +60', so Ra calculated the same as baseline for this period (as above).          Unit= mg/kg/min</t>
        </r>
      </text>
    </comment>
    <comment ref="M6" authorId="0" shapeId="0" xr:uid="{00000000-0006-0000-0F00-000007000000}">
      <text>
        <r>
          <rPr>
            <sz val="9"/>
            <color indexed="81"/>
            <rFont val="Geneva"/>
            <family val="2"/>
          </rPr>
          <t>Unit=mg/Kg/min</t>
        </r>
      </text>
    </comment>
    <comment ref="N6" authorId="0" shapeId="0" xr:uid="{00000000-0006-0000-0F00-000008000000}">
      <text>
        <r>
          <rPr>
            <sz val="9"/>
            <color indexed="81"/>
            <rFont val="Geneva"/>
            <family val="2"/>
          </rPr>
          <t xml:space="preserve">alternative formula (from raw counts): 71.245/((645/1.21)/106.5))  Unit= mg/kg/min              </t>
        </r>
      </text>
    </comment>
    <comment ref="Q6" authorId="0" shapeId="0" xr:uid="{00000000-0006-0000-0F00-000009000000}">
      <text>
        <r>
          <rPr>
            <sz val="9"/>
            <color indexed="81"/>
            <rFont val="Geneva"/>
            <family val="2"/>
          </rPr>
          <t>Oxid glu (Gdis)= (4.57 ml/mg *VCO2 ml/min) - (3.23 ml/mg *VO2 ml/min)-(2.6 ml/mg * 7 mg/min)</t>
        </r>
      </text>
    </comment>
    <comment ref="R6" authorId="0" shapeId="0" xr:uid="{00000000-0006-0000-0F00-00000A000000}">
      <text>
        <r>
          <rPr>
            <sz val="9"/>
            <color indexed="81"/>
            <rFont val="Geneva"/>
            <family val="2"/>
          </rPr>
          <t>RA=oxid+non-oxid glucose metabolism;                           non-oxid=RA (or M)-oxid</t>
        </r>
      </text>
    </comment>
    <comment ref="M41" authorId="0" shapeId="0" xr:uid="{00000000-0006-0000-0F00-00000B000000}">
      <text>
        <r>
          <rPr>
            <sz val="9"/>
            <color indexed="81"/>
            <rFont val="Geneva"/>
            <family val="2"/>
          </rPr>
          <t>IR (counts per min)= theoretically 1uCi=2.223.000 counts; as IR was 0.25uCi /min ≈ 1/4 of above (≈550.000).</t>
        </r>
      </text>
    </comment>
    <comment ref="E45" authorId="0" shapeId="0" xr:uid="{00000000-0006-0000-0F00-00000C000000}">
      <text>
        <r>
          <rPr>
            <sz val="9"/>
            <color indexed="81"/>
            <rFont val="Geneva"/>
            <family val="2"/>
          </rPr>
          <t>623 dpm/139 ul plasma (x 7.15 for 1000ul or 1ml) / or 623 dpm/700 ul of s'n taken from the 2000/"400 plasma" ul Zn/Ba mix / or (623 x 2.86= ≈1800/2000 s'n)... so ≈1800 x 2.5= ≈4500</t>
        </r>
      </text>
    </comment>
    <comment ref="G45" authorId="0" shapeId="0" xr:uid="{00000000-0006-0000-0F00-00000D000000}">
      <text>
        <r>
          <rPr>
            <sz val="9"/>
            <color indexed="81"/>
            <rFont val="Geneva"/>
            <family val="2"/>
          </rPr>
          <t>(dpm(c)/700ul s'n) * 2000s'n /.4 plasma (40% of 1ml).......  and should be divided by the correction factor corresponding to % recovery which in this case we asume to be 1 (100%) as it is the same for plasma samples and infusates.</t>
        </r>
      </text>
    </comment>
    <comment ref="J45" authorId="0" shapeId="0" xr:uid="{00000000-0006-0000-0F00-00000E000000}">
      <text>
        <r>
          <rPr>
            <sz val="9"/>
            <color indexed="81"/>
            <rFont val="Geneva"/>
            <family val="2"/>
          </rPr>
          <t>1. Ra= f (IR-dpm inf)/plasma glu mg%/wt (kg)                    2. Insulin not given until time +60', so Ra calculated the same as baseline for this period (as above).          Unit= mg/kg/min</t>
        </r>
      </text>
    </comment>
    <comment ref="M45" authorId="0" shapeId="0" xr:uid="{00000000-0006-0000-0F00-00000F000000}">
      <text>
        <r>
          <rPr>
            <sz val="9"/>
            <color indexed="81"/>
            <rFont val="Geneva"/>
            <family val="2"/>
          </rPr>
          <t>Unit=mg/Kg/min</t>
        </r>
      </text>
    </comment>
    <comment ref="N45" authorId="0" shapeId="0" xr:uid="{00000000-0006-0000-0F00-000010000000}">
      <text>
        <r>
          <rPr>
            <sz val="9"/>
            <color indexed="81"/>
            <rFont val="Geneva"/>
            <family val="2"/>
          </rPr>
          <t xml:space="preserve">alternative formula (from raw counts): 71.245/((645/1.21)/106.5))  Unit= mg/kg/min              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</authors>
  <commentList>
    <comment ref="N1" authorId="0" shapeId="0" xr:uid="{00000000-0006-0000-1000-000001000000}">
      <text>
        <r>
          <rPr>
            <sz val="9"/>
            <color indexed="81"/>
            <rFont val="Geneva"/>
            <family val="2"/>
          </rPr>
          <t xml:space="preserve">mean dpm of infusate that is measured DIRECTLY without Somogyi (usually 300,000 dpm)
</t>
        </r>
      </text>
    </comment>
    <comment ref="M2" authorId="0" shapeId="0" xr:uid="{00000000-0006-0000-1000-000002000000}">
      <text>
        <r>
          <rPr>
            <sz val="9"/>
            <color indexed="81"/>
            <rFont val="Geneva"/>
            <family val="2"/>
          </rPr>
          <t>IR (counts per min)= theoretically 1uCi=2.223.000 counts; as IR was 0.25uCi /min ≈ 1/4 of above (≈550.000).</t>
        </r>
      </text>
    </comment>
    <comment ref="O3" authorId="0" shapeId="0" xr:uid="{00000000-0006-0000-1000-000003000000}">
      <text>
        <r>
          <rPr>
            <sz val="9"/>
            <color indexed="81"/>
            <rFont val="Geneva"/>
            <family val="2"/>
          </rPr>
          <t xml:space="preserve">INFUSATE that undergoes SOMOGYI (~120,000 - usually 4 values)
mean dpm counted on 50 ul of infusate x 2.86 (to bring up 700ul to 2000ul=50 of original infusate) </t>
        </r>
      </text>
    </comment>
    <comment ref="E6" authorId="0" shapeId="0" xr:uid="{00000000-0006-0000-1000-000004000000}">
      <text>
        <r>
          <rPr>
            <sz val="9"/>
            <color indexed="81"/>
            <rFont val="Geneva"/>
            <family val="2"/>
          </rPr>
          <t>623 dpm/139 ul plasma (x 7.15 for 1000ul or 1ml) / or 623 dpm/700 ul of s'n taken from the 2000/"400 plasma" ul Zn/Ba mix / or (623 x 2.86= ≈1800/2000 s'n)... so ≈1800 x 2.5= ≈4500</t>
        </r>
      </text>
    </comment>
    <comment ref="G6" authorId="0" shapeId="0" xr:uid="{00000000-0006-0000-1000-000005000000}">
      <text>
        <r>
          <rPr>
            <sz val="9"/>
            <color indexed="81"/>
            <rFont val="Geneva"/>
            <family val="2"/>
          </rPr>
          <t>(dpm(c)/700ul s'n) * 2000s'n /.4 plasma (40% of 1ml).......  and should be divided by the correction factor corresponding to % recovery which in this case we asume to be 1 (100%) as it is the same for plasma samples and infusates.</t>
        </r>
      </text>
    </comment>
    <comment ref="J6" authorId="0" shapeId="0" xr:uid="{00000000-0006-0000-1000-000006000000}">
      <text>
        <r>
          <rPr>
            <sz val="9"/>
            <color indexed="81"/>
            <rFont val="Geneva"/>
            <family val="2"/>
          </rPr>
          <t>1. Ra= f (IR-dpm inf)/plasma glu mg%/wt (kg)                    2. Insulin not given until time +60', so Ra calculated the same as baseline for this period (as above).          Unit= mg/kg/min</t>
        </r>
      </text>
    </comment>
    <comment ref="M6" authorId="0" shapeId="0" xr:uid="{00000000-0006-0000-1000-000007000000}">
      <text>
        <r>
          <rPr>
            <sz val="9"/>
            <color indexed="81"/>
            <rFont val="Geneva"/>
            <family val="2"/>
          </rPr>
          <t>Unit=mg/Kg/min</t>
        </r>
      </text>
    </comment>
    <comment ref="N6" authorId="0" shapeId="0" xr:uid="{00000000-0006-0000-1000-000008000000}">
      <text>
        <r>
          <rPr>
            <sz val="9"/>
            <color indexed="81"/>
            <rFont val="Geneva"/>
            <family val="2"/>
          </rPr>
          <t xml:space="preserve">alternative formula (from raw counts): 71.245/((645/1.21)/106.5))  Unit= mg/kg/min              </t>
        </r>
      </text>
    </comment>
    <comment ref="Q6" authorId="0" shapeId="0" xr:uid="{00000000-0006-0000-1000-000009000000}">
      <text>
        <r>
          <rPr>
            <sz val="9"/>
            <color indexed="81"/>
            <rFont val="Geneva"/>
            <family val="2"/>
          </rPr>
          <t>Oxid glu (Gdis)= (4.57 ml/mg *VCO2 ml/min) - (3.23 ml/mg *VO2 ml/min)-(2.6 ml/mg * 7 mg/min)</t>
        </r>
      </text>
    </comment>
    <comment ref="R6" authorId="0" shapeId="0" xr:uid="{00000000-0006-0000-1000-00000A000000}">
      <text>
        <r>
          <rPr>
            <sz val="9"/>
            <color indexed="81"/>
            <rFont val="Geneva"/>
            <family val="2"/>
          </rPr>
          <t>RA=oxid+non-oxid glucose metabolism;                           non-oxid=RA (or M)-oxid</t>
        </r>
      </text>
    </comment>
    <comment ref="M41" authorId="0" shapeId="0" xr:uid="{00000000-0006-0000-1000-00000B000000}">
      <text>
        <r>
          <rPr>
            <sz val="9"/>
            <color indexed="81"/>
            <rFont val="Geneva"/>
            <family val="2"/>
          </rPr>
          <t>IR (counts per min)= theoretically 1uCi=2.223.000 counts; as IR was 0.25uCi /min ≈ 1/4 of above (≈550.000).</t>
        </r>
      </text>
    </comment>
    <comment ref="E45" authorId="0" shapeId="0" xr:uid="{00000000-0006-0000-1000-00000C000000}">
      <text>
        <r>
          <rPr>
            <sz val="9"/>
            <color indexed="81"/>
            <rFont val="Geneva"/>
            <family val="2"/>
          </rPr>
          <t>623 dpm/139 ul plasma (x 7.15 for 1000ul or 1ml) / or 623 dpm/700 ul of s'n taken from the 2000/"400 plasma" ul Zn/Ba mix / or (623 x 2.86= ≈1800/2000 s'n)... so ≈1800 x 2.5= ≈4500</t>
        </r>
      </text>
    </comment>
    <comment ref="G45" authorId="0" shapeId="0" xr:uid="{00000000-0006-0000-1000-00000D000000}">
      <text>
        <r>
          <rPr>
            <sz val="9"/>
            <color indexed="81"/>
            <rFont val="Geneva"/>
            <family val="2"/>
          </rPr>
          <t>(dpm(c)/700ul s'n) * 2000s'n /.4 plasma (40% of 1ml).......  and should be divided by the correction factor corresponding to % recovery which in this case we asume to be 1 (100%) as it is the same for plasma samples and infusates.</t>
        </r>
      </text>
    </comment>
    <comment ref="J45" authorId="0" shapeId="0" xr:uid="{00000000-0006-0000-1000-00000E000000}">
      <text>
        <r>
          <rPr>
            <sz val="9"/>
            <color indexed="81"/>
            <rFont val="Geneva"/>
            <family val="2"/>
          </rPr>
          <t>1. Ra= f (IR-dpm inf)/plasma glu mg%/wt (kg)                    2. Insulin not given until time +60', so Ra calculated the same as baseline for this period (as above).          Unit= mg/kg/min</t>
        </r>
      </text>
    </comment>
    <comment ref="M45" authorId="0" shapeId="0" xr:uid="{00000000-0006-0000-1000-00000F000000}">
      <text>
        <r>
          <rPr>
            <sz val="9"/>
            <color indexed="81"/>
            <rFont val="Geneva"/>
            <family val="2"/>
          </rPr>
          <t>Unit=mg/Kg/min</t>
        </r>
      </text>
    </comment>
    <comment ref="N45" authorId="0" shapeId="0" xr:uid="{00000000-0006-0000-1000-000010000000}">
      <text>
        <r>
          <rPr>
            <sz val="9"/>
            <color indexed="81"/>
            <rFont val="Geneva"/>
            <family val="2"/>
          </rPr>
          <t xml:space="preserve">alternative formula (from raw counts): 71.245/((645/1.21)/106.5))  Unit= mg/kg/min              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</authors>
  <commentList>
    <comment ref="N1" authorId="0" shapeId="0" xr:uid="{00000000-0006-0000-1100-000001000000}">
      <text>
        <r>
          <rPr>
            <sz val="9"/>
            <color indexed="81"/>
            <rFont val="Geneva"/>
            <family val="2"/>
          </rPr>
          <t xml:space="preserve">mean dpm of infusate that is measured DIRECTLY without Somogyi (usually 300,000 dpm)
</t>
        </r>
      </text>
    </comment>
    <comment ref="M2" authorId="0" shapeId="0" xr:uid="{00000000-0006-0000-1100-000002000000}">
      <text>
        <r>
          <rPr>
            <sz val="9"/>
            <color indexed="81"/>
            <rFont val="Geneva"/>
            <family val="2"/>
          </rPr>
          <t>IR (counts per min)= theoretically 1uCi=2.223.000 counts; as IR was 0.25uCi /min ≈ 1/4 of above (≈550.000).</t>
        </r>
      </text>
    </comment>
    <comment ref="O3" authorId="0" shapeId="0" xr:uid="{00000000-0006-0000-1100-000003000000}">
      <text>
        <r>
          <rPr>
            <sz val="9"/>
            <color indexed="81"/>
            <rFont val="Geneva"/>
            <family val="2"/>
          </rPr>
          <t xml:space="preserve">INFUSATE that undergoes SOMOGYI (~120,000 - usually 4 values)
mean dpm counted on 50 ul of infusate x 2.86 (to bring up 700ul to 2000ul=50 of original infusate) </t>
        </r>
      </text>
    </comment>
    <comment ref="E6" authorId="0" shapeId="0" xr:uid="{00000000-0006-0000-1100-000004000000}">
      <text>
        <r>
          <rPr>
            <sz val="9"/>
            <color indexed="81"/>
            <rFont val="Geneva"/>
            <family val="2"/>
          </rPr>
          <t>623 dpm/139 ul plasma (x 7.15 for 1000ul or 1ml) / or 623 dpm/700 ul of s'n taken from the 2000/"400 plasma" ul Zn/Ba mix / or (623 x 2.86= ≈1800/2000 s'n)... so ≈1800 x 2.5= ≈4500</t>
        </r>
      </text>
    </comment>
    <comment ref="G6" authorId="0" shapeId="0" xr:uid="{00000000-0006-0000-1100-000005000000}">
      <text>
        <r>
          <rPr>
            <sz val="9"/>
            <color indexed="81"/>
            <rFont val="Geneva"/>
            <family val="2"/>
          </rPr>
          <t>(dpm(c)/700ul s'n) * 2000s'n /.4 plasma (40% of 1ml).......  and should be divided by the correction factor corresponding to % recovery which in this case we asume to be 1 (100%) as it is the same for plasma samples and infusates.</t>
        </r>
      </text>
    </comment>
    <comment ref="J6" authorId="0" shapeId="0" xr:uid="{00000000-0006-0000-1100-000006000000}">
      <text>
        <r>
          <rPr>
            <sz val="9"/>
            <color indexed="81"/>
            <rFont val="Geneva"/>
            <family val="2"/>
          </rPr>
          <t>1. Ra= f (IR-dpm inf)/plasma glu mg%/wt (kg)                    2. Insulin not given until time +60', so Ra calculated the same as baseline for this period (as above).          Unit= mg/kg/min</t>
        </r>
      </text>
    </comment>
    <comment ref="M6" authorId="0" shapeId="0" xr:uid="{00000000-0006-0000-1100-000007000000}">
      <text>
        <r>
          <rPr>
            <sz val="9"/>
            <color indexed="81"/>
            <rFont val="Geneva"/>
            <family val="2"/>
          </rPr>
          <t>Unit=mg/Kg/min</t>
        </r>
      </text>
    </comment>
    <comment ref="N6" authorId="0" shapeId="0" xr:uid="{00000000-0006-0000-1100-000008000000}">
      <text>
        <r>
          <rPr>
            <sz val="9"/>
            <color indexed="81"/>
            <rFont val="Geneva"/>
            <family val="2"/>
          </rPr>
          <t xml:space="preserve">alternative formula (from raw counts): 71.245/((645/1.21)/106.5))  Unit= mg/kg/min              </t>
        </r>
      </text>
    </comment>
    <comment ref="Q6" authorId="0" shapeId="0" xr:uid="{00000000-0006-0000-1100-000009000000}">
      <text>
        <r>
          <rPr>
            <sz val="9"/>
            <color indexed="81"/>
            <rFont val="Geneva"/>
            <family val="2"/>
          </rPr>
          <t>Oxid glu (Gdis)= (4.57 ml/mg *VCO2 ml/min) - (3.23 ml/mg *VO2 ml/min)-(2.6 ml/mg * 7 mg/min)</t>
        </r>
      </text>
    </comment>
    <comment ref="R6" authorId="0" shapeId="0" xr:uid="{00000000-0006-0000-1100-00000A000000}">
      <text>
        <r>
          <rPr>
            <sz val="9"/>
            <color indexed="81"/>
            <rFont val="Geneva"/>
            <family val="2"/>
          </rPr>
          <t>RA=oxid+non-oxid glucose metabolism;                           non-oxid=RA (or M)-oxid</t>
        </r>
      </text>
    </comment>
    <comment ref="M41" authorId="0" shapeId="0" xr:uid="{00000000-0006-0000-1100-00000B000000}">
      <text>
        <r>
          <rPr>
            <sz val="9"/>
            <color indexed="81"/>
            <rFont val="Geneva"/>
            <family val="2"/>
          </rPr>
          <t>IR (counts per min)= theoretically 1uCi=2.223.000 counts; as IR was 0.25uCi /min ≈ 1/4 of above (≈550.000).</t>
        </r>
      </text>
    </comment>
    <comment ref="E45" authorId="0" shapeId="0" xr:uid="{00000000-0006-0000-1100-00000C000000}">
      <text>
        <r>
          <rPr>
            <sz val="9"/>
            <color indexed="81"/>
            <rFont val="Geneva"/>
            <family val="2"/>
          </rPr>
          <t>623 dpm/139 ul plasma (x 7.15 for 1000ul or 1ml) / or 623 dpm/700 ul of s'n taken from the 2000/"400 plasma" ul Zn/Ba mix / or (623 x 2.86= ≈1800/2000 s'n)... so ≈1800 x 2.5= ≈4500</t>
        </r>
      </text>
    </comment>
    <comment ref="G45" authorId="0" shapeId="0" xr:uid="{00000000-0006-0000-1100-00000D000000}">
      <text>
        <r>
          <rPr>
            <sz val="9"/>
            <color indexed="81"/>
            <rFont val="Geneva"/>
            <family val="2"/>
          </rPr>
          <t>(dpm(c)/700ul s'n) * 2000s'n /.4 plasma (40% of 1ml).......  and should be divided by the correction factor corresponding to % recovery which in this case we asume to be 1 (100%) as it is the same for plasma samples and infusates.</t>
        </r>
      </text>
    </comment>
    <comment ref="J45" authorId="0" shapeId="0" xr:uid="{00000000-0006-0000-1100-00000E000000}">
      <text>
        <r>
          <rPr>
            <sz val="9"/>
            <color indexed="81"/>
            <rFont val="Geneva"/>
            <family val="2"/>
          </rPr>
          <t>1. Ra= f (IR-dpm inf)/plasma glu mg%/wt (kg)                    2. Insulin not given until time +60', so Ra calculated the same as baseline for this period (as above).          Unit= mg/kg/min</t>
        </r>
      </text>
    </comment>
    <comment ref="M45" authorId="0" shapeId="0" xr:uid="{00000000-0006-0000-1100-00000F000000}">
      <text>
        <r>
          <rPr>
            <sz val="9"/>
            <color indexed="81"/>
            <rFont val="Geneva"/>
            <family val="2"/>
          </rPr>
          <t>Unit=mg/Kg/min</t>
        </r>
      </text>
    </comment>
    <comment ref="N45" authorId="0" shapeId="0" xr:uid="{00000000-0006-0000-1100-000010000000}">
      <text>
        <r>
          <rPr>
            <sz val="9"/>
            <color indexed="81"/>
            <rFont val="Geneva"/>
            <family val="2"/>
          </rPr>
          <t xml:space="preserve">alternative formula (from raw counts): 71.245/((645/1.21)/106.5))  Unit= mg/kg/min              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</authors>
  <commentList>
    <comment ref="N1" authorId="0" shapeId="0" xr:uid="{00000000-0006-0000-1200-000001000000}">
      <text>
        <r>
          <rPr>
            <sz val="9"/>
            <color indexed="81"/>
            <rFont val="Geneva"/>
            <family val="2"/>
          </rPr>
          <t xml:space="preserve">mean dpm of infusate that is measured DIRECTLY without Somogyi (usually 300,000 dpm)
</t>
        </r>
      </text>
    </comment>
    <comment ref="M2" authorId="0" shapeId="0" xr:uid="{00000000-0006-0000-1200-000002000000}">
      <text>
        <r>
          <rPr>
            <sz val="9"/>
            <color indexed="81"/>
            <rFont val="Geneva"/>
            <family val="2"/>
          </rPr>
          <t>IR (counts per min)= theoretically 1uCi=2.223.000 counts; as IR was 0.25uCi /min ≈ 1/4 of above (≈550.000).</t>
        </r>
      </text>
    </comment>
    <comment ref="O3" authorId="0" shapeId="0" xr:uid="{00000000-0006-0000-1200-000003000000}">
      <text>
        <r>
          <rPr>
            <sz val="9"/>
            <color indexed="81"/>
            <rFont val="Geneva"/>
            <family val="2"/>
          </rPr>
          <t xml:space="preserve">INFUSATE that undergoes SOMOGYI (~120,000 - usually 4 values)
mean dpm counted on 50 ul of infusate x 2.86 (to bring up 700ul to 2000ul=50 of original infusate) </t>
        </r>
      </text>
    </comment>
    <comment ref="E6" authorId="0" shapeId="0" xr:uid="{00000000-0006-0000-1200-000004000000}">
      <text>
        <r>
          <rPr>
            <sz val="9"/>
            <color indexed="81"/>
            <rFont val="Geneva"/>
            <family val="2"/>
          </rPr>
          <t>623 dpm/139 ul plasma (x 7.15 for 1000ul or 1ml) / or 623 dpm/700 ul of s'n taken from the 2000/"400 plasma" ul Zn/Ba mix / or (623 x 2.86= ≈1800/2000 s'n)... so ≈1800 x 2.5= ≈4500</t>
        </r>
      </text>
    </comment>
    <comment ref="G6" authorId="0" shapeId="0" xr:uid="{00000000-0006-0000-1200-000005000000}">
      <text>
        <r>
          <rPr>
            <sz val="9"/>
            <color indexed="81"/>
            <rFont val="Geneva"/>
            <family val="2"/>
          </rPr>
          <t>(dpm(c)/700ul s'n) * 2000s'n /.4 plasma (40% of 1ml).......  and should be divided by the correction factor corresponding to % recovery which in this case we asume to be 1 (100%) as it is the same for plasma samples and infusates.</t>
        </r>
      </text>
    </comment>
    <comment ref="J6" authorId="0" shapeId="0" xr:uid="{00000000-0006-0000-1200-000006000000}">
      <text>
        <r>
          <rPr>
            <sz val="9"/>
            <color indexed="81"/>
            <rFont val="Geneva"/>
            <family val="2"/>
          </rPr>
          <t>1. Ra= f (IR-dpm inf)/plasma glu mg%/wt (kg)                    2. Insulin not given until time +60', so Ra calculated the same as baseline for this period (as above).          Unit= mg/kg/min</t>
        </r>
      </text>
    </comment>
    <comment ref="M6" authorId="0" shapeId="0" xr:uid="{00000000-0006-0000-1200-000007000000}">
      <text>
        <r>
          <rPr>
            <sz val="9"/>
            <color indexed="81"/>
            <rFont val="Geneva"/>
            <family val="2"/>
          </rPr>
          <t>Unit=mg/Kg/min</t>
        </r>
      </text>
    </comment>
    <comment ref="N6" authorId="0" shapeId="0" xr:uid="{00000000-0006-0000-1200-000008000000}">
      <text>
        <r>
          <rPr>
            <sz val="9"/>
            <color indexed="81"/>
            <rFont val="Geneva"/>
            <family val="2"/>
          </rPr>
          <t xml:space="preserve">alternative formula (from raw counts): 71.245/((645/1.21)/106.5))  Unit= mg/kg/min              </t>
        </r>
      </text>
    </comment>
    <comment ref="Q6" authorId="0" shapeId="0" xr:uid="{00000000-0006-0000-1200-000009000000}">
      <text>
        <r>
          <rPr>
            <sz val="9"/>
            <color indexed="81"/>
            <rFont val="Geneva"/>
            <family val="2"/>
          </rPr>
          <t>Oxid glu (Gdis)= (4.57 ml/mg *VCO2 ml/min) - (3.23 ml/mg *VO2 ml/min)-(2.6 ml/mg * 7 mg/min)</t>
        </r>
      </text>
    </comment>
    <comment ref="R6" authorId="0" shapeId="0" xr:uid="{00000000-0006-0000-1200-00000A000000}">
      <text>
        <r>
          <rPr>
            <sz val="9"/>
            <color indexed="81"/>
            <rFont val="Geneva"/>
            <family val="2"/>
          </rPr>
          <t>RA=oxid+non-oxid glucose metabolism;                           non-oxid=RA (or M)-oxid</t>
        </r>
      </text>
    </comment>
    <comment ref="M41" authorId="0" shapeId="0" xr:uid="{00000000-0006-0000-1200-00000B000000}">
      <text>
        <r>
          <rPr>
            <sz val="9"/>
            <color indexed="81"/>
            <rFont val="Geneva"/>
            <family val="2"/>
          </rPr>
          <t>IR (counts per min)= theoretically 1uCi=2.223.000 counts; as IR was 0.25uCi /min ≈ 1/4 of above (≈550.000).</t>
        </r>
      </text>
    </comment>
    <comment ref="E45" authorId="0" shapeId="0" xr:uid="{00000000-0006-0000-1200-00000C000000}">
      <text>
        <r>
          <rPr>
            <sz val="9"/>
            <color indexed="81"/>
            <rFont val="Geneva"/>
            <family val="2"/>
          </rPr>
          <t>623 dpm/139 ul plasma (x 7.15 for 1000ul or 1ml) / or 623 dpm/700 ul of s'n taken from the 2000/"400 plasma" ul Zn/Ba mix / or (623 x 2.86= ≈1800/2000 s'n)... so ≈1800 x 2.5= ≈4500</t>
        </r>
      </text>
    </comment>
    <comment ref="G45" authorId="0" shapeId="0" xr:uid="{00000000-0006-0000-1200-00000D000000}">
      <text>
        <r>
          <rPr>
            <sz val="9"/>
            <color indexed="81"/>
            <rFont val="Geneva"/>
            <family val="2"/>
          </rPr>
          <t>(dpm(c)/700ul s'n) * 2000s'n /.4 plasma (40% of 1ml).......  and should be divided by the correction factor corresponding to % recovery which in this case we asume to be 1 (100%) as it is the same for plasma samples and infusates.</t>
        </r>
      </text>
    </comment>
    <comment ref="J45" authorId="0" shapeId="0" xr:uid="{00000000-0006-0000-1200-00000E000000}">
      <text>
        <r>
          <rPr>
            <sz val="9"/>
            <color indexed="81"/>
            <rFont val="Geneva"/>
            <family val="2"/>
          </rPr>
          <t>1. Ra= f (IR-dpm inf)/plasma glu mg%/wt (kg)                    2. Insulin not given until time +60', so Ra calculated the same as baseline for this period (as above).          Unit= mg/kg/min</t>
        </r>
      </text>
    </comment>
    <comment ref="M45" authorId="0" shapeId="0" xr:uid="{00000000-0006-0000-1200-00000F000000}">
      <text>
        <r>
          <rPr>
            <sz val="9"/>
            <color indexed="81"/>
            <rFont val="Geneva"/>
            <family val="2"/>
          </rPr>
          <t>Unit=mg/Kg/min</t>
        </r>
      </text>
    </comment>
    <comment ref="N45" authorId="0" shapeId="0" xr:uid="{00000000-0006-0000-1200-000010000000}">
      <text>
        <r>
          <rPr>
            <sz val="9"/>
            <color indexed="81"/>
            <rFont val="Geneva"/>
            <family val="2"/>
          </rPr>
          <t xml:space="preserve">alternative formula (from raw counts): 71.245/((645/1.21)/106.5))  Unit= mg/kg/min             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</authors>
  <commentList>
    <comment ref="N1" authorId="0" shapeId="0" xr:uid="{00000000-0006-0000-0100-000001000000}">
      <text>
        <r>
          <rPr>
            <sz val="9"/>
            <color indexed="81"/>
            <rFont val="Geneva"/>
            <family val="2"/>
          </rPr>
          <t xml:space="preserve">mean dpm of infusate that is measured DIRECTLY without Somogyi (usually 300,000 dpm)
</t>
        </r>
      </text>
    </comment>
    <comment ref="M2" authorId="0" shapeId="0" xr:uid="{00000000-0006-0000-0100-000002000000}">
      <text>
        <r>
          <rPr>
            <sz val="9"/>
            <color indexed="81"/>
            <rFont val="Geneva"/>
            <family val="2"/>
          </rPr>
          <t>IR (counts per min)= theoretically 1uCi=2.223.000 counts; as IR was 0.25uCi /min ≈ 1/4 of above (≈550.000).</t>
        </r>
      </text>
    </comment>
    <comment ref="O3" authorId="0" shapeId="0" xr:uid="{00000000-0006-0000-0100-000003000000}">
      <text>
        <r>
          <rPr>
            <sz val="9"/>
            <color indexed="81"/>
            <rFont val="Geneva"/>
            <family val="2"/>
          </rPr>
          <t xml:space="preserve">INFUSATE that undergoes SOMOGYI (~120,000 - usually 4 values)
mean dpm counted on 50 ul of infusate x 2.86 (to bring up 700ul to 2000ul=50 of original infusate) </t>
        </r>
      </text>
    </comment>
    <comment ref="E6" authorId="0" shapeId="0" xr:uid="{00000000-0006-0000-0100-000004000000}">
      <text>
        <r>
          <rPr>
            <sz val="9"/>
            <color indexed="81"/>
            <rFont val="Geneva"/>
            <family val="2"/>
          </rPr>
          <t>623 dpm/139 ul plasma (x 7.15 for 1000ul or 1ml) / or 623 dpm/700 ul of s'n taken from the 2000/"400 plasma" ul Zn/Ba mix / or (623 x 2.86= ≈1800/2000 s'n)... so ≈1800 x 2.5= ≈4500</t>
        </r>
      </text>
    </comment>
    <comment ref="G6" authorId="0" shapeId="0" xr:uid="{00000000-0006-0000-0100-000005000000}">
      <text>
        <r>
          <rPr>
            <sz val="9"/>
            <color indexed="81"/>
            <rFont val="Geneva"/>
            <family val="2"/>
          </rPr>
          <t>(dpm(c)/700ul s'n) * 2000s'n /.4 plasma (40% of 1ml).......  and should be divided by the correction factor corresponding to % recovery which in this case we asume to be 1 (100%) as it is the same for plasma samples and infusates.</t>
        </r>
      </text>
    </comment>
    <comment ref="J6" authorId="0" shapeId="0" xr:uid="{00000000-0006-0000-0100-000006000000}">
      <text>
        <r>
          <rPr>
            <sz val="9"/>
            <color indexed="81"/>
            <rFont val="Geneva"/>
            <family val="2"/>
          </rPr>
          <t>1. Ra= f (IR-dpm inf)/plasma glu mg%/wt (kg)                    2. Insulin not given until time +60', so Ra calculated the same as baseline for this period (as above).          Unit= mg/kg/min</t>
        </r>
      </text>
    </comment>
    <comment ref="M6" authorId="0" shapeId="0" xr:uid="{00000000-0006-0000-0100-000007000000}">
      <text>
        <r>
          <rPr>
            <sz val="9"/>
            <color indexed="81"/>
            <rFont val="Geneva"/>
            <family val="2"/>
          </rPr>
          <t>Unit=mg/Kg/min</t>
        </r>
      </text>
    </comment>
    <comment ref="N6" authorId="0" shapeId="0" xr:uid="{00000000-0006-0000-0100-000008000000}">
      <text>
        <r>
          <rPr>
            <sz val="9"/>
            <color indexed="81"/>
            <rFont val="Geneva"/>
            <family val="2"/>
          </rPr>
          <t xml:space="preserve">alternative formula (from raw counts): 71.245/((645/1.21)/106.5))  Unit= mg/kg/min              </t>
        </r>
      </text>
    </comment>
    <comment ref="Q6" authorId="0" shapeId="0" xr:uid="{00000000-0006-0000-0100-000009000000}">
      <text>
        <r>
          <rPr>
            <sz val="9"/>
            <color indexed="81"/>
            <rFont val="Geneva"/>
            <family val="2"/>
          </rPr>
          <t>Oxid glu (Gdis)= (4.57 ml/mg *VCO2 ml/min) - (3.23 ml/mg *VO2 ml/min)-(2.6 ml/mg * 7 mg/min)</t>
        </r>
      </text>
    </comment>
    <comment ref="R6" authorId="0" shapeId="0" xr:uid="{00000000-0006-0000-0100-00000A000000}">
      <text>
        <r>
          <rPr>
            <sz val="9"/>
            <color indexed="81"/>
            <rFont val="Geneva"/>
            <family val="2"/>
          </rPr>
          <t>RA=oxid+non-oxid glucose metabolism;                           non-oxid=RA (or M)-oxid</t>
        </r>
      </text>
    </comment>
    <comment ref="M41" authorId="0" shapeId="0" xr:uid="{00000000-0006-0000-0100-00000B000000}">
      <text>
        <r>
          <rPr>
            <sz val="9"/>
            <color indexed="81"/>
            <rFont val="Geneva"/>
            <family val="2"/>
          </rPr>
          <t>IR (counts per min)= theoretically 1uCi=2.223.000 counts; as IR was 0.25uCi /min ≈ 1/4 of above (≈550.000).</t>
        </r>
      </text>
    </comment>
    <comment ref="E45" authorId="0" shapeId="0" xr:uid="{00000000-0006-0000-0100-00000C000000}">
      <text>
        <r>
          <rPr>
            <sz val="9"/>
            <color indexed="81"/>
            <rFont val="Geneva"/>
            <family val="2"/>
          </rPr>
          <t>623 dpm/139 ul plasma (x 7.15 for 1000ul or 1ml) / or 623 dpm/700 ul of s'n taken from the 2000/"400 plasma" ul Zn/Ba mix / or (623 x 2.86= ≈1800/2000 s'n)... so ≈1800 x 2.5= ≈4500</t>
        </r>
      </text>
    </comment>
    <comment ref="G45" authorId="0" shapeId="0" xr:uid="{00000000-0006-0000-0100-00000D000000}">
      <text>
        <r>
          <rPr>
            <sz val="9"/>
            <color indexed="81"/>
            <rFont val="Geneva"/>
            <family val="2"/>
          </rPr>
          <t>(dpm(c)/700ul s'n) * 2000s'n /.4 plasma (40% of 1ml).......  and should be divided by the correction factor corresponding to % recovery which in this case we asume to be 1 (100%) as it is the same for plasma samples and infusates.</t>
        </r>
      </text>
    </comment>
    <comment ref="J45" authorId="0" shapeId="0" xr:uid="{00000000-0006-0000-0100-00000E000000}">
      <text>
        <r>
          <rPr>
            <sz val="9"/>
            <color indexed="81"/>
            <rFont val="Geneva"/>
            <family val="2"/>
          </rPr>
          <t>1. Ra= f (IR-dpm inf)/plasma glu mg%/wt (kg)                    2. Insulin not given until time +60', so Ra calculated the same as baseline for this period (as above).          Unit= mg/kg/min</t>
        </r>
      </text>
    </comment>
    <comment ref="M45" authorId="0" shapeId="0" xr:uid="{00000000-0006-0000-0100-00000F000000}">
      <text>
        <r>
          <rPr>
            <sz val="9"/>
            <color indexed="81"/>
            <rFont val="Geneva"/>
            <family val="2"/>
          </rPr>
          <t>Unit=mg/Kg/min</t>
        </r>
      </text>
    </comment>
    <comment ref="N45" authorId="0" shapeId="0" xr:uid="{00000000-0006-0000-0100-000010000000}">
      <text>
        <r>
          <rPr>
            <sz val="9"/>
            <color indexed="81"/>
            <rFont val="Geneva"/>
            <family val="2"/>
          </rPr>
          <t xml:space="preserve">alternative formula (from raw counts): 71.245/((645/1.21)/106.5))  Unit= mg/kg/min              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</authors>
  <commentList>
    <comment ref="N1" authorId="0" shapeId="0" xr:uid="{00000000-0006-0000-1300-000001000000}">
      <text>
        <r>
          <rPr>
            <sz val="9"/>
            <color indexed="81"/>
            <rFont val="Geneva"/>
            <family val="2"/>
          </rPr>
          <t xml:space="preserve">mean dpm of infusate that is measured DIRECTLY without Somogyi (usually 300,000 dpm)
</t>
        </r>
      </text>
    </comment>
    <comment ref="M2" authorId="0" shapeId="0" xr:uid="{00000000-0006-0000-1300-000002000000}">
      <text>
        <r>
          <rPr>
            <sz val="9"/>
            <color indexed="81"/>
            <rFont val="Geneva"/>
            <family val="2"/>
          </rPr>
          <t>IR (counts per min)= theoretically 1uCi=2.223.000 counts; as IR was 0.25uCi /min ≈ 1/4 of above (≈550.000).</t>
        </r>
      </text>
    </comment>
    <comment ref="O3" authorId="0" shapeId="0" xr:uid="{00000000-0006-0000-1300-000003000000}">
      <text>
        <r>
          <rPr>
            <sz val="9"/>
            <color indexed="81"/>
            <rFont val="Geneva"/>
            <family val="2"/>
          </rPr>
          <t xml:space="preserve">INFUSATE that undergoes SOMOGYI (~120,000 - usually 4 values)
mean dpm counted on 50 ul of infusate x 2.86 (to bring up 700ul to 2000ul=50 of original infusate) </t>
        </r>
      </text>
    </comment>
    <comment ref="E6" authorId="0" shapeId="0" xr:uid="{00000000-0006-0000-1300-000004000000}">
      <text>
        <r>
          <rPr>
            <sz val="9"/>
            <color indexed="81"/>
            <rFont val="Geneva"/>
            <family val="2"/>
          </rPr>
          <t>623 dpm/139 ul plasma (x 7.15 for 1000ul or 1ml) / or 623 dpm/700 ul of s'n taken from the 2000/"400 plasma" ul Zn/Ba mix / or (623 x 2.86= ≈1800/2000 s'n)... so ≈1800 x 2.5= ≈4500</t>
        </r>
      </text>
    </comment>
    <comment ref="G6" authorId="0" shapeId="0" xr:uid="{00000000-0006-0000-1300-000005000000}">
      <text>
        <r>
          <rPr>
            <sz val="9"/>
            <color indexed="81"/>
            <rFont val="Geneva"/>
            <family val="2"/>
          </rPr>
          <t>(dpm(c)/700ul s'n) * 2000s'n /.4 plasma (40% of 1ml).......  and should be divided by the correction factor corresponding to % recovery which in this case we asume to be 1 (100%) as it is the same for plasma samples and infusates.</t>
        </r>
      </text>
    </comment>
    <comment ref="J6" authorId="0" shapeId="0" xr:uid="{00000000-0006-0000-1300-000006000000}">
      <text>
        <r>
          <rPr>
            <sz val="9"/>
            <color indexed="81"/>
            <rFont val="Geneva"/>
            <family val="2"/>
          </rPr>
          <t>1. Ra= f (IR-dpm inf)/plasma glu mg%/wt (kg)                    2. Insulin not given until time +60', so Ra calculated the same as baseline for this period (as above).          Unit= mg/kg/min</t>
        </r>
      </text>
    </comment>
    <comment ref="M6" authorId="0" shapeId="0" xr:uid="{00000000-0006-0000-1300-000007000000}">
      <text>
        <r>
          <rPr>
            <sz val="9"/>
            <color indexed="81"/>
            <rFont val="Geneva"/>
            <family val="2"/>
          </rPr>
          <t>Unit=mg/Kg/min</t>
        </r>
      </text>
    </comment>
    <comment ref="N6" authorId="0" shapeId="0" xr:uid="{00000000-0006-0000-1300-000008000000}">
      <text>
        <r>
          <rPr>
            <sz val="9"/>
            <color indexed="81"/>
            <rFont val="Geneva"/>
            <family val="2"/>
          </rPr>
          <t xml:space="preserve">alternative formula (from raw counts): 71.245/((645/1.21)/106.5))  Unit= mg/kg/min              </t>
        </r>
      </text>
    </comment>
    <comment ref="Q6" authorId="0" shapeId="0" xr:uid="{00000000-0006-0000-1300-000009000000}">
      <text>
        <r>
          <rPr>
            <sz val="9"/>
            <color indexed="81"/>
            <rFont val="Geneva"/>
            <family val="2"/>
          </rPr>
          <t>Oxid glu (Gdis)= (4.57 ml/mg *VCO2 ml/min) - (3.23 ml/mg *VO2 ml/min)-(2.6 ml/mg * 7 mg/min)</t>
        </r>
      </text>
    </comment>
    <comment ref="R6" authorId="0" shapeId="0" xr:uid="{00000000-0006-0000-1300-00000A000000}">
      <text>
        <r>
          <rPr>
            <sz val="9"/>
            <color indexed="81"/>
            <rFont val="Geneva"/>
            <family val="2"/>
          </rPr>
          <t>RA=oxid+non-oxid glucose metabolism;                           non-oxid=RA (or M)-oxid</t>
        </r>
      </text>
    </comment>
    <comment ref="M41" authorId="0" shapeId="0" xr:uid="{00000000-0006-0000-1300-00000B000000}">
      <text>
        <r>
          <rPr>
            <sz val="9"/>
            <color indexed="81"/>
            <rFont val="Geneva"/>
            <family val="2"/>
          </rPr>
          <t>IR (counts per min)= theoretically 1uCi=2.223.000 counts; as IR was 0.25uCi /min ≈ 1/4 of above (≈550.000).</t>
        </r>
      </text>
    </comment>
    <comment ref="E45" authorId="0" shapeId="0" xr:uid="{00000000-0006-0000-1300-00000C000000}">
      <text>
        <r>
          <rPr>
            <sz val="9"/>
            <color indexed="81"/>
            <rFont val="Geneva"/>
            <family val="2"/>
          </rPr>
          <t>623 dpm/139 ul plasma (x 7.15 for 1000ul or 1ml) / or 623 dpm/700 ul of s'n taken from the 2000/"400 plasma" ul Zn/Ba mix / or (623 x 2.86= ≈1800/2000 s'n)... so ≈1800 x 2.5= ≈4500</t>
        </r>
      </text>
    </comment>
    <comment ref="G45" authorId="0" shapeId="0" xr:uid="{00000000-0006-0000-1300-00000D000000}">
      <text>
        <r>
          <rPr>
            <sz val="9"/>
            <color indexed="81"/>
            <rFont val="Geneva"/>
            <family val="2"/>
          </rPr>
          <t>(dpm(c)/700ul s'n) * 2000s'n /.4 plasma (40% of 1ml).......  and should be divided by the correction factor corresponding to % recovery which in this case we asume to be 1 (100%) as it is the same for plasma samples and infusates.</t>
        </r>
      </text>
    </comment>
    <comment ref="J45" authorId="0" shapeId="0" xr:uid="{00000000-0006-0000-1300-00000E000000}">
      <text>
        <r>
          <rPr>
            <sz val="9"/>
            <color indexed="81"/>
            <rFont val="Geneva"/>
            <family val="2"/>
          </rPr>
          <t>1. Ra= f (IR-dpm inf)/plasma glu mg%/wt (kg)                    2. Insulin not given until time +60', so Ra calculated the same as baseline for this period (as above).          Unit= mg/kg/min</t>
        </r>
      </text>
    </comment>
    <comment ref="M45" authorId="0" shapeId="0" xr:uid="{00000000-0006-0000-1300-00000F000000}">
      <text>
        <r>
          <rPr>
            <sz val="9"/>
            <color indexed="81"/>
            <rFont val="Geneva"/>
            <family val="2"/>
          </rPr>
          <t>Unit=mg/Kg/min</t>
        </r>
      </text>
    </comment>
    <comment ref="N45" authorId="0" shapeId="0" xr:uid="{00000000-0006-0000-1300-000010000000}">
      <text>
        <r>
          <rPr>
            <sz val="9"/>
            <color indexed="81"/>
            <rFont val="Geneva"/>
            <family val="2"/>
          </rPr>
          <t xml:space="preserve">alternative formula (from raw counts): 71.245/((645/1.21)/106.5))  Unit= mg/kg/min              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</authors>
  <commentList>
    <comment ref="N1" authorId="0" shapeId="0" xr:uid="{00000000-0006-0000-1400-000001000000}">
      <text>
        <r>
          <rPr>
            <sz val="9"/>
            <color indexed="81"/>
            <rFont val="Geneva"/>
            <family val="2"/>
          </rPr>
          <t xml:space="preserve">mean dpm of infusate that is measured DIRECTLY without Somogyi (usually 300,000 dpm)
</t>
        </r>
      </text>
    </comment>
    <comment ref="M2" authorId="0" shapeId="0" xr:uid="{00000000-0006-0000-1400-000002000000}">
      <text>
        <r>
          <rPr>
            <sz val="9"/>
            <color indexed="81"/>
            <rFont val="Geneva"/>
            <family val="2"/>
          </rPr>
          <t>IR (counts per min)= theoretically 1uCi=2.223.000 counts; as IR was 0.25uCi /min ≈ 1/4 of above (≈550.000).</t>
        </r>
      </text>
    </comment>
    <comment ref="O3" authorId="0" shapeId="0" xr:uid="{00000000-0006-0000-1400-000003000000}">
      <text>
        <r>
          <rPr>
            <sz val="9"/>
            <color indexed="81"/>
            <rFont val="Geneva"/>
            <family val="2"/>
          </rPr>
          <t xml:space="preserve">INFUSATE that undergoes SOMOGYI (~120,000 - usually 4 values)
mean dpm counted on 50 ul of infusate x 2.86 (to bring up 700ul to 2000ul=50 of original infusate) </t>
        </r>
      </text>
    </comment>
    <comment ref="E6" authorId="0" shapeId="0" xr:uid="{00000000-0006-0000-1400-000004000000}">
      <text>
        <r>
          <rPr>
            <sz val="9"/>
            <color indexed="81"/>
            <rFont val="Geneva"/>
            <family val="2"/>
          </rPr>
          <t>623 dpm/139 ul plasma (x 7.15 for 1000ul or 1ml) / or 623 dpm/700 ul of s'n taken from the 2000/"400 plasma" ul Zn/Ba mix / or (623 x 2.86= ≈1800/2000 s'n)... so ≈1800 x 2.5= ≈4500</t>
        </r>
      </text>
    </comment>
    <comment ref="G6" authorId="0" shapeId="0" xr:uid="{00000000-0006-0000-1400-000005000000}">
      <text>
        <r>
          <rPr>
            <sz val="9"/>
            <color indexed="81"/>
            <rFont val="Geneva"/>
            <family val="2"/>
          </rPr>
          <t>(dpm(c)/700ul s'n) * 2000s'n /.4 plasma (40% of 1ml).......  and should be divided by the correction factor corresponding to % recovery which in this case we asume to be 1 (100%) as it is the same for plasma samples and infusates.</t>
        </r>
      </text>
    </comment>
    <comment ref="J6" authorId="0" shapeId="0" xr:uid="{00000000-0006-0000-1400-000006000000}">
      <text>
        <r>
          <rPr>
            <sz val="9"/>
            <color indexed="81"/>
            <rFont val="Geneva"/>
            <family val="2"/>
          </rPr>
          <t>1. Ra= f (IR-dpm inf)/plasma glu mg%/wt (kg)                    2. Insulin not given until time +60', so Ra calculated the same as baseline for this period (as above).          Unit= mg/kg/min</t>
        </r>
      </text>
    </comment>
    <comment ref="M6" authorId="0" shapeId="0" xr:uid="{00000000-0006-0000-1400-000007000000}">
      <text>
        <r>
          <rPr>
            <sz val="9"/>
            <color indexed="81"/>
            <rFont val="Geneva"/>
            <family val="2"/>
          </rPr>
          <t>Unit=mg/Kg/min</t>
        </r>
      </text>
    </comment>
    <comment ref="N6" authorId="0" shapeId="0" xr:uid="{00000000-0006-0000-1400-000008000000}">
      <text>
        <r>
          <rPr>
            <sz val="9"/>
            <color indexed="81"/>
            <rFont val="Geneva"/>
            <family val="2"/>
          </rPr>
          <t xml:space="preserve">alternative formula (from raw counts): 71.245/((645/1.21)/106.5))  Unit= mg/kg/min              </t>
        </r>
      </text>
    </comment>
    <comment ref="Q6" authorId="0" shapeId="0" xr:uid="{00000000-0006-0000-1400-000009000000}">
      <text>
        <r>
          <rPr>
            <sz val="9"/>
            <color indexed="81"/>
            <rFont val="Geneva"/>
            <family val="2"/>
          </rPr>
          <t>Oxid glu (Gdis)= (4.57 ml/mg *VCO2 ml/min) - (3.23 ml/mg *VO2 ml/min)-(2.6 ml/mg * 7 mg/min)</t>
        </r>
      </text>
    </comment>
    <comment ref="R6" authorId="0" shapeId="0" xr:uid="{00000000-0006-0000-1400-00000A000000}">
      <text>
        <r>
          <rPr>
            <sz val="9"/>
            <color indexed="81"/>
            <rFont val="Geneva"/>
            <family val="2"/>
          </rPr>
          <t>RA=oxid+non-oxid glucose metabolism;                           non-oxid=RA (or M)-oxid</t>
        </r>
      </text>
    </comment>
    <comment ref="M41" authorId="0" shapeId="0" xr:uid="{00000000-0006-0000-1400-00000B000000}">
      <text>
        <r>
          <rPr>
            <sz val="9"/>
            <color indexed="81"/>
            <rFont val="Geneva"/>
            <family val="2"/>
          </rPr>
          <t>IR (counts per min)= theoretically 1uCi=2.223.000 counts; as IR was 0.25uCi /min ≈ 1/4 of above (≈550.000).</t>
        </r>
      </text>
    </comment>
    <comment ref="E45" authorId="0" shapeId="0" xr:uid="{00000000-0006-0000-1400-00000C000000}">
      <text>
        <r>
          <rPr>
            <sz val="9"/>
            <color indexed="81"/>
            <rFont val="Geneva"/>
            <family val="2"/>
          </rPr>
          <t>623 dpm/139 ul plasma (x 7.15 for 1000ul or 1ml) / or 623 dpm/700 ul of s'n taken from the 2000/"400 plasma" ul Zn/Ba mix / or (623 x 2.86= ≈1800/2000 s'n)... so ≈1800 x 2.5= ≈4500</t>
        </r>
      </text>
    </comment>
    <comment ref="G45" authorId="0" shapeId="0" xr:uid="{00000000-0006-0000-1400-00000D000000}">
      <text>
        <r>
          <rPr>
            <sz val="9"/>
            <color indexed="81"/>
            <rFont val="Geneva"/>
            <family val="2"/>
          </rPr>
          <t>(dpm(c)/700ul s'n) * 2000s'n /.4 plasma (40% of 1ml).......  and should be divided by the correction factor corresponding to % recovery which in this case we asume to be 1 (100%) as it is the same for plasma samples and infusates.</t>
        </r>
      </text>
    </comment>
    <comment ref="J45" authorId="0" shapeId="0" xr:uid="{00000000-0006-0000-1400-00000E000000}">
      <text>
        <r>
          <rPr>
            <sz val="9"/>
            <color indexed="81"/>
            <rFont val="Geneva"/>
            <family val="2"/>
          </rPr>
          <t>1. Ra= f (IR-dpm inf)/plasma glu mg%/wt (kg)                    2. Insulin not given until time +60', so Ra calculated the same as baseline for this period (as above).          Unit= mg/kg/min</t>
        </r>
      </text>
    </comment>
    <comment ref="M45" authorId="0" shapeId="0" xr:uid="{00000000-0006-0000-1400-00000F000000}">
      <text>
        <r>
          <rPr>
            <sz val="9"/>
            <color indexed="81"/>
            <rFont val="Geneva"/>
            <family val="2"/>
          </rPr>
          <t>Unit=mg/Kg/min</t>
        </r>
      </text>
    </comment>
    <comment ref="N45" authorId="0" shapeId="0" xr:uid="{00000000-0006-0000-1400-000010000000}">
      <text>
        <r>
          <rPr>
            <sz val="9"/>
            <color indexed="81"/>
            <rFont val="Geneva"/>
            <family val="2"/>
          </rPr>
          <t xml:space="preserve">alternative formula (from raw counts): 71.245/((645/1.21)/106.5))  Unit= mg/kg/min              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</authors>
  <commentList>
    <comment ref="N1" authorId="0" shapeId="0" xr:uid="{00000000-0006-0000-1500-000001000000}">
      <text>
        <r>
          <rPr>
            <sz val="9"/>
            <color indexed="81"/>
            <rFont val="Geneva"/>
            <family val="2"/>
          </rPr>
          <t xml:space="preserve">mean dpm of infusate that is measured DIRECTLY without Somogyi (usually 300,000 dpm)
</t>
        </r>
      </text>
    </comment>
    <comment ref="M2" authorId="0" shapeId="0" xr:uid="{00000000-0006-0000-1500-000002000000}">
      <text>
        <r>
          <rPr>
            <sz val="9"/>
            <color indexed="81"/>
            <rFont val="Geneva"/>
            <family val="2"/>
          </rPr>
          <t>IR (counts per min)= theoretically 1uCi=2.223.000 counts; as IR was 0.25uCi /min ≈ 1/4 of above (≈550.000).</t>
        </r>
      </text>
    </comment>
    <comment ref="O3" authorId="0" shapeId="0" xr:uid="{00000000-0006-0000-1500-000003000000}">
      <text>
        <r>
          <rPr>
            <sz val="9"/>
            <color indexed="81"/>
            <rFont val="Geneva"/>
            <family val="2"/>
          </rPr>
          <t xml:space="preserve">INFUSATE that undergoes SOMOGYI (~120,000 - usually 4 values)
mean dpm counted on 50 ul of infusate x 2.86 (to bring up 700ul to 2000ul=50 of original infusate) </t>
        </r>
      </text>
    </comment>
    <comment ref="E6" authorId="0" shapeId="0" xr:uid="{00000000-0006-0000-1500-000004000000}">
      <text>
        <r>
          <rPr>
            <sz val="9"/>
            <color indexed="81"/>
            <rFont val="Geneva"/>
            <family val="2"/>
          </rPr>
          <t>623 dpm/139 ul plasma (x 7.15 for 1000ul or 1ml) / or 623 dpm/700 ul of s'n taken from the 2000/"400 plasma" ul Zn/Ba mix / or (623 x 2.86= ≈1800/2000 s'n)... so ≈1800 x 2.5= ≈4500</t>
        </r>
      </text>
    </comment>
    <comment ref="G6" authorId="0" shapeId="0" xr:uid="{00000000-0006-0000-1500-000005000000}">
      <text>
        <r>
          <rPr>
            <sz val="9"/>
            <color indexed="81"/>
            <rFont val="Geneva"/>
            <family val="2"/>
          </rPr>
          <t>(dpm(c)/700ul s'n) * 2000s'n /.4 plasma (40% of 1ml).......  and should be divided by the correction factor corresponding to % recovery which in this case we asume to be 1 (100%) as it is the same for plasma samples and infusates.</t>
        </r>
      </text>
    </comment>
    <comment ref="J6" authorId="0" shapeId="0" xr:uid="{00000000-0006-0000-1500-000006000000}">
      <text>
        <r>
          <rPr>
            <sz val="9"/>
            <color indexed="81"/>
            <rFont val="Geneva"/>
            <family val="2"/>
          </rPr>
          <t>1. Ra= f (IR-dpm inf)/plasma glu mg%/wt (kg)                    2. Insulin not given until time +60', so Ra calculated the same as baseline for this period (as above).          Unit= mg/kg/min</t>
        </r>
      </text>
    </comment>
    <comment ref="M6" authorId="0" shapeId="0" xr:uid="{00000000-0006-0000-1500-000007000000}">
      <text>
        <r>
          <rPr>
            <sz val="9"/>
            <color indexed="81"/>
            <rFont val="Geneva"/>
            <family val="2"/>
          </rPr>
          <t>Unit=mg/Kg/min</t>
        </r>
      </text>
    </comment>
    <comment ref="N6" authorId="0" shapeId="0" xr:uid="{00000000-0006-0000-1500-000008000000}">
      <text>
        <r>
          <rPr>
            <sz val="9"/>
            <color indexed="81"/>
            <rFont val="Geneva"/>
            <family val="2"/>
          </rPr>
          <t xml:space="preserve">alternative formula (from raw counts): 71.245/((645/1.21)/106.5))  Unit= mg/kg/min              </t>
        </r>
      </text>
    </comment>
    <comment ref="Q6" authorId="0" shapeId="0" xr:uid="{00000000-0006-0000-1500-000009000000}">
      <text>
        <r>
          <rPr>
            <sz val="9"/>
            <color indexed="81"/>
            <rFont val="Geneva"/>
            <family val="2"/>
          </rPr>
          <t>Oxid glu (Gdis)= (4.57 ml/mg *VCO2 ml/min) - (3.23 ml/mg *VO2 ml/min)-(2.6 ml/mg * 7 mg/min)</t>
        </r>
      </text>
    </comment>
    <comment ref="R6" authorId="0" shapeId="0" xr:uid="{00000000-0006-0000-1500-00000A000000}">
      <text>
        <r>
          <rPr>
            <sz val="9"/>
            <color indexed="81"/>
            <rFont val="Geneva"/>
            <family val="2"/>
          </rPr>
          <t>RA=oxid+non-oxid glucose metabolism;                           non-oxid=RA (or M)-oxid</t>
        </r>
      </text>
    </comment>
    <comment ref="M41" authorId="0" shapeId="0" xr:uid="{00000000-0006-0000-1500-00000B000000}">
      <text>
        <r>
          <rPr>
            <sz val="9"/>
            <color indexed="81"/>
            <rFont val="Geneva"/>
            <family val="2"/>
          </rPr>
          <t>IR (counts per min)= theoretically 1uCi=2.223.000 counts; as IR was 0.25uCi /min ≈ 1/4 of above (≈550.000).</t>
        </r>
      </text>
    </comment>
    <comment ref="E45" authorId="0" shapeId="0" xr:uid="{00000000-0006-0000-1500-00000C000000}">
      <text>
        <r>
          <rPr>
            <sz val="9"/>
            <color indexed="81"/>
            <rFont val="Geneva"/>
            <family val="2"/>
          </rPr>
          <t>623 dpm/139 ul plasma (x 7.15 for 1000ul or 1ml) / or 623 dpm/700 ul of s'n taken from the 2000/"400 plasma" ul Zn/Ba mix / or (623 x 2.86= ≈1800/2000 s'n)... so ≈1800 x 2.5= ≈4500</t>
        </r>
      </text>
    </comment>
    <comment ref="G45" authorId="0" shapeId="0" xr:uid="{00000000-0006-0000-1500-00000D000000}">
      <text>
        <r>
          <rPr>
            <sz val="9"/>
            <color indexed="81"/>
            <rFont val="Geneva"/>
            <family val="2"/>
          </rPr>
          <t>(dpm(c)/700ul s'n) * 2000s'n /.4 plasma (40% of 1ml).......  and should be divided by the correction factor corresponding to % recovery which in this case we asume to be 1 (100%) as it is the same for plasma samples and infusates.</t>
        </r>
      </text>
    </comment>
    <comment ref="J45" authorId="0" shapeId="0" xr:uid="{00000000-0006-0000-1500-00000E000000}">
      <text>
        <r>
          <rPr>
            <sz val="9"/>
            <color indexed="81"/>
            <rFont val="Geneva"/>
            <family val="2"/>
          </rPr>
          <t>1. Ra= f (IR-dpm inf)/plasma glu mg%/wt (kg)                    2. Insulin not given until time +60', so Ra calculated the same as baseline for this period (as above).          Unit= mg/kg/min</t>
        </r>
      </text>
    </comment>
    <comment ref="M45" authorId="0" shapeId="0" xr:uid="{00000000-0006-0000-1500-00000F000000}">
      <text>
        <r>
          <rPr>
            <sz val="9"/>
            <color indexed="81"/>
            <rFont val="Geneva"/>
            <family val="2"/>
          </rPr>
          <t>Unit=mg/Kg/min</t>
        </r>
      </text>
    </comment>
    <comment ref="N45" authorId="0" shapeId="0" xr:uid="{00000000-0006-0000-1500-000010000000}">
      <text>
        <r>
          <rPr>
            <sz val="9"/>
            <color indexed="81"/>
            <rFont val="Geneva"/>
            <family val="2"/>
          </rPr>
          <t xml:space="preserve">alternative formula (from raw counts): 71.245/((645/1.21)/106.5))  Unit= mg/kg/min              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</authors>
  <commentList>
    <comment ref="N1" authorId="0" shapeId="0" xr:uid="{00000000-0006-0000-1600-000001000000}">
      <text>
        <r>
          <rPr>
            <sz val="9"/>
            <color indexed="81"/>
            <rFont val="Geneva"/>
            <family val="2"/>
          </rPr>
          <t xml:space="preserve">mean dpm of infusate that is measured DIRECTLY without Somogyi (usually 300,000 dpm)
</t>
        </r>
      </text>
    </comment>
    <comment ref="M2" authorId="0" shapeId="0" xr:uid="{00000000-0006-0000-1600-000002000000}">
      <text>
        <r>
          <rPr>
            <sz val="9"/>
            <color indexed="81"/>
            <rFont val="Geneva"/>
            <family val="2"/>
          </rPr>
          <t>IR (counts per min)= theoretically 1uCi=2.223.000 counts; as IR was 0.25uCi /min ≈ 1/4 of above (≈550.000).</t>
        </r>
      </text>
    </comment>
    <comment ref="O3" authorId="0" shapeId="0" xr:uid="{00000000-0006-0000-1600-000003000000}">
      <text>
        <r>
          <rPr>
            <sz val="9"/>
            <color indexed="81"/>
            <rFont val="Geneva"/>
            <family val="2"/>
          </rPr>
          <t xml:space="preserve">INFUSATE that undergoes SOMOGYI (~120,000 - usually 4 values)
mean dpm counted on 50 ul of infusate x 2.86 (to bring up 700ul to 2000ul=50 of original infusate) </t>
        </r>
      </text>
    </comment>
    <comment ref="E6" authorId="0" shapeId="0" xr:uid="{00000000-0006-0000-1600-000004000000}">
      <text>
        <r>
          <rPr>
            <sz val="9"/>
            <color indexed="81"/>
            <rFont val="Geneva"/>
            <family val="2"/>
          </rPr>
          <t>623 dpm/139 ul plasma (x 7.15 for 1000ul or 1ml) / or 623 dpm/700 ul of s'n taken from the 2000/"400 plasma" ul Zn/Ba mix / or (623 x 2.86= ≈1800/2000 s'n)... so ≈1800 x 2.5= ≈4500</t>
        </r>
      </text>
    </comment>
    <comment ref="G6" authorId="0" shapeId="0" xr:uid="{00000000-0006-0000-1600-000005000000}">
      <text>
        <r>
          <rPr>
            <sz val="9"/>
            <color indexed="81"/>
            <rFont val="Geneva"/>
            <family val="2"/>
          </rPr>
          <t>(dpm(c)/700ul s'n) * 2000s'n /.4 plasma (40% of 1ml).......  and should be divided by the correction factor corresponding to % recovery which in this case we asume to be 1 (100%) as it is the same for plasma samples and infusates.</t>
        </r>
      </text>
    </comment>
    <comment ref="J6" authorId="0" shapeId="0" xr:uid="{00000000-0006-0000-1600-000006000000}">
      <text>
        <r>
          <rPr>
            <sz val="9"/>
            <color indexed="81"/>
            <rFont val="Geneva"/>
            <family val="2"/>
          </rPr>
          <t>1. Ra= f (IR-dpm inf)/plasma glu mg%/wt (kg)                    2. Insulin not given until time +60', so Ra calculated the same as baseline for this period (as above).          Unit= mg/kg/min</t>
        </r>
      </text>
    </comment>
    <comment ref="M6" authorId="0" shapeId="0" xr:uid="{00000000-0006-0000-1600-000007000000}">
      <text>
        <r>
          <rPr>
            <sz val="9"/>
            <color indexed="81"/>
            <rFont val="Geneva"/>
            <family val="2"/>
          </rPr>
          <t>Unit=mg/Kg/min</t>
        </r>
      </text>
    </comment>
    <comment ref="N6" authorId="0" shapeId="0" xr:uid="{00000000-0006-0000-1600-000008000000}">
      <text>
        <r>
          <rPr>
            <sz val="9"/>
            <color indexed="81"/>
            <rFont val="Geneva"/>
            <family val="2"/>
          </rPr>
          <t xml:space="preserve">alternative formula (from raw counts): 71.245/((645/1.21)/106.5))  Unit= mg/kg/min              </t>
        </r>
      </text>
    </comment>
    <comment ref="Q6" authorId="0" shapeId="0" xr:uid="{00000000-0006-0000-1600-000009000000}">
      <text>
        <r>
          <rPr>
            <sz val="9"/>
            <color indexed="81"/>
            <rFont val="Geneva"/>
            <family val="2"/>
          </rPr>
          <t>Oxid glu (Gdis)= (4.57 ml/mg *VCO2 ml/min) - (3.23 ml/mg *VO2 ml/min)-(2.6 ml/mg * 7 mg/min)</t>
        </r>
      </text>
    </comment>
    <comment ref="R6" authorId="0" shapeId="0" xr:uid="{00000000-0006-0000-1600-00000A000000}">
      <text>
        <r>
          <rPr>
            <sz val="9"/>
            <color indexed="81"/>
            <rFont val="Geneva"/>
            <family val="2"/>
          </rPr>
          <t>RA=oxid+non-oxid glucose metabolism;                           non-oxid=RA (or M)-oxid</t>
        </r>
      </text>
    </comment>
    <comment ref="M41" authorId="0" shapeId="0" xr:uid="{00000000-0006-0000-1600-00000B000000}">
      <text>
        <r>
          <rPr>
            <sz val="9"/>
            <color indexed="81"/>
            <rFont val="Geneva"/>
            <family val="2"/>
          </rPr>
          <t>IR (counts per min)= theoretically 1uCi=2.223.000 counts; as IR was 0.25uCi /min ≈ 1/4 of above (≈550.000).</t>
        </r>
      </text>
    </comment>
    <comment ref="E45" authorId="0" shapeId="0" xr:uid="{00000000-0006-0000-1600-00000C000000}">
      <text>
        <r>
          <rPr>
            <sz val="9"/>
            <color indexed="81"/>
            <rFont val="Geneva"/>
            <family val="2"/>
          </rPr>
          <t>623 dpm/139 ul plasma (x 7.15 for 1000ul or 1ml) / or 623 dpm/700 ul of s'n taken from the 2000/"400 plasma" ul Zn/Ba mix / or (623 x 2.86= ≈1800/2000 s'n)... so ≈1800 x 2.5= ≈4500</t>
        </r>
      </text>
    </comment>
    <comment ref="G45" authorId="0" shapeId="0" xr:uid="{00000000-0006-0000-1600-00000D000000}">
      <text>
        <r>
          <rPr>
            <sz val="9"/>
            <color indexed="81"/>
            <rFont val="Geneva"/>
            <family val="2"/>
          </rPr>
          <t>(dpm(c)/700ul s'n) * 2000s'n /.4 plasma (40% of 1ml).......  and should be divided by the correction factor corresponding to % recovery which in this case we asume to be 1 (100%) as it is the same for plasma samples and infusates.</t>
        </r>
      </text>
    </comment>
    <comment ref="J45" authorId="0" shapeId="0" xr:uid="{00000000-0006-0000-1600-00000E000000}">
      <text>
        <r>
          <rPr>
            <sz val="9"/>
            <color indexed="81"/>
            <rFont val="Geneva"/>
            <family val="2"/>
          </rPr>
          <t>1. Ra= f (IR-dpm inf)/plasma glu mg%/wt (kg)                    2. Insulin not given until time +60', so Ra calculated the same as baseline for this period (as above).          Unit= mg/kg/min</t>
        </r>
      </text>
    </comment>
    <comment ref="M45" authorId="0" shapeId="0" xr:uid="{00000000-0006-0000-1600-00000F000000}">
      <text>
        <r>
          <rPr>
            <sz val="9"/>
            <color indexed="81"/>
            <rFont val="Geneva"/>
            <family val="2"/>
          </rPr>
          <t>Unit=mg/Kg/min</t>
        </r>
      </text>
    </comment>
    <comment ref="N45" authorId="0" shapeId="0" xr:uid="{00000000-0006-0000-1600-000010000000}">
      <text>
        <r>
          <rPr>
            <sz val="9"/>
            <color indexed="81"/>
            <rFont val="Geneva"/>
            <family val="2"/>
          </rPr>
          <t xml:space="preserve">alternative formula (from raw counts): 71.245/((645/1.21)/106.5))  Unit= mg/kg/min              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</authors>
  <commentList>
    <comment ref="N1" authorId="0" shapeId="0" xr:uid="{00000000-0006-0000-1700-000001000000}">
      <text>
        <r>
          <rPr>
            <sz val="9"/>
            <color indexed="81"/>
            <rFont val="Geneva"/>
            <family val="2"/>
          </rPr>
          <t xml:space="preserve">mean dpm of infusate that is measured DIRECTLY without Somogyi (usually 300,000 dpm)
</t>
        </r>
      </text>
    </comment>
    <comment ref="M2" authorId="0" shapeId="0" xr:uid="{00000000-0006-0000-1700-000002000000}">
      <text>
        <r>
          <rPr>
            <sz val="9"/>
            <color indexed="81"/>
            <rFont val="Geneva"/>
            <family val="2"/>
          </rPr>
          <t>IR (counts per min)= theoretically 1uCi=2.223.000 counts; as IR was 0.25uCi /min ≈ 1/4 of above (≈550.000).</t>
        </r>
      </text>
    </comment>
    <comment ref="O3" authorId="0" shapeId="0" xr:uid="{00000000-0006-0000-1700-000003000000}">
      <text>
        <r>
          <rPr>
            <sz val="9"/>
            <color indexed="81"/>
            <rFont val="Geneva"/>
            <family val="2"/>
          </rPr>
          <t xml:space="preserve">INFUSATE that undergoes SOMOGYI (~120,000 - usually 4 values)
mean dpm counted on 50 ul of infusate x 2.86 (to bring up 700ul to 2000ul=50 of original infusate) </t>
        </r>
      </text>
    </comment>
    <comment ref="E6" authorId="0" shapeId="0" xr:uid="{00000000-0006-0000-1700-000004000000}">
      <text>
        <r>
          <rPr>
            <sz val="9"/>
            <color indexed="81"/>
            <rFont val="Geneva"/>
            <family val="2"/>
          </rPr>
          <t>623 dpm/139 ul plasma (x 7.15 for 1000ul or 1ml) / or 623 dpm/700 ul of s'n taken from the 2000/"400 plasma" ul Zn/Ba mix / or (623 x 2.86= ≈1800/2000 s'n)... so ≈1800 x 2.5= ≈4500</t>
        </r>
      </text>
    </comment>
    <comment ref="G6" authorId="0" shapeId="0" xr:uid="{00000000-0006-0000-1700-000005000000}">
      <text>
        <r>
          <rPr>
            <sz val="9"/>
            <color indexed="81"/>
            <rFont val="Geneva"/>
            <family val="2"/>
          </rPr>
          <t>(dpm(c)/700ul s'n) * 2000s'n /.4 plasma (40% of 1ml).......  and should be divided by the correction factor corresponding to % recovery which in this case we asume to be 1 (100%) as it is the same for plasma samples and infusates.</t>
        </r>
      </text>
    </comment>
    <comment ref="J6" authorId="0" shapeId="0" xr:uid="{00000000-0006-0000-1700-000006000000}">
      <text>
        <r>
          <rPr>
            <sz val="9"/>
            <color indexed="81"/>
            <rFont val="Geneva"/>
            <family val="2"/>
          </rPr>
          <t>1. Ra= f (IR-dpm inf)/plasma glu mg%/wt (kg)                    2. Insulin not given until time +60', so Ra calculated the same as baseline for this period (as above).          Unit= mg/kg/min</t>
        </r>
      </text>
    </comment>
    <comment ref="M6" authorId="0" shapeId="0" xr:uid="{00000000-0006-0000-1700-000007000000}">
      <text>
        <r>
          <rPr>
            <sz val="9"/>
            <color indexed="81"/>
            <rFont val="Geneva"/>
            <family val="2"/>
          </rPr>
          <t>Unit=mg/Kg/min</t>
        </r>
      </text>
    </comment>
    <comment ref="N6" authorId="0" shapeId="0" xr:uid="{00000000-0006-0000-1700-000008000000}">
      <text>
        <r>
          <rPr>
            <sz val="9"/>
            <color indexed="81"/>
            <rFont val="Geneva"/>
            <family val="2"/>
          </rPr>
          <t xml:space="preserve">alternative formula (from raw counts): 71.245/((645/1.21)/106.5))  Unit= mg/kg/min              </t>
        </r>
      </text>
    </comment>
    <comment ref="Q6" authorId="0" shapeId="0" xr:uid="{00000000-0006-0000-1700-000009000000}">
      <text>
        <r>
          <rPr>
            <sz val="9"/>
            <color indexed="81"/>
            <rFont val="Geneva"/>
            <family val="2"/>
          </rPr>
          <t>Oxid glu (Gdis)= (4.57 ml/mg *VCO2 ml/min) - (3.23 ml/mg *VO2 ml/min)-(2.6 ml/mg * 7 mg/min)</t>
        </r>
      </text>
    </comment>
    <comment ref="R6" authorId="0" shapeId="0" xr:uid="{00000000-0006-0000-1700-00000A000000}">
      <text>
        <r>
          <rPr>
            <sz val="9"/>
            <color indexed="81"/>
            <rFont val="Geneva"/>
            <family val="2"/>
          </rPr>
          <t>RA=oxid+non-oxid glucose metabolism;                           non-oxid=RA (or M)-oxid</t>
        </r>
      </text>
    </comment>
    <comment ref="M41" authorId="0" shapeId="0" xr:uid="{00000000-0006-0000-1700-00000B000000}">
      <text>
        <r>
          <rPr>
            <sz val="9"/>
            <color indexed="81"/>
            <rFont val="Geneva"/>
            <family val="2"/>
          </rPr>
          <t>IR (counts per min)= theoretically 1uCi=2.223.000 counts; as IR was 0.25uCi /min ≈ 1/4 of above (≈550.000).</t>
        </r>
      </text>
    </comment>
    <comment ref="E45" authorId="0" shapeId="0" xr:uid="{00000000-0006-0000-1700-00000C000000}">
      <text>
        <r>
          <rPr>
            <sz val="9"/>
            <color indexed="81"/>
            <rFont val="Geneva"/>
            <family val="2"/>
          </rPr>
          <t>623 dpm/139 ul plasma (x 7.15 for 1000ul or 1ml) / or 623 dpm/700 ul of s'n taken from the 2000/"400 plasma" ul Zn/Ba mix / or (623 x 2.86= ≈1800/2000 s'n)... so ≈1800 x 2.5= ≈4500</t>
        </r>
      </text>
    </comment>
    <comment ref="G45" authorId="0" shapeId="0" xr:uid="{00000000-0006-0000-1700-00000D000000}">
      <text>
        <r>
          <rPr>
            <sz val="9"/>
            <color indexed="81"/>
            <rFont val="Geneva"/>
            <family val="2"/>
          </rPr>
          <t>(dpm(c)/700ul s'n) * 2000s'n /.4 plasma (40% of 1ml).......  and should be divided by the correction factor corresponding to % recovery which in this case we asume to be 1 (100%) as it is the same for plasma samples and infusates.</t>
        </r>
      </text>
    </comment>
    <comment ref="J45" authorId="0" shapeId="0" xr:uid="{00000000-0006-0000-1700-00000E000000}">
      <text>
        <r>
          <rPr>
            <sz val="9"/>
            <color indexed="81"/>
            <rFont val="Geneva"/>
            <family val="2"/>
          </rPr>
          <t>1. Ra= f (IR-dpm inf)/plasma glu mg%/wt (kg)                    2. Insulin not given until time +60', so Ra calculated the same as baseline for this period (as above).          Unit= mg/kg/min</t>
        </r>
      </text>
    </comment>
    <comment ref="M45" authorId="0" shapeId="0" xr:uid="{00000000-0006-0000-1700-00000F000000}">
      <text>
        <r>
          <rPr>
            <sz val="9"/>
            <color indexed="81"/>
            <rFont val="Geneva"/>
            <family val="2"/>
          </rPr>
          <t>Unit=mg/Kg/min</t>
        </r>
      </text>
    </comment>
    <comment ref="N45" authorId="0" shapeId="0" xr:uid="{00000000-0006-0000-1700-000010000000}">
      <text>
        <r>
          <rPr>
            <sz val="9"/>
            <color indexed="81"/>
            <rFont val="Geneva"/>
            <family val="2"/>
          </rPr>
          <t xml:space="preserve">alternative formula (from raw counts): 71.245/((645/1.21)/106.5))  Unit= mg/kg/min              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</authors>
  <commentList>
    <comment ref="N1" authorId="0" shapeId="0" xr:uid="{00000000-0006-0000-1900-000001000000}">
      <text>
        <r>
          <rPr>
            <sz val="9"/>
            <color indexed="81"/>
            <rFont val="Geneva"/>
            <family val="2"/>
          </rPr>
          <t xml:space="preserve">mean dpm of infusate that is measured DIRECTLY without Somogyi (usually 300,000 dpm)
</t>
        </r>
      </text>
    </comment>
    <comment ref="M2" authorId="0" shapeId="0" xr:uid="{00000000-0006-0000-1900-000002000000}">
      <text>
        <r>
          <rPr>
            <sz val="9"/>
            <color indexed="81"/>
            <rFont val="Geneva"/>
            <family val="2"/>
          </rPr>
          <t>IR (counts per min)= theoretically 1uCi=2.223.000 counts; as IR was 0.25uCi /min ≈ 1/4 of above (≈550.000).</t>
        </r>
      </text>
    </comment>
    <comment ref="O3" authorId="0" shapeId="0" xr:uid="{00000000-0006-0000-1900-000003000000}">
      <text>
        <r>
          <rPr>
            <sz val="9"/>
            <color indexed="81"/>
            <rFont val="Geneva"/>
            <family val="2"/>
          </rPr>
          <t xml:space="preserve">INFUSATE that undergoes SOMOGYI (~120,000 - usually 4 values)
mean dpm counted on 50 ul of infusate x 2.86 (to bring up 700ul to 2000ul=50 of original infusate) </t>
        </r>
      </text>
    </comment>
    <comment ref="E6" authorId="0" shapeId="0" xr:uid="{00000000-0006-0000-1900-000004000000}">
      <text>
        <r>
          <rPr>
            <sz val="9"/>
            <color indexed="81"/>
            <rFont val="Geneva"/>
            <family val="2"/>
          </rPr>
          <t>623 dpm/139 ul plasma (x 7.15 for 1000ul or 1ml) / or 623 dpm/700 ul of s'n taken from the 2000/"400 plasma" ul Zn/Ba mix / or (623 x 2.86= ≈1800/2000 s'n)... so ≈1800 x 2.5= ≈4500</t>
        </r>
      </text>
    </comment>
    <comment ref="G6" authorId="0" shapeId="0" xr:uid="{00000000-0006-0000-1900-000005000000}">
      <text>
        <r>
          <rPr>
            <sz val="9"/>
            <color indexed="81"/>
            <rFont val="Geneva"/>
            <family val="2"/>
          </rPr>
          <t>(dpm(c)/700ul s'n) * 2000s'n /.4 plasma (40% of 1ml).......  and should be divided by the correction factor corresponding to % recovery which in this case we asume to be 1 (100%) as it is the same for plasma samples and infusates.</t>
        </r>
      </text>
    </comment>
    <comment ref="J6" authorId="0" shapeId="0" xr:uid="{00000000-0006-0000-1900-000006000000}">
      <text>
        <r>
          <rPr>
            <sz val="9"/>
            <color indexed="81"/>
            <rFont val="Geneva"/>
            <family val="2"/>
          </rPr>
          <t>1. Ra= f (IR-dpm inf)/plasma glu mg%/wt (kg)                    2. Insulin not given until time +60', so Ra calculated the same as baseline for this period (as above).          Unit= mg/kg/min</t>
        </r>
      </text>
    </comment>
    <comment ref="M6" authorId="0" shapeId="0" xr:uid="{00000000-0006-0000-1900-000007000000}">
      <text>
        <r>
          <rPr>
            <sz val="9"/>
            <color indexed="81"/>
            <rFont val="Geneva"/>
            <family val="2"/>
          </rPr>
          <t>Unit=mg/Kg/min</t>
        </r>
      </text>
    </comment>
    <comment ref="N6" authorId="0" shapeId="0" xr:uid="{00000000-0006-0000-1900-000008000000}">
      <text>
        <r>
          <rPr>
            <sz val="9"/>
            <color indexed="81"/>
            <rFont val="Geneva"/>
            <family val="2"/>
          </rPr>
          <t xml:space="preserve">alternative formula (from raw counts): 71.245/((645/1.21)/106.5))  Unit= mg/kg/min              </t>
        </r>
      </text>
    </comment>
    <comment ref="Q6" authorId="0" shapeId="0" xr:uid="{00000000-0006-0000-1900-000009000000}">
      <text>
        <r>
          <rPr>
            <sz val="9"/>
            <color indexed="81"/>
            <rFont val="Geneva"/>
            <family val="2"/>
          </rPr>
          <t>Oxid glu (Gdis)= (4.57 ml/mg *VCO2 ml/min) - (3.23 ml/mg *VO2 ml/min)-(2.6 ml/mg * 7 mg/min)</t>
        </r>
      </text>
    </comment>
    <comment ref="R6" authorId="0" shapeId="0" xr:uid="{00000000-0006-0000-1900-00000A000000}">
      <text>
        <r>
          <rPr>
            <sz val="9"/>
            <color indexed="81"/>
            <rFont val="Geneva"/>
            <family val="2"/>
          </rPr>
          <t>RA=oxid+non-oxid glucose metabolism;                           non-oxid=RA (or M)-oxid</t>
        </r>
      </text>
    </comment>
    <comment ref="M41" authorId="0" shapeId="0" xr:uid="{00000000-0006-0000-1900-00000B000000}">
      <text>
        <r>
          <rPr>
            <sz val="9"/>
            <color indexed="81"/>
            <rFont val="Geneva"/>
            <family val="2"/>
          </rPr>
          <t>IR (counts per min)= theoretically 1uCi=2.223.000 counts; as IR was 0.25uCi /min ≈ 1/4 of above (≈550.000).</t>
        </r>
      </text>
    </comment>
    <comment ref="E45" authorId="0" shapeId="0" xr:uid="{00000000-0006-0000-1900-00000C000000}">
      <text>
        <r>
          <rPr>
            <sz val="9"/>
            <color indexed="81"/>
            <rFont val="Geneva"/>
            <family val="2"/>
          </rPr>
          <t>623 dpm/139 ul plasma (x 7.15 for 1000ul or 1ml) / or 623 dpm/700 ul of s'n taken from the 2000/"400 plasma" ul Zn/Ba mix / or (623 x 2.86= ≈1800/2000 s'n)... so ≈1800 x 2.5= ≈4500</t>
        </r>
      </text>
    </comment>
    <comment ref="G45" authorId="0" shapeId="0" xr:uid="{00000000-0006-0000-1900-00000D000000}">
      <text>
        <r>
          <rPr>
            <sz val="9"/>
            <color indexed="81"/>
            <rFont val="Geneva"/>
            <family val="2"/>
          </rPr>
          <t>(dpm(c)/700ul s'n) * 2000s'n /.4 plasma (40% of 1ml).......  and should be divided by the correction factor corresponding to % recovery which in this case we asume to be 1 (100%) as it is the same for plasma samples and infusates.</t>
        </r>
      </text>
    </comment>
    <comment ref="J45" authorId="0" shapeId="0" xr:uid="{00000000-0006-0000-1900-00000E000000}">
      <text>
        <r>
          <rPr>
            <sz val="9"/>
            <color indexed="81"/>
            <rFont val="Geneva"/>
            <family val="2"/>
          </rPr>
          <t>1. Ra= f (IR-dpm inf)/plasma glu mg%/wt (kg)                    2. Insulin not given until time +60', so Ra calculated the same as baseline for this period (as above).          Unit= mg/kg/min</t>
        </r>
      </text>
    </comment>
    <comment ref="M45" authorId="0" shapeId="0" xr:uid="{00000000-0006-0000-1900-00000F000000}">
      <text>
        <r>
          <rPr>
            <sz val="9"/>
            <color indexed="81"/>
            <rFont val="Geneva"/>
            <family val="2"/>
          </rPr>
          <t>Unit=mg/Kg/min</t>
        </r>
      </text>
    </comment>
    <comment ref="N45" authorId="0" shapeId="0" xr:uid="{00000000-0006-0000-1900-000010000000}">
      <text>
        <r>
          <rPr>
            <sz val="9"/>
            <color indexed="81"/>
            <rFont val="Geneva"/>
            <family val="2"/>
          </rPr>
          <t xml:space="preserve">alternative formula (from raw counts): 71.245/((645/1.21)/106.5))  Unit= mg/kg/min              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</authors>
  <commentList>
    <comment ref="N1" authorId="0" shapeId="0" xr:uid="{6ED6D78E-695C-4730-B963-77D703980A5F}">
      <text>
        <r>
          <rPr>
            <sz val="9"/>
            <color indexed="81"/>
            <rFont val="Geneva"/>
            <family val="2"/>
          </rPr>
          <t xml:space="preserve">mean dpm of infusate that is measured DIRECTLY without Somogyi (usually 300,000 dpm)
</t>
        </r>
      </text>
    </comment>
    <comment ref="M2" authorId="0" shapeId="0" xr:uid="{BD2F24B3-92F1-4E4D-93D1-D95A6BFB5ECB}">
      <text>
        <r>
          <rPr>
            <sz val="9"/>
            <color indexed="81"/>
            <rFont val="Geneva"/>
            <family val="2"/>
          </rPr>
          <t>IR (counts per min)= theoretically 1uCi=2.223.000 counts; as IR was 0.25uCi /min ≈ 1/4 of above (≈550.000).</t>
        </r>
      </text>
    </comment>
    <comment ref="O3" authorId="0" shapeId="0" xr:uid="{44BB6B19-D3F3-42B5-914D-388C3DEDCCCC}">
      <text>
        <r>
          <rPr>
            <sz val="9"/>
            <color indexed="81"/>
            <rFont val="Geneva"/>
            <family val="2"/>
          </rPr>
          <t xml:space="preserve">INFUSATE that undergoes SOMOGYI (~120,000 - usually 4 values)
mean dpm counted on 50 ul of infusate x 2.86 (to bring up 700ul to 2000ul=50 of original infusate) </t>
        </r>
      </text>
    </comment>
    <comment ref="E6" authorId="0" shapeId="0" xr:uid="{B2171DE1-6B85-4A35-B1CE-551F3EE6A492}">
      <text>
        <r>
          <rPr>
            <sz val="9"/>
            <color indexed="81"/>
            <rFont val="Geneva"/>
            <family val="2"/>
          </rPr>
          <t>623 dpm/139 ul plasma (x 7.15 for 1000ul or 1ml) / or 623 dpm/700 ul of s'n taken from the 2000/"400 plasma" ul Zn/Ba mix / or (623 x 2.86= ≈1800/2000 s'n)... so ≈1800 x 2.5= ≈4500</t>
        </r>
      </text>
    </comment>
    <comment ref="G6" authorId="0" shapeId="0" xr:uid="{DD99C522-8A5D-4DDF-9E52-CE052197992C}">
      <text>
        <r>
          <rPr>
            <sz val="9"/>
            <color indexed="81"/>
            <rFont val="Geneva"/>
            <family val="2"/>
          </rPr>
          <t>(dpm(c)/700ul s'n) * 2000s'n /.4 plasma (40% of 1ml).......  and should be divided by the correction factor corresponding to % recovery which in this case we asume to be 1 (100%) as it is the same for plasma samples and infusates.</t>
        </r>
      </text>
    </comment>
    <comment ref="J6" authorId="0" shapeId="0" xr:uid="{0590B75A-6DC5-44AE-81BD-FE9FBB980049}">
      <text>
        <r>
          <rPr>
            <sz val="9"/>
            <color indexed="81"/>
            <rFont val="Geneva"/>
            <family val="2"/>
          </rPr>
          <t>1. Ra= f (IR-dpm inf)/plasma glu mg%/wt (kg)                    2. Insulin not given until time +60', so Ra calculated the same as baseline for this period (as above).          Unit= mg/kg/min</t>
        </r>
      </text>
    </comment>
    <comment ref="M6" authorId="0" shapeId="0" xr:uid="{7850D6D0-B0F0-44F1-8D0D-46069E1B8EE3}">
      <text>
        <r>
          <rPr>
            <sz val="9"/>
            <color indexed="81"/>
            <rFont val="Geneva"/>
            <family val="2"/>
          </rPr>
          <t>Unit=mg/Kg/min</t>
        </r>
      </text>
    </comment>
    <comment ref="N6" authorId="0" shapeId="0" xr:uid="{DC42E31A-0CA5-4D42-9135-798E3AA88184}">
      <text>
        <r>
          <rPr>
            <sz val="9"/>
            <color indexed="81"/>
            <rFont val="Geneva"/>
            <family val="2"/>
          </rPr>
          <t xml:space="preserve">alternative formula (from raw counts): 71.245/((645/1.21)/106.5))  Unit= mg/kg/min              </t>
        </r>
      </text>
    </comment>
    <comment ref="Q6" authorId="0" shapeId="0" xr:uid="{9B251921-7105-46F8-96BC-3A3DA238390D}">
      <text>
        <r>
          <rPr>
            <sz val="9"/>
            <color indexed="81"/>
            <rFont val="Geneva"/>
            <family val="2"/>
          </rPr>
          <t>Oxid glu (Gdis)= (4.57 ml/mg *VCO2 ml/min) - (3.23 ml/mg *VO2 ml/min)-(2.6 ml/mg * 7 mg/min)</t>
        </r>
      </text>
    </comment>
    <comment ref="R6" authorId="0" shapeId="0" xr:uid="{8AE17FE9-BE97-4D9B-8F93-5F941566A42E}">
      <text>
        <r>
          <rPr>
            <sz val="9"/>
            <color indexed="81"/>
            <rFont val="Geneva"/>
            <family val="2"/>
          </rPr>
          <t>RA=oxid+non-oxid glucose metabolism;                           non-oxid=RA (or M)-oxid</t>
        </r>
      </text>
    </comment>
    <comment ref="M41" authorId="0" shapeId="0" xr:uid="{C8FE30A1-3A46-426C-A5A9-BDBF396C056F}">
      <text>
        <r>
          <rPr>
            <sz val="9"/>
            <color indexed="81"/>
            <rFont val="Geneva"/>
            <family val="2"/>
          </rPr>
          <t>IR (counts per min)= theoretically 1uCi=2.223.000 counts; as IR was 0.25uCi /min ≈ 1/4 of above (≈550.000).</t>
        </r>
      </text>
    </comment>
    <comment ref="E45" authorId="0" shapeId="0" xr:uid="{B6BC9F4D-0D79-490E-977E-3AB91A39B677}">
      <text>
        <r>
          <rPr>
            <sz val="9"/>
            <color indexed="81"/>
            <rFont val="Geneva"/>
            <family val="2"/>
          </rPr>
          <t>623 dpm/139 ul plasma (x 7.15 for 1000ul or 1ml) / or 623 dpm/700 ul of s'n taken from the 2000/"400 plasma" ul Zn/Ba mix / or (623 x 2.86= ≈1800/2000 s'n)... so ≈1800 x 2.5= ≈4500</t>
        </r>
      </text>
    </comment>
    <comment ref="G45" authorId="0" shapeId="0" xr:uid="{1F9AF2E8-1431-41BF-89B9-AF0BBF5874BE}">
      <text>
        <r>
          <rPr>
            <sz val="9"/>
            <color indexed="81"/>
            <rFont val="Geneva"/>
            <family val="2"/>
          </rPr>
          <t>(dpm(c)/700ul s'n) * 2000s'n /.4 plasma (40% of 1ml).......  and should be divided by the correction factor corresponding to % recovery which in this case we asume to be 1 (100%) as it is the same for plasma samples and infusates.</t>
        </r>
      </text>
    </comment>
    <comment ref="J45" authorId="0" shapeId="0" xr:uid="{BA9E2F03-695D-4DB8-86E2-0758E6ACD6CC}">
      <text>
        <r>
          <rPr>
            <sz val="9"/>
            <color indexed="81"/>
            <rFont val="Geneva"/>
            <family val="2"/>
          </rPr>
          <t>1. Ra= f (IR-dpm inf)/plasma glu mg%/wt (kg)                    2. Insulin not given until time +60', so Ra calculated the same as baseline for this period (as above).          Unit= mg/kg/min</t>
        </r>
      </text>
    </comment>
    <comment ref="M45" authorId="0" shapeId="0" xr:uid="{EAD70553-2EF8-49A0-9CC0-DE17A032C8EC}">
      <text>
        <r>
          <rPr>
            <sz val="9"/>
            <color indexed="81"/>
            <rFont val="Geneva"/>
            <family val="2"/>
          </rPr>
          <t>Unit=mg/Kg/min</t>
        </r>
      </text>
    </comment>
    <comment ref="N45" authorId="0" shapeId="0" xr:uid="{31BFA008-1F42-4F4F-8103-85612F36397E}">
      <text>
        <r>
          <rPr>
            <sz val="9"/>
            <color indexed="81"/>
            <rFont val="Geneva"/>
            <family val="2"/>
          </rPr>
          <t xml:space="preserve">alternative formula (from raw counts): 71.245/((645/1.21)/106.5))  Unit= mg/kg/min              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</authors>
  <commentList>
    <comment ref="N1" authorId="0" shapeId="0" xr:uid="{39E5DE53-D47D-4E97-B9AF-987C99C45EDE}">
      <text>
        <r>
          <rPr>
            <sz val="9"/>
            <color indexed="81"/>
            <rFont val="Geneva"/>
            <family val="2"/>
          </rPr>
          <t xml:space="preserve">mean dpm of infusate that is measured DIRECTLY without Somogyi (usually 300,000 dpm)
</t>
        </r>
      </text>
    </comment>
    <comment ref="M2" authorId="0" shapeId="0" xr:uid="{5D791F8E-FA81-448F-9567-D22FC868AC23}">
      <text>
        <r>
          <rPr>
            <sz val="9"/>
            <color indexed="81"/>
            <rFont val="Geneva"/>
            <family val="2"/>
          </rPr>
          <t>IR (counts per min)= theoretically 1uCi=2.223.000 counts; as IR was 0.25uCi /min ≈ 1/4 of above (≈550.000).</t>
        </r>
      </text>
    </comment>
    <comment ref="O3" authorId="0" shapeId="0" xr:uid="{A7EBFBB1-F42D-4C7E-AF58-8CEDE83C2EB0}">
      <text>
        <r>
          <rPr>
            <sz val="9"/>
            <color indexed="81"/>
            <rFont val="Geneva"/>
            <family val="2"/>
          </rPr>
          <t xml:space="preserve">INFUSATE that undergoes SOMOGYI (~120,000 - usually 4 values)
mean dpm counted on 50 ul of infusate x 2.86 (to bring up 700ul to 2000ul=50 of original infusate) </t>
        </r>
      </text>
    </comment>
    <comment ref="E6" authorId="0" shapeId="0" xr:uid="{FAD3BC7F-497B-4182-88F0-4C8A6D0D7DF0}">
      <text>
        <r>
          <rPr>
            <sz val="9"/>
            <color indexed="81"/>
            <rFont val="Geneva"/>
            <family val="2"/>
          </rPr>
          <t>623 dpm/139 ul plasma (x 7.15 for 1000ul or 1ml) / or 623 dpm/700 ul of s'n taken from the 2000/"400 plasma" ul Zn/Ba mix / or (623 x 2.86= ≈1800/2000 s'n)... so ≈1800 x 2.5= ≈4500</t>
        </r>
      </text>
    </comment>
    <comment ref="G6" authorId="0" shapeId="0" xr:uid="{5DF8B49E-98A6-4CC4-9267-93F5297AA05F}">
      <text>
        <r>
          <rPr>
            <sz val="9"/>
            <color indexed="81"/>
            <rFont val="Geneva"/>
            <family val="2"/>
          </rPr>
          <t>(dpm(c)/700ul s'n) * 2000s'n /.4 plasma (40% of 1ml).......  and should be divided by the correction factor corresponding to % recovery which in this case we asume to be 1 (100%) as it is the same for plasma samples and infusates.</t>
        </r>
      </text>
    </comment>
    <comment ref="J6" authorId="0" shapeId="0" xr:uid="{CC8305D7-F032-42B5-9759-BF6BA3F71FB2}">
      <text>
        <r>
          <rPr>
            <sz val="9"/>
            <color indexed="81"/>
            <rFont val="Geneva"/>
            <family val="2"/>
          </rPr>
          <t>1. Ra= f (IR-dpm inf)/plasma glu mg%/wt (kg)                    2. Insulin not given until time +60', so Ra calculated the same as baseline for this period (as above).          Unit= mg/kg/min</t>
        </r>
      </text>
    </comment>
    <comment ref="M6" authorId="0" shapeId="0" xr:uid="{55F8293F-E624-417C-B7F4-1DA96859EED6}">
      <text>
        <r>
          <rPr>
            <sz val="9"/>
            <color indexed="81"/>
            <rFont val="Geneva"/>
            <family val="2"/>
          </rPr>
          <t>Unit=mg/Kg/min</t>
        </r>
      </text>
    </comment>
    <comment ref="N6" authorId="0" shapeId="0" xr:uid="{39D3B85E-9742-4860-AE8E-0673CDA614F3}">
      <text>
        <r>
          <rPr>
            <sz val="9"/>
            <color indexed="81"/>
            <rFont val="Geneva"/>
            <family val="2"/>
          </rPr>
          <t xml:space="preserve">alternative formula (from raw counts): 71.245/((645/1.21)/106.5))  Unit= mg/kg/min              </t>
        </r>
      </text>
    </comment>
    <comment ref="Q6" authorId="0" shapeId="0" xr:uid="{D7FEEAB1-0A54-4946-9D07-A992EBDF0E41}">
      <text>
        <r>
          <rPr>
            <sz val="9"/>
            <color indexed="81"/>
            <rFont val="Geneva"/>
            <family val="2"/>
          </rPr>
          <t>Oxid glu (Gdis)= (4.57 ml/mg *VCO2 ml/min) - (3.23 ml/mg *VO2 ml/min)-(2.6 ml/mg * 7 mg/min)</t>
        </r>
      </text>
    </comment>
    <comment ref="R6" authorId="0" shapeId="0" xr:uid="{78160A9E-7CE5-449A-BEC6-59B7045DA9CB}">
      <text>
        <r>
          <rPr>
            <sz val="9"/>
            <color indexed="81"/>
            <rFont val="Geneva"/>
            <family val="2"/>
          </rPr>
          <t>RA=oxid+non-oxid glucose metabolism;                           non-oxid=RA (or M)-oxid</t>
        </r>
      </text>
    </comment>
    <comment ref="M41" authorId="0" shapeId="0" xr:uid="{7B4B3C9B-4DF1-4354-9E97-0E2E3FD5DD48}">
      <text>
        <r>
          <rPr>
            <sz val="9"/>
            <color indexed="81"/>
            <rFont val="Geneva"/>
            <family val="2"/>
          </rPr>
          <t>IR (counts per min)= theoretically 1uCi=2.223.000 counts; as IR was 0.25uCi /min ≈ 1/4 of above (≈550.000).</t>
        </r>
      </text>
    </comment>
    <comment ref="E45" authorId="0" shapeId="0" xr:uid="{0F9B6D7C-2776-4945-8E79-DED2D4FD9E8B}">
      <text>
        <r>
          <rPr>
            <sz val="9"/>
            <color indexed="81"/>
            <rFont val="Geneva"/>
            <family val="2"/>
          </rPr>
          <t>623 dpm/139 ul plasma (x 7.15 for 1000ul or 1ml) / or 623 dpm/700 ul of s'n taken from the 2000/"400 plasma" ul Zn/Ba mix / or (623 x 2.86= ≈1800/2000 s'n)... so ≈1800 x 2.5= ≈4500</t>
        </r>
      </text>
    </comment>
    <comment ref="G45" authorId="0" shapeId="0" xr:uid="{93E29048-178A-4974-9096-0486AD696F16}">
      <text>
        <r>
          <rPr>
            <sz val="9"/>
            <color indexed="81"/>
            <rFont val="Geneva"/>
            <family val="2"/>
          </rPr>
          <t>(dpm(c)/700ul s'n) * 2000s'n /.4 plasma (40% of 1ml).......  and should be divided by the correction factor corresponding to % recovery which in this case we asume to be 1 (100%) as it is the same for plasma samples and infusates.</t>
        </r>
      </text>
    </comment>
    <comment ref="J45" authorId="0" shapeId="0" xr:uid="{E88C8445-4BEB-452A-83DC-C6F2BAAB37FF}">
      <text>
        <r>
          <rPr>
            <sz val="9"/>
            <color indexed="81"/>
            <rFont val="Geneva"/>
            <family val="2"/>
          </rPr>
          <t>1. Ra= f (IR-dpm inf)/plasma glu mg%/wt (kg)                    2. Insulin not given until time +60', so Ra calculated the same as baseline for this period (as above).          Unit= mg/kg/min</t>
        </r>
      </text>
    </comment>
    <comment ref="M45" authorId="0" shapeId="0" xr:uid="{DDA2FA6D-AA8E-4A5F-9950-6047AA9DFAE7}">
      <text>
        <r>
          <rPr>
            <sz val="9"/>
            <color indexed="81"/>
            <rFont val="Geneva"/>
            <family val="2"/>
          </rPr>
          <t>Unit=mg/Kg/min</t>
        </r>
      </text>
    </comment>
    <comment ref="N45" authorId="0" shapeId="0" xr:uid="{31238A02-D2A5-4F43-9008-70A41A0797EC}">
      <text>
        <r>
          <rPr>
            <sz val="9"/>
            <color indexed="81"/>
            <rFont val="Geneva"/>
            <family val="2"/>
          </rPr>
          <t xml:space="preserve">alternative formula (from raw counts): 71.245/((645/1.21)/106.5))  Unit= mg/kg/min             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</authors>
  <commentList>
    <comment ref="N1" authorId="0" shapeId="0" xr:uid="{00000000-0006-0000-0200-000001000000}">
      <text>
        <r>
          <rPr>
            <sz val="9"/>
            <color indexed="81"/>
            <rFont val="Geneva"/>
            <family val="2"/>
          </rPr>
          <t xml:space="preserve">mean dpm of infusate that is measured DIRECTLY without Somogyi (usually 300,000 dpm)
</t>
        </r>
      </text>
    </comment>
    <comment ref="M2" authorId="0" shapeId="0" xr:uid="{00000000-0006-0000-0200-000002000000}">
      <text>
        <r>
          <rPr>
            <sz val="9"/>
            <color indexed="81"/>
            <rFont val="Geneva"/>
            <family val="2"/>
          </rPr>
          <t>IR (counts per min)= theoretically 1uCi=2.223.000 counts; as IR was 0.25uCi /min ≈ 1/4 of above (≈550.000).</t>
        </r>
      </text>
    </comment>
    <comment ref="O3" authorId="0" shapeId="0" xr:uid="{00000000-0006-0000-0200-000003000000}">
      <text>
        <r>
          <rPr>
            <sz val="9"/>
            <color indexed="81"/>
            <rFont val="Geneva"/>
            <family val="2"/>
          </rPr>
          <t xml:space="preserve">INFUSATE that undergoes SOMOGYI (~120,000 - usually 4 values)
mean dpm counted on 50 ul of infusate x 2.86 (to bring up 700ul to 2000ul=50 of original infusate) </t>
        </r>
      </text>
    </comment>
    <comment ref="E6" authorId="0" shapeId="0" xr:uid="{00000000-0006-0000-0200-000004000000}">
      <text>
        <r>
          <rPr>
            <sz val="9"/>
            <color indexed="81"/>
            <rFont val="Geneva"/>
            <family val="2"/>
          </rPr>
          <t>623 dpm/139 ul plasma (x 7.15 for 1000ul or 1ml) / or 623 dpm/700 ul of s'n taken from the 2000/"400 plasma" ul Zn/Ba mix / or (623 x 2.86= ≈1800/2000 s'n)... so ≈1800 x 2.5= ≈4500</t>
        </r>
      </text>
    </comment>
    <comment ref="G6" authorId="0" shapeId="0" xr:uid="{00000000-0006-0000-0200-000005000000}">
      <text>
        <r>
          <rPr>
            <sz val="9"/>
            <color indexed="81"/>
            <rFont val="Geneva"/>
            <family val="2"/>
          </rPr>
          <t>(dpm(c)/700ul s'n) * 2000s'n /.4 plasma (40% of 1ml).......  and should be divided by the correction factor corresponding to % recovery which in this case we asume to be 1 (100%) as it is the same for plasma samples and infusates.</t>
        </r>
      </text>
    </comment>
    <comment ref="J6" authorId="0" shapeId="0" xr:uid="{00000000-0006-0000-0200-000006000000}">
      <text>
        <r>
          <rPr>
            <sz val="9"/>
            <color indexed="81"/>
            <rFont val="Geneva"/>
            <family val="2"/>
          </rPr>
          <t>1. Ra= f (IR-dpm inf)/plasma glu mg%/wt (kg)                    2. Insulin not given until time +60', so Ra calculated the same as baseline for this period (as above).          Unit= mg/kg/min</t>
        </r>
      </text>
    </comment>
    <comment ref="M6" authorId="0" shapeId="0" xr:uid="{00000000-0006-0000-0200-000007000000}">
      <text>
        <r>
          <rPr>
            <sz val="9"/>
            <color indexed="81"/>
            <rFont val="Geneva"/>
            <family val="2"/>
          </rPr>
          <t>Unit=mg/Kg/min</t>
        </r>
      </text>
    </comment>
    <comment ref="N6" authorId="0" shapeId="0" xr:uid="{00000000-0006-0000-0200-000008000000}">
      <text>
        <r>
          <rPr>
            <sz val="9"/>
            <color indexed="81"/>
            <rFont val="Geneva"/>
            <family val="2"/>
          </rPr>
          <t xml:space="preserve">alternative formula (from raw counts): 71.245/((645/1.21)/106.5))  Unit= mg/kg/min              </t>
        </r>
      </text>
    </comment>
    <comment ref="Q6" authorId="0" shapeId="0" xr:uid="{00000000-0006-0000-0200-000009000000}">
      <text>
        <r>
          <rPr>
            <sz val="9"/>
            <color indexed="81"/>
            <rFont val="Geneva"/>
            <family val="2"/>
          </rPr>
          <t>Oxid glu (Gdis)= (4.57 ml/mg *VCO2 ml/min) - (3.23 ml/mg *VO2 ml/min)-(2.6 ml/mg * 7 mg/min)</t>
        </r>
      </text>
    </comment>
    <comment ref="R6" authorId="0" shapeId="0" xr:uid="{00000000-0006-0000-0200-00000A000000}">
      <text>
        <r>
          <rPr>
            <sz val="9"/>
            <color indexed="81"/>
            <rFont val="Geneva"/>
            <family val="2"/>
          </rPr>
          <t>RA=oxid+non-oxid glucose metabolism;                           non-oxid=RA (or M)-oxid</t>
        </r>
      </text>
    </comment>
    <comment ref="M41" authorId="0" shapeId="0" xr:uid="{00000000-0006-0000-0200-00000B000000}">
      <text>
        <r>
          <rPr>
            <sz val="9"/>
            <color indexed="81"/>
            <rFont val="Geneva"/>
            <family val="2"/>
          </rPr>
          <t>IR (counts per min)= theoretically 1uCi=2.223.000 counts; as IR was 0.25uCi /min ≈ 1/4 of above (≈550.000).</t>
        </r>
      </text>
    </comment>
    <comment ref="E45" authorId="0" shapeId="0" xr:uid="{00000000-0006-0000-0200-00000C000000}">
      <text>
        <r>
          <rPr>
            <sz val="9"/>
            <color indexed="81"/>
            <rFont val="Geneva"/>
            <family val="2"/>
          </rPr>
          <t>623 dpm/139 ul plasma (x 7.15 for 1000ul or 1ml) / or 623 dpm/700 ul of s'n taken from the 2000/"400 plasma" ul Zn/Ba mix / or (623 x 2.86= ≈1800/2000 s'n)... so ≈1800 x 2.5= ≈4500</t>
        </r>
      </text>
    </comment>
    <comment ref="G45" authorId="0" shapeId="0" xr:uid="{00000000-0006-0000-0200-00000D000000}">
      <text>
        <r>
          <rPr>
            <sz val="9"/>
            <color indexed="81"/>
            <rFont val="Geneva"/>
            <family val="2"/>
          </rPr>
          <t>(dpm(c)/700ul s'n) * 2000s'n /.4 plasma (40% of 1ml).......  and should be divided by the correction factor corresponding to % recovery which in this case we asume to be 1 (100%) as it is the same for plasma samples and infusates.</t>
        </r>
      </text>
    </comment>
    <comment ref="J45" authorId="0" shapeId="0" xr:uid="{00000000-0006-0000-0200-00000E000000}">
      <text>
        <r>
          <rPr>
            <sz val="9"/>
            <color indexed="81"/>
            <rFont val="Geneva"/>
            <family val="2"/>
          </rPr>
          <t>1. Ra= f (IR-dpm inf)/plasma glu mg%/wt (kg)                    2. Insulin not given until time +60', so Ra calculated the same as baseline for this period (as above).          Unit= mg/kg/min</t>
        </r>
      </text>
    </comment>
    <comment ref="M45" authorId="0" shapeId="0" xr:uid="{00000000-0006-0000-0200-00000F000000}">
      <text>
        <r>
          <rPr>
            <sz val="9"/>
            <color indexed="81"/>
            <rFont val="Geneva"/>
            <family val="2"/>
          </rPr>
          <t>Unit=mg/Kg/min</t>
        </r>
      </text>
    </comment>
    <comment ref="N45" authorId="0" shapeId="0" xr:uid="{00000000-0006-0000-0200-000010000000}">
      <text>
        <r>
          <rPr>
            <sz val="9"/>
            <color indexed="81"/>
            <rFont val="Geneva"/>
            <family val="2"/>
          </rPr>
          <t xml:space="preserve">alternative formula (from raw counts): 71.245/((645/1.21)/106.5))  Unit= mg/kg/min             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</authors>
  <commentList>
    <comment ref="N1" authorId="0" shapeId="0" xr:uid="{00000000-0006-0000-0300-000001000000}">
      <text>
        <r>
          <rPr>
            <sz val="9"/>
            <color indexed="81"/>
            <rFont val="Geneva"/>
            <family val="2"/>
          </rPr>
          <t xml:space="preserve">mean dpm of infusate that is measured DIRECTLY without Somogyi (usually 300,000 dpm)
</t>
        </r>
      </text>
    </comment>
    <comment ref="M2" authorId="0" shapeId="0" xr:uid="{00000000-0006-0000-0300-000002000000}">
      <text>
        <r>
          <rPr>
            <sz val="9"/>
            <color indexed="81"/>
            <rFont val="Geneva"/>
            <family val="2"/>
          </rPr>
          <t>IR (counts per min)= theoretically 1uCi=2.223.000 counts; as IR was 0.25uCi /min ≈ 1/4 of above (≈550.000).</t>
        </r>
      </text>
    </comment>
    <comment ref="O3" authorId="0" shapeId="0" xr:uid="{00000000-0006-0000-0300-000003000000}">
      <text>
        <r>
          <rPr>
            <sz val="9"/>
            <color indexed="81"/>
            <rFont val="Geneva"/>
            <family val="2"/>
          </rPr>
          <t xml:space="preserve">INFUSATE that undergoes SOMOGYI (~120,000 - usually 4 values)
mean dpm counted on 50 ul of infusate x 2.86 (to bring up 700ul to 2000ul=50 of original infusate) </t>
        </r>
      </text>
    </comment>
    <comment ref="E6" authorId="0" shapeId="0" xr:uid="{00000000-0006-0000-0300-000004000000}">
      <text>
        <r>
          <rPr>
            <sz val="9"/>
            <color indexed="81"/>
            <rFont val="Geneva"/>
            <family val="2"/>
          </rPr>
          <t>623 dpm/139 ul plasma (x 7.15 for 1000ul or 1ml) / or 623 dpm/700 ul of s'n taken from the 2000/"400 plasma" ul Zn/Ba mix / or (623 x 2.86= ≈1800/2000 s'n)... so ≈1800 x 2.5= ≈4500</t>
        </r>
      </text>
    </comment>
    <comment ref="G6" authorId="0" shapeId="0" xr:uid="{00000000-0006-0000-0300-000005000000}">
      <text>
        <r>
          <rPr>
            <sz val="9"/>
            <color indexed="81"/>
            <rFont val="Geneva"/>
            <family val="2"/>
          </rPr>
          <t>(dpm(c)/700ul s'n) * 2000s'n /.4 plasma (40% of 1ml).......  and should be divided by the correction factor corresponding to % recovery which in this case we asume to be 1 (100%) as it is the same for plasma samples and infusates.</t>
        </r>
      </text>
    </comment>
    <comment ref="J6" authorId="0" shapeId="0" xr:uid="{00000000-0006-0000-0300-000006000000}">
      <text>
        <r>
          <rPr>
            <sz val="9"/>
            <color indexed="81"/>
            <rFont val="Geneva"/>
            <family val="2"/>
          </rPr>
          <t>1. Ra= f (IR-dpm inf)/plasma glu mg%/wt (kg)                    2. Insulin not given until time +60', so Ra calculated the same as baseline for this period (as above).          Unit= mg/kg/min</t>
        </r>
      </text>
    </comment>
    <comment ref="M6" authorId="0" shapeId="0" xr:uid="{00000000-0006-0000-0300-000007000000}">
      <text>
        <r>
          <rPr>
            <sz val="9"/>
            <color indexed="81"/>
            <rFont val="Geneva"/>
            <family val="2"/>
          </rPr>
          <t>Unit=mg/Kg/min</t>
        </r>
      </text>
    </comment>
    <comment ref="N6" authorId="0" shapeId="0" xr:uid="{00000000-0006-0000-0300-000008000000}">
      <text>
        <r>
          <rPr>
            <sz val="9"/>
            <color indexed="81"/>
            <rFont val="Geneva"/>
            <family val="2"/>
          </rPr>
          <t xml:space="preserve">alternative formula (from raw counts): 71.245/((645/1.21)/106.5))  Unit= mg/kg/min              </t>
        </r>
      </text>
    </comment>
    <comment ref="Q6" authorId="0" shapeId="0" xr:uid="{00000000-0006-0000-0300-000009000000}">
      <text>
        <r>
          <rPr>
            <sz val="9"/>
            <color indexed="81"/>
            <rFont val="Geneva"/>
            <family val="2"/>
          </rPr>
          <t>Oxid glu (Gdis)= (4.57 ml/mg *VCO2 ml/min) - (3.23 ml/mg *VO2 ml/min)-(2.6 ml/mg * 7 mg/min)</t>
        </r>
      </text>
    </comment>
    <comment ref="R6" authorId="0" shapeId="0" xr:uid="{00000000-0006-0000-0300-00000A000000}">
      <text>
        <r>
          <rPr>
            <sz val="9"/>
            <color indexed="81"/>
            <rFont val="Geneva"/>
            <family val="2"/>
          </rPr>
          <t>RA=oxid+non-oxid glucose metabolism;                           non-oxid=RA (or M)-oxid</t>
        </r>
      </text>
    </comment>
    <comment ref="M41" authorId="0" shapeId="0" xr:uid="{00000000-0006-0000-0300-00000B000000}">
      <text>
        <r>
          <rPr>
            <sz val="9"/>
            <color indexed="81"/>
            <rFont val="Geneva"/>
            <family val="2"/>
          </rPr>
          <t>IR (counts per min)= theoretically 1uCi=2.223.000 counts; as IR was 0.25uCi /min ≈ 1/4 of above (≈550.000).</t>
        </r>
      </text>
    </comment>
    <comment ref="E45" authorId="0" shapeId="0" xr:uid="{00000000-0006-0000-0300-00000C000000}">
      <text>
        <r>
          <rPr>
            <sz val="9"/>
            <color indexed="81"/>
            <rFont val="Geneva"/>
            <family val="2"/>
          </rPr>
          <t>623 dpm/139 ul plasma (x 7.15 for 1000ul or 1ml) / or 623 dpm/700 ul of s'n taken from the 2000/"400 plasma" ul Zn/Ba mix / or (623 x 2.86= ≈1800/2000 s'n)... so ≈1800 x 2.5= ≈4500</t>
        </r>
      </text>
    </comment>
    <comment ref="G45" authorId="0" shapeId="0" xr:uid="{00000000-0006-0000-0300-00000D000000}">
      <text>
        <r>
          <rPr>
            <sz val="9"/>
            <color indexed="81"/>
            <rFont val="Geneva"/>
            <family val="2"/>
          </rPr>
          <t>(dpm(c)/700ul s'n) * 2000s'n /.4 plasma (40% of 1ml).......  and should be divided by the correction factor corresponding to % recovery which in this case we asume to be 1 (100%) as it is the same for plasma samples and infusates.</t>
        </r>
      </text>
    </comment>
    <comment ref="J45" authorId="0" shapeId="0" xr:uid="{00000000-0006-0000-0300-00000E000000}">
      <text>
        <r>
          <rPr>
            <sz val="9"/>
            <color indexed="81"/>
            <rFont val="Geneva"/>
            <family val="2"/>
          </rPr>
          <t>1. Ra= f (IR-dpm inf)/plasma glu mg%/wt (kg)                    2. Insulin not given until time +60', so Ra calculated the same as baseline for this period (as above).          Unit= mg/kg/min</t>
        </r>
      </text>
    </comment>
    <comment ref="M45" authorId="0" shapeId="0" xr:uid="{00000000-0006-0000-0300-00000F000000}">
      <text>
        <r>
          <rPr>
            <sz val="9"/>
            <color indexed="81"/>
            <rFont val="Geneva"/>
            <family val="2"/>
          </rPr>
          <t>Unit=mg/Kg/min</t>
        </r>
      </text>
    </comment>
    <comment ref="N45" authorId="0" shapeId="0" xr:uid="{00000000-0006-0000-0300-000010000000}">
      <text>
        <r>
          <rPr>
            <sz val="9"/>
            <color indexed="81"/>
            <rFont val="Geneva"/>
            <family val="2"/>
          </rPr>
          <t xml:space="preserve">alternative formula (from raw counts): 71.245/((645/1.21)/106.5))  Unit= mg/kg/min              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</authors>
  <commentList>
    <comment ref="N1" authorId="0" shapeId="0" xr:uid="{00000000-0006-0000-0400-000001000000}">
      <text>
        <r>
          <rPr>
            <sz val="9"/>
            <color indexed="81"/>
            <rFont val="Geneva"/>
            <family val="2"/>
          </rPr>
          <t xml:space="preserve">mean dpm of infusate that is measured DIRECTLY without Somogyi (usually 300,000 dpm)
</t>
        </r>
      </text>
    </comment>
    <comment ref="M2" authorId="0" shapeId="0" xr:uid="{00000000-0006-0000-0400-000002000000}">
      <text>
        <r>
          <rPr>
            <sz val="9"/>
            <color indexed="81"/>
            <rFont val="Geneva"/>
            <family val="2"/>
          </rPr>
          <t>IR (counts per min)= theoretically 1uCi=2.223.000 counts; as IR was 0.25uCi /min ≈ 1/4 of above (≈550.000).</t>
        </r>
      </text>
    </comment>
    <comment ref="O3" authorId="0" shapeId="0" xr:uid="{00000000-0006-0000-0400-000003000000}">
      <text>
        <r>
          <rPr>
            <sz val="9"/>
            <color indexed="81"/>
            <rFont val="Geneva"/>
            <family val="2"/>
          </rPr>
          <t xml:space="preserve">INFUSATE that undergoes SOMOGYI (~120,000 - usually 4 values)
mean dpm counted on 50 ul of infusate x 2.86 (to bring up 700ul to 2000ul=50 of original infusate) </t>
        </r>
      </text>
    </comment>
    <comment ref="E6" authorId="0" shapeId="0" xr:uid="{00000000-0006-0000-0400-000004000000}">
      <text>
        <r>
          <rPr>
            <sz val="9"/>
            <color indexed="81"/>
            <rFont val="Geneva"/>
            <family val="2"/>
          </rPr>
          <t>623 dpm/139 ul plasma (x 7.15 for 1000ul or 1ml) / or 623 dpm/700 ul of s'n taken from the 2000/"400 plasma" ul Zn/Ba mix / or (623 x 2.86= ≈1800/2000 s'n)... so ≈1800 x 2.5= ≈4500</t>
        </r>
      </text>
    </comment>
    <comment ref="G6" authorId="0" shapeId="0" xr:uid="{00000000-0006-0000-0400-000005000000}">
      <text>
        <r>
          <rPr>
            <sz val="9"/>
            <color indexed="81"/>
            <rFont val="Geneva"/>
            <family val="2"/>
          </rPr>
          <t>(dpm(c)/700ul s'n) * 2000s'n /.4 plasma (40% of 1ml).......  and should be divided by the correction factor corresponding to % recovery which in this case we asume to be 1 (100%) as it is the same for plasma samples and infusates.</t>
        </r>
      </text>
    </comment>
    <comment ref="J6" authorId="0" shapeId="0" xr:uid="{00000000-0006-0000-0400-000006000000}">
      <text>
        <r>
          <rPr>
            <sz val="9"/>
            <color indexed="81"/>
            <rFont val="Geneva"/>
            <family val="2"/>
          </rPr>
          <t>1. Ra= f (IR-dpm inf)/plasma glu mg%/wt (kg)                    2. Insulin not given until time +60', so Ra calculated the same as baseline for this period (as above).          Unit= mg/kg/min</t>
        </r>
      </text>
    </comment>
    <comment ref="M6" authorId="0" shapeId="0" xr:uid="{00000000-0006-0000-0400-000007000000}">
      <text>
        <r>
          <rPr>
            <sz val="9"/>
            <color indexed="81"/>
            <rFont val="Geneva"/>
            <family val="2"/>
          </rPr>
          <t>Unit=mg/Kg/min</t>
        </r>
      </text>
    </comment>
    <comment ref="N6" authorId="0" shapeId="0" xr:uid="{00000000-0006-0000-0400-000008000000}">
      <text>
        <r>
          <rPr>
            <sz val="9"/>
            <color indexed="81"/>
            <rFont val="Geneva"/>
            <family val="2"/>
          </rPr>
          <t xml:space="preserve">alternative formula (from raw counts): 71.245/((645/1.21)/106.5))  Unit= mg/kg/min              </t>
        </r>
      </text>
    </comment>
    <comment ref="Q6" authorId="0" shapeId="0" xr:uid="{00000000-0006-0000-0400-000009000000}">
      <text>
        <r>
          <rPr>
            <sz val="9"/>
            <color indexed="81"/>
            <rFont val="Geneva"/>
            <family val="2"/>
          </rPr>
          <t>Oxid glu (Gdis)= (4.57 ml/mg *VCO2 ml/min) - (3.23 ml/mg *VO2 ml/min)-(2.6 ml/mg * 7 mg/min)</t>
        </r>
      </text>
    </comment>
    <comment ref="R6" authorId="0" shapeId="0" xr:uid="{00000000-0006-0000-0400-00000A000000}">
      <text>
        <r>
          <rPr>
            <sz val="9"/>
            <color indexed="81"/>
            <rFont val="Geneva"/>
            <family val="2"/>
          </rPr>
          <t>RA=oxid+non-oxid glucose metabolism;                           non-oxid=RA (or M)-oxid</t>
        </r>
      </text>
    </comment>
    <comment ref="M41" authorId="0" shapeId="0" xr:uid="{00000000-0006-0000-0400-00000B000000}">
      <text>
        <r>
          <rPr>
            <sz val="9"/>
            <color indexed="81"/>
            <rFont val="Geneva"/>
            <family val="2"/>
          </rPr>
          <t>IR (counts per min)= theoretically 1uCi=2.223.000 counts; as IR was 0.25uCi /min ≈ 1/4 of above (≈550.000).</t>
        </r>
      </text>
    </comment>
    <comment ref="E45" authorId="0" shapeId="0" xr:uid="{00000000-0006-0000-0400-00000C000000}">
      <text>
        <r>
          <rPr>
            <sz val="9"/>
            <color indexed="81"/>
            <rFont val="Geneva"/>
            <family val="2"/>
          </rPr>
          <t>623 dpm/139 ul plasma (x 7.15 for 1000ul or 1ml) / or 623 dpm/700 ul of s'n taken from the 2000/"400 plasma" ul Zn/Ba mix / or (623 x 2.86= ≈1800/2000 s'n)... so ≈1800 x 2.5= ≈4500</t>
        </r>
      </text>
    </comment>
    <comment ref="G45" authorId="0" shapeId="0" xr:uid="{00000000-0006-0000-0400-00000D000000}">
      <text>
        <r>
          <rPr>
            <sz val="9"/>
            <color indexed="81"/>
            <rFont val="Geneva"/>
            <family val="2"/>
          </rPr>
          <t>(dpm(c)/700ul s'n) * 2000s'n /.4 plasma (40% of 1ml).......  and should be divided by the correction factor corresponding to % recovery which in this case we asume to be 1 (100%) as it is the same for plasma samples and infusates.</t>
        </r>
      </text>
    </comment>
    <comment ref="J45" authorId="0" shapeId="0" xr:uid="{00000000-0006-0000-0400-00000E000000}">
      <text>
        <r>
          <rPr>
            <sz val="9"/>
            <color indexed="81"/>
            <rFont val="Geneva"/>
            <family val="2"/>
          </rPr>
          <t>1. Ra= f (IR-dpm inf)/plasma glu mg%/wt (kg)                    2. Insulin not given until time +60', so Ra calculated the same as baseline for this period (as above).          Unit= mg/kg/min</t>
        </r>
      </text>
    </comment>
    <comment ref="M45" authorId="0" shapeId="0" xr:uid="{00000000-0006-0000-0400-00000F000000}">
      <text>
        <r>
          <rPr>
            <sz val="9"/>
            <color indexed="81"/>
            <rFont val="Geneva"/>
            <family val="2"/>
          </rPr>
          <t>Unit=mg/Kg/min</t>
        </r>
      </text>
    </comment>
    <comment ref="N45" authorId="0" shapeId="0" xr:uid="{00000000-0006-0000-0400-000010000000}">
      <text>
        <r>
          <rPr>
            <sz val="9"/>
            <color indexed="81"/>
            <rFont val="Geneva"/>
            <family val="2"/>
          </rPr>
          <t xml:space="preserve">alternative formula (from raw counts): 71.245/((645/1.21)/106.5))  Unit= mg/kg/min             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</authors>
  <commentList>
    <comment ref="N1" authorId="0" shapeId="0" xr:uid="{00000000-0006-0000-0500-000001000000}">
      <text>
        <r>
          <rPr>
            <sz val="9"/>
            <color indexed="81"/>
            <rFont val="Geneva"/>
            <family val="2"/>
          </rPr>
          <t xml:space="preserve">mean dpm of infusate that is measured DIRECTLY without Somogyi (usually 300,000 dpm)
</t>
        </r>
      </text>
    </comment>
    <comment ref="M2" authorId="0" shapeId="0" xr:uid="{00000000-0006-0000-0500-000002000000}">
      <text>
        <r>
          <rPr>
            <sz val="9"/>
            <color indexed="81"/>
            <rFont val="Geneva"/>
            <family val="2"/>
          </rPr>
          <t>IR (counts per min)= theoretically 1uCi=2.223.000 counts; as IR was 0.25uCi /min ≈ 1/4 of above (≈550.000).</t>
        </r>
      </text>
    </comment>
    <comment ref="O3" authorId="0" shapeId="0" xr:uid="{00000000-0006-0000-0500-000003000000}">
      <text>
        <r>
          <rPr>
            <sz val="9"/>
            <color indexed="81"/>
            <rFont val="Geneva"/>
            <family val="2"/>
          </rPr>
          <t xml:space="preserve">INFUSATE that undergoes SOMOGYI (~120,000 - usually 4 values)
mean dpm counted on 50 ul of infusate x 2.86 (to bring up 700ul to 2000ul=50 of original infusate) </t>
        </r>
      </text>
    </comment>
    <comment ref="E6" authorId="0" shapeId="0" xr:uid="{00000000-0006-0000-0500-000004000000}">
      <text>
        <r>
          <rPr>
            <sz val="9"/>
            <color indexed="81"/>
            <rFont val="Geneva"/>
            <family val="2"/>
          </rPr>
          <t>623 dpm/139 ul plasma (x 7.15 for 1000ul or 1ml) / or 623 dpm/700 ul of s'n taken from the 2000/"400 plasma" ul Zn/Ba mix / or (623 x 2.86= ≈1800/2000 s'n)... so ≈1800 x 2.5= ≈4500</t>
        </r>
      </text>
    </comment>
    <comment ref="G6" authorId="0" shapeId="0" xr:uid="{00000000-0006-0000-0500-000005000000}">
      <text>
        <r>
          <rPr>
            <sz val="9"/>
            <color indexed="81"/>
            <rFont val="Geneva"/>
            <family val="2"/>
          </rPr>
          <t>(dpm(c)/700ul s'n) * 2000s'n /.4 plasma (40% of 1ml).......  and should be divided by the correction factor corresponding to % recovery which in this case we asume to be 1 (100%) as it is the same for plasma samples and infusates.</t>
        </r>
      </text>
    </comment>
    <comment ref="J6" authorId="0" shapeId="0" xr:uid="{00000000-0006-0000-0500-000006000000}">
      <text>
        <r>
          <rPr>
            <sz val="9"/>
            <color indexed="81"/>
            <rFont val="Geneva"/>
            <family val="2"/>
          </rPr>
          <t>1. Ra= f (IR-dpm inf)/plasma glu mg%/wt (kg)                    2. Insulin not given until time +60', so Ra calculated the same as baseline for this period (as above).          Unit= mg/kg/min</t>
        </r>
      </text>
    </comment>
    <comment ref="M6" authorId="0" shapeId="0" xr:uid="{00000000-0006-0000-0500-000007000000}">
      <text>
        <r>
          <rPr>
            <sz val="9"/>
            <color indexed="81"/>
            <rFont val="Geneva"/>
            <family val="2"/>
          </rPr>
          <t>Unit=mg/Kg/min</t>
        </r>
      </text>
    </comment>
    <comment ref="N6" authorId="0" shapeId="0" xr:uid="{00000000-0006-0000-0500-000008000000}">
      <text>
        <r>
          <rPr>
            <sz val="9"/>
            <color indexed="81"/>
            <rFont val="Geneva"/>
            <family val="2"/>
          </rPr>
          <t xml:space="preserve">alternative formula (from raw counts): 71.245/((645/1.21)/106.5))  Unit= mg/kg/min              </t>
        </r>
      </text>
    </comment>
    <comment ref="Q6" authorId="0" shapeId="0" xr:uid="{00000000-0006-0000-0500-000009000000}">
      <text>
        <r>
          <rPr>
            <sz val="9"/>
            <color indexed="81"/>
            <rFont val="Geneva"/>
            <family val="2"/>
          </rPr>
          <t>Oxid glu (Gdis)= (4.57 ml/mg *VCO2 ml/min) - (3.23 ml/mg *VO2 ml/min)-(2.6 ml/mg * 7 mg/min)</t>
        </r>
      </text>
    </comment>
    <comment ref="R6" authorId="0" shapeId="0" xr:uid="{00000000-0006-0000-0500-00000A000000}">
      <text>
        <r>
          <rPr>
            <sz val="9"/>
            <color indexed="81"/>
            <rFont val="Geneva"/>
            <family val="2"/>
          </rPr>
          <t>RA=oxid+non-oxid glucose metabolism;                           non-oxid=RA (or M)-oxid</t>
        </r>
      </text>
    </comment>
    <comment ref="M41" authorId="0" shapeId="0" xr:uid="{00000000-0006-0000-0500-00000B000000}">
      <text>
        <r>
          <rPr>
            <sz val="9"/>
            <color indexed="81"/>
            <rFont val="Geneva"/>
            <family val="2"/>
          </rPr>
          <t>IR (counts per min)= theoretically 1uCi=2.223.000 counts; as IR was 0.25uCi /min ≈ 1/4 of above (≈550.000).</t>
        </r>
      </text>
    </comment>
    <comment ref="E45" authorId="0" shapeId="0" xr:uid="{00000000-0006-0000-0500-00000C000000}">
      <text>
        <r>
          <rPr>
            <sz val="9"/>
            <color indexed="81"/>
            <rFont val="Geneva"/>
            <family val="2"/>
          </rPr>
          <t>623 dpm/139 ul plasma (x 7.15 for 1000ul or 1ml) / or 623 dpm/700 ul of s'n taken from the 2000/"400 plasma" ul Zn/Ba mix / or (623 x 2.86= ≈1800/2000 s'n)... so ≈1800 x 2.5= ≈4500</t>
        </r>
      </text>
    </comment>
    <comment ref="G45" authorId="0" shapeId="0" xr:uid="{00000000-0006-0000-0500-00000D000000}">
      <text>
        <r>
          <rPr>
            <sz val="9"/>
            <color indexed="81"/>
            <rFont val="Geneva"/>
            <family val="2"/>
          </rPr>
          <t>(dpm(c)/700ul s'n) * 2000s'n /.4 plasma (40% of 1ml).......  and should be divided by the correction factor corresponding to % recovery which in this case we asume to be 1 (100%) as it is the same for plasma samples and infusates.</t>
        </r>
      </text>
    </comment>
    <comment ref="J45" authorId="0" shapeId="0" xr:uid="{00000000-0006-0000-0500-00000E000000}">
      <text>
        <r>
          <rPr>
            <sz val="9"/>
            <color indexed="81"/>
            <rFont val="Geneva"/>
            <family val="2"/>
          </rPr>
          <t>1. Ra= f (IR-dpm inf)/plasma glu mg%/wt (kg)                    2. Insulin not given until time +60', so Ra calculated the same as baseline for this period (as above).          Unit= mg/kg/min</t>
        </r>
      </text>
    </comment>
    <comment ref="M45" authorId="0" shapeId="0" xr:uid="{00000000-0006-0000-0500-00000F000000}">
      <text>
        <r>
          <rPr>
            <sz val="9"/>
            <color indexed="81"/>
            <rFont val="Geneva"/>
            <family val="2"/>
          </rPr>
          <t>Unit=mg/Kg/min</t>
        </r>
      </text>
    </comment>
    <comment ref="N45" authorId="0" shapeId="0" xr:uid="{00000000-0006-0000-0500-000010000000}">
      <text>
        <r>
          <rPr>
            <sz val="9"/>
            <color indexed="81"/>
            <rFont val="Geneva"/>
            <family val="2"/>
          </rPr>
          <t xml:space="preserve">alternative formula (from raw counts): 71.245/((645/1.21)/106.5))  Unit= mg/kg/min              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</authors>
  <commentList>
    <comment ref="N1" authorId="0" shapeId="0" xr:uid="{00000000-0006-0000-0600-000001000000}">
      <text>
        <r>
          <rPr>
            <sz val="9"/>
            <color indexed="81"/>
            <rFont val="Geneva"/>
            <family val="2"/>
          </rPr>
          <t xml:space="preserve">mean dpm of infusate that is measured DIRECTLY without Somogyi (usually 300,000 dpm)
</t>
        </r>
      </text>
    </comment>
    <comment ref="M2" authorId="0" shapeId="0" xr:uid="{00000000-0006-0000-0600-000002000000}">
      <text>
        <r>
          <rPr>
            <sz val="9"/>
            <color indexed="81"/>
            <rFont val="Geneva"/>
            <family val="2"/>
          </rPr>
          <t>IR (counts per min)= theoretically 1uCi=2.223.000 counts; as IR was 0.25uCi /min ≈ 1/4 of above (≈550.000).</t>
        </r>
      </text>
    </comment>
    <comment ref="O3" authorId="0" shapeId="0" xr:uid="{00000000-0006-0000-0600-000003000000}">
      <text>
        <r>
          <rPr>
            <sz val="9"/>
            <color indexed="81"/>
            <rFont val="Geneva"/>
            <family val="2"/>
          </rPr>
          <t xml:space="preserve">INFUSATE that undergoes SOMOGYI (~120,000 - usually 4 values)
mean dpm counted on 50 ul of infusate x 2.86 (to bring up 700ul to 2000ul=50 of original infusate) </t>
        </r>
      </text>
    </comment>
    <comment ref="E6" authorId="0" shapeId="0" xr:uid="{00000000-0006-0000-0600-000004000000}">
      <text>
        <r>
          <rPr>
            <sz val="9"/>
            <color indexed="81"/>
            <rFont val="Geneva"/>
            <family val="2"/>
          </rPr>
          <t>623 dpm/139 ul plasma (x 7.15 for 1000ul or 1ml) / or 623 dpm/700 ul of s'n taken from the 2000/"400 plasma" ul Zn/Ba mix / or (623 x 2.86= ≈1800/2000 s'n)... so ≈1800 x 2.5= ≈4500</t>
        </r>
      </text>
    </comment>
    <comment ref="G6" authorId="0" shapeId="0" xr:uid="{00000000-0006-0000-0600-000005000000}">
      <text>
        <r>
          <rPr>
            <sz val="9"/>
            <color indexed="81"/>
            <rFont val="Geneva"/>
            <family val="2"/>
          </rPr>
          <t>(dpm(c)/700ul s'n) * 2000s'n /.4 plasma (40% of 1ml).......  and should be divided by the correction factor corresponding to % recovery which in this case we asume to be 1 (100%) as it is the same for plasma samples and infusates.</t>
        </r>
      </text>
    </comment>
    <comment ref="J6" authorId="0" shapeId="0" xr:uid="{00000000-0006-0000-0600-000006000000}">
      <text>
        <r>
          <rPr>
            <sz val="9"/>
            <color indexed="81"/>
            <rFont val="Geneva"/>
            <family val="2"/>
          </rPr>
          <t>1. Ra= f (IR-dpm inf)/plasma glu mg%/wt (kg)                    2. Insulin not given until time +60', so Ra calculated the same as baseline for this period (as above).          Unit= mg/kg/min</t>
        </r>
      </text>
    </comment>
    <comment ref="M6" authorId="0" shapeId="0" xr:uid="{00000000-0006-0000-0600-000007000000}">
      <text>
        <r>
          <rPr>
            <sz val="9"/>
            <color indexed="81"/>
            <rFont val="Geneva"/>
            <family val="2"/>
          </rPr>
          <t>Unit=mg/Kg/min</t>
        </r>
      </text>
    </comment>
    <comment ref="N6" authorId="0" shapeId="0" xr:uid="{00000000-0006-0000-0600-000008000000}">
      <text>
        <r>
          <rPr>
            <sz val="9"/>
            <color indexed="81"/>
            <rFont val="Geneva"/>
            <family val="2"/>
          </rPr>
          <t xml:space="preserve">alternative formula (from raw counts): 71.245/((645/1.21)/106.5))  Unit= mg/kg/min              </t>
        </r>
      </text>
    </comment>
    <comment ref="Q6" authorId="0" shapeId="0" xr:uid="{00000000-0006-0000-0600-000009000000}">
      <text>
        <r>
          <rPr>
            <sz val="9"/>
            <color indexed="81"/>
            <rFont val="Geneva"/>
            <family val="2"/>
          </rPr>
          <t>Oxid glu (Gdis)= (4.57 ml/mg *VCO2 ml/min) - (3.23 ml/mg *VO2 ml/min)-(2.6 ml/mg * 7 mg/min)</t>
        </r>
      </text>
    </comment>
    <comment ref="R6" authorId="0" shapeId="0" xr:uid="{00000000-0006-0000-0600-00000A000000}">
      <text>
        <r>
          <rPr>
            <sz val="9"/>
            <color indexed="81"/>
            <rFont val="Geneva"/>
            <family val="2"/>
          </rPr>
          <t>RA=oxid+non-oxid glucose metabolism;                           non-oxid=RA (or M)-oxid</t>
        </r>
      </text>
    </comment>
    <comment ref="M41" authorId="0" shapeId="0" xr:uid="{00000000-0006-0000-0600-00000B000000}">
      <text>
        <r>
          <rPr>
            <sz val="9"/>
            <color indexed="81"/>
            <rFont val="Geneva"/>
            <family val="2"/>
          </rPr>
          <t>IR (counts per min)= theoretically 1uCi=2.223.000 counts; as IR was 0.25uCi /min ≈ 1/4 of above (≈550.000).</t>
        </r>
      </text>
    </comment>
    <comment ref="E45" authorId="0" shapeId="0" xr:uid="{00000000-0006-0000-0600-00000C000000}">
      <text>
        <r>
          <rPr>
            <sz val="9"/>
            <color indexed="81"/>
            <rFont val="Geneva"/>
            <family val="2"/>
          </rPr>
          <t>623 dpm/139 ul plasma (x 7.15 for 1000ul or 1ml) / or 623 dpm/700 ul of s'n taken from the 2000/"400 plasma" ul Zn/Ba mix / or (623 x 2.86= ≈1800/2000 s'n)... so ≈1800 x 2.5= ≈4500</t>
        </r>
      </text>
    </comment>
    <comment ref="G45" authorId="0" shapeId="0" xr:uid="{00000000-0006-0000-0600-00000D000000}">
      <text>
        <r>
          <rPr>
            <sz val="9"/>
            <color indexed="81"/>
            <rFont val="Geneva"/>
            <family val="2"/>
          </rPr>
          <t>(dpm(c)/700ul s'n) * 2000s'n /.4 plasma (40% of 1ml).......  and should be divided by the correction factor corresponding to % recovery which in this case we asume to be 1 (100%) as it is the same for plasma samples and infusates.</t>
        </r>
      </text>
    </comment>
    <comment ref="J45" authorId="0" shapeId="0" xr:uid="{00000000-0006-0000-0600-00000E000000}">
      <text>
        <r>
          <rPr>
            <sz val="9"/>
            <color indexed="81"/>
            <rFont val="Geneva"/>
            <family val="2"/>
          </rPr>
          <t>1. Ra= f (IR-dpm inf)/plasma glu mg%/wt (kg)                    2. Insulin not given until time +60', so Ra calculated the same as baseline for this period (as above).          Unit= mg/kg/min</t>
        </r>
      </text>
    </comment>
    <comment ref="M45" authorId="0" shapeId="0" xr:uid="{00000000-0006-0000-0600-00000F000000}">
      <text>
        <r>
          <rPr>
            <sz val="9"/>
            <color indexed="81"/>
            <rFont val="Geneva"/>
            <family val="2"/>
          </rPr>
          <t>Unit=mg/Kg/min</t>
        </r>
      </text>
    </comment>
    <comment ref="N45" authorId="0" shapeId="0" xr:uid="{00000000-0006-0000-0600-000010000000}">
      <text>
        <r>
          <rPr>
            <sz val="9"/>
            <color indexed="81"/>
            <rFont val="Geneva"/>
            <family val="2"/>
          </rPr>
          <t xml:space="preserve">alternative formula (from raw counts): 71.245/((645/1.21)/106.5))  Unit= mg/kg/min              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</authors>
  <commentList>
    <comment ref="N1" authorId="0" shapeId="0" xr:uid="{00000000-0006-0000-0700-000001000000}">
      <text>
        <r>
          <rPr>
            <sz val="9"/>
            <color indexed="81"/>
            <rFont val="Geneva"/>
            <family val="2"/>
          </rPr>
          <t xml:space="preserve">mean dpm of infusate that is measured DIRECTLY without Somogyi (usually 300,000 dpm)
</t>
        </r>
      </text>
    </comment>
    <comment ref="M2" authorId="0" shapeId="0" xr:uid="{00000000-0006-0000-0700-000002000000}">
      <text>
        <r>
          <rPr>
            <sz val="9"/>
            <color indexed="81"/>
            <rFont val="Geneva"/>
            <family val="2"/>
          </rPr>
          <t>IR (counts per min)= theoretically 1uCi=2.223.000 counts; as IR was 0.25uCi /min ≈ 1/4 of above (≈550.000).</t>
        </r>
      </text>
    </comment>
    <comment ref="O3" authorId="0" shapeId="0" xr:uid="{00000000-0006-0000-0700-000003000000}">
      <text>
        <r>
          <rPr>
            <sz val="9"/>
            <color indexed="81"/>
            <rFont val="Geneva"/>
            <family val="2"/>
          </rPr>
          <t xml:space="preserve">INFUSATE that undergoes SOMOGYI (~120,000 - usually 4 values)
mean dpm counted on 50 ul of infusate x 2.86 (to bring up 700ul to 2000ul=50 of original infusate) </t>
        </r>
      </text>
    </comment>
    <comment ref="E6" authorId="0" shapeId="0" xr:uid="{00000000-0006-0000-0700-000004000000}">
      <text>
        <r>
          <rPr>
            <sz val="9"/>
            <color indexed="81"/>
            <rFont val="Geneva"/>
            <family val="2"/>
          </rPr>
          <t>623 dpm/139 ul plasma (x 7.15 for 1000ul or 1ml) / or 623 dpm/700 ul of s'n taken from the 2000/"400 plasma" ul Zn/Ba mix / or (623 x 2.86= ≈1800/2000 s'n)... so ≈1800 x 2.5= ≈4500</t>
        </r>
      </text>
    </comment>
    <comment ref="G6" authorId="0" shapeId="0" xr:uid="{00000000-0006-0000-0700-000005000000}">
      <text>
        <r>
          <rPr>
            <sz val="9"/>
            <color indexed="81"/>
            <rFont val="Geneva"/>
            <family val="2"/>
          </rPr>
          <t>(dpm(c)/700ul s'n) * 2000s'n /.4 plasma (40% of 1ml).......  and should be divided by the correction factor corresponding to % recovery which in this case we asume to be 1 (100%) as it is the same for plasma samples and infusates.</t>
        </r>
      </text>
    </comment>
    <comment ref="J6" authorId="0" shapeId="0" xr:uid="{00000000-0006-0000-0700-000006000000}">
      <text>
        <r>
          <rPr>
            <sz val="9"/>
            <color indexed="81"/>
            <rFont val="Geneva"/>
            <family val="2"/>
          </rPr>
          <t>1. Ra= f (IR-dpm inf)/plasma glu mg%/wt (kg)                    2. Insulin not given until time +60', so Ra calculated the same as baseline for this period (as above).          Unit= mg/kg/min</t>
        </r>
      </text>
    </comment>
    <comment ref="M6" authorId="0" shapeId="0" xr:uid="{00000000-0006-0000-0700-000007000000}">
      <text>
        <r>
          <rPr>
            <sz val="9"/>
            <color indexed="81"/>
            <rFont val="Geneva"/>
            <family val="2"/>
          </rPr>
          <t>Unit=mg/Kg/min</t>
        </r>
      </text>
    </comment>
    <comment ref="N6" authorId="0" shapeId="0" xr:uid="{00000000-0006-0000-0700-000008000000}">
      <text>
        <r>
          <rPr>
            <sz val="9"/>
            <color indexed="81"/>
            <rFont val="Geneva"/>
            <family val="2"/>
          </rPr>
          <t xml:space="preserve">alternative formula (from raw counts): 71.245/((645/1.21)/106.5))  Unit= mg/kg/min              </t>
        </r>
      </text>
    </comment>
    <comment ref="Q6" authorId="0" shapeId="0" xr:uid="{00000000-0006-0000-0700-000009000000}">
      <text>
        <r>
          <rPr>
            <sz val="9"/>
            <color indexed="81"/>
            <rFont val="Geneva"/>
            <family val="2"/>
          </rPr>
          <t>Oxid glu (Gdis)= (4.57 ml/mg *VCO2 ml/min) - (3.23 ml/mg *VO2 ml/min)-(2.6 ml/mg * 7 mg/min)</t>
        </r>
      </text>
    </comment>
    <comment ref="R6" authorId="0" shapeId="0" xr:uid="{00000000-0006-0000-0700-00000A000000}">
      <text>
        <r>
          <rPr>
            <sz val="9"/>
            <color indexed="81"/>
            <rFont val="Geneva"/>
            <family val="2"/>
          </rPr>
          <t>RA=oxid+non-oxid glucose metabolism;                           non-oxid=RA (or M)-oxid</t>
        </r>
      </text>
    </comment>
    <comment ref="M41" authorId="0" shapeId="0" xr:uid="{00000000-0006-0000-0700-00000B000000}">
      <text>
        <r>
          <rPr>
            <sz val="9"/>
            <color indexed="81"/>
            <rFont val="Geneva"/>
            <family val="2"/>
          </rPr>
          <t>IR (counts per min)= theoretically 1uCi=2.223.000 counts; as IR was 0.25uCi /min ≈ 1/4 of above (≈550.000).</t>
        </r>
      </text>
    </comment>
    <comment ref="E45" authorId="0" shapeId="0" xr:uid="{00000000-0006-0000-0700-00000C000000}">
      <text>
        <r>
          <rPr>
            <sz val="9"/>
            <color indexed="81"/>
            <rFont val="Geneva"/>
            <family val="2"/>
          </rPr>
          <t>623 dpm/139 ul plasma (x 7.15 for 1000ul or 1ml) / or 623 dpm/700 ul of s'n taken from the 2000/"400 plasma" ul Zn/Ba mix / or (623 x 2.86= ≈1800/2000 s'n)... so ≈1800 x 2.5= ≈4500</t>
        </r>
      </text>
    </comment>
    <comment ref="G45" authorId="0" shapeId="0" xr:uid="{00000000-0006-0000-0700-00000D000000}">
      <text>
        <r>
          <rPr>
            <sz val="9"/>
            <color indexed="81"/>
            <rFont val="Geneva"/>
            <family val="2"/>
          </rPr>
          <t>(dpm(c)/700ul s'n) * 2000s'n /.4 plasma (40% of 1ml).......  and should be divided by the correction factor corresponding to % recovery which in this case we asume to be 1 (100%) as it is the same for plasma samples and infusates.</t>
        </r>
      </text>
    </comment>
    <comment ref="J45" authorId="0" shapeId="0" xr:uid="{00000000-0006-0000-0700-00000E000000}">
      <text>
        <r>
          <rPr>
            <sz val="9"/>
            <color indexed="81"/>
            <rFont val="Geneva"/>
            <family val="2"/>
          </rPr>
          <t>1. Ra= f (IR-dpm inf)/plasma glu mg%/wt (kg)                    2. Insulin not given until time +60', so Ra calculated the same as baseline for this period (as above).          Unit= mg/kg/min</t>
        </r>
      </text>
    </comment>
    <comment ref="M45" authorId="0" shapeId="0" xr:uid="{00000000-0006-0000-0700-00000F000000}">
      <text>
        <r>
          <rPr>
            <sz val="9"/>
            <color indexed="81"/>
            <rFont val="Geneva"/>
            <family val="2"/>
          </rPr>
          <t>Unit=mg/Kg/min</t>
        </r>
      </text>
    </comment>
    <comment ref="N45" authorId="0" shapeId="0" xr:uid="{00000000-0006-0000-0700-000010000000}">
      <text>
        <r>
          <rPr>
            <sz val="9"/>
            <color indexed="81"/>
            <rFont val="Geneva"/>
            <family val="2"/>
          </rPr>
          <t xml:space="preserve">alternative formula (from raw counts): 71.245/((645/1.21)/106.5))  Unit= mg/kg/min              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</authors>
  <commentList>
    <comment ref="N1" authorId="0" shapeId="0" xr:uid="{00000000-0006-0000-0800-000001000000}">
      <text>
        <r>
          <rPr>
            <sz val="9"/>
            <color indexed="81"/>
            <rFont val="Geneva"/>
            <family val="2"/>
          </rPr>
          <t xml:space="preserve">mean dpm of infusate that is measured DIRECTLY without Somogyi (usually 300,000 dpm)
</t>
        </r>
      </text>
    </comment>
    <comment ref="M2" authorId="0" shapeId="0" xr:uid="{00000000-0006-0000-0800-000002000000}">
      <text>
        <r>
          <rPr>
            <sz val="9"/>
            <color indexed="81"/>
            <rFont val="Geneva"/>
            <family val="2"/>
          </rPr>
          <t>IR (counts per min)= theoretically 1uCi=2.223.000 counts; as IR was 0.25uCi /min ≈ 1/4 of above (≈550.000).</t>
        </r>
      </text>
    </comment>
    <comment ref="O3" authorId="0" shapeId="0" xr:uid="{00000000-0006-0000-0800-000003000000}">
      <text>
        <r>
          <rPr>
            <sz val="9"/>
            <color indexed="81"/>
            <rFont val="Geneva"/>
            <family val="2"/>
          </rPr>
          <t xml:space="preserve">INFUSATE that undergoes SOMOGYI (~120,000 - usually 4 values)
mean dpm counted on 50 ul of infusate x 2.86 (to bring up 700ul to 2000ul=50 of original infusate) </t>
        </r>
      </text>
    </comment>
    <comment ref="E6" authorId="0" shapeId="0" xr:uid="{00000000-0006-0000-0800-000004000000}">
      <text>
        <r>
          <rPr>
            <sz val="9"/>
            <color indexed="81"/>
            <rFont val="Geneva"/>
            <family val="2"/>
          </rPr>
          <t>623 dpm/139 ul plasma (x 7.15 for 1000ul or 1ml) / or 623 dpm/700 ul of s'n taken from the 2000/"400 plasma" ul Zn/Ba mix / or (623 x 2.86= ≈1800/2000 s'n)... so ≈1800 x 2.5= ≈4500</t>
        </r>
      </text>
    </comment>
    <comment ref="G6" authorId="0" shapeId="0" xr:uid="{00000000-0006-0000-0800-000005000000}">
      <text>
        <r>
          <rPr>
            <sz val="9"/>
            <color indexed="81"/>
            <rFont val="Geneva"/>
            <family val="2"/>
          </rPr>
          <t>(dpm(c)/700ul s'n) * 2000s'n /.4 plasma (40% of 1ml).......  and should be divided by the correction factor corresponding to % recovery which in this case we asume to be 1 (100%) as it is the same for plasma samples and infusates.</t>
        </r>
      </text>
    </comment>
    <comment ref="J6" authorId="0" shapeId="0" xr:uid="{00000000-0006-0000-0800-000006000000}">
      <text>
        <r>
          <rPr>
            <sz val="9"/>
            <color indexed="81"/>
            <rFont val="Geneva"/>
            <family val="2"/>
          </rPr>
          <t>1. Ra= f (IR-dpm inf)/plasma glu mg%/wt (kg)                    2. Insulin not given until time +60', so Ra calculated the same as baseline for this period (as above).          Unit= mg/kg/min</t>
        </r>
      </text>
    </comment>
    <comment ref="M6" authorId="0" shapeId="0" xr:uid="{00000000-0006-0000-0800-000007000000}">
      <text>
        <r>
          <rPr>
            <sz val="9"/>
            <color indexed="81"/>
            <rFont val="Geneva"/>
            <family val="2"/>
          </rPr>
          <t>Unit=mg/Kg/min</t>
        </r>
      </text>
    </comment>
    <comment ref="N6" authorId="0" shapeId="0" xr:uid="{00000000-0006-0000-0800-000008000000}">
      <text>
        <r>
          <rPr>
            <sz val="9"/>
            <color indexed="81"/>
            <rFont val="Geneva"/>
            <family val="2"/>
          </rPr>
          <t xml:space="preserve">alternative formula (from raw counts): 71.245/((645/1.21)/106.5))  Unit= mg/kg/min              </t>
        </r>
      </text>
    </comment>
    <comment ref="Q6" authorId="0" shapeId="0" xr:uid="{00000000-0006-0000-0800-000009000000}">
      <text>
        <r>
          <rPr>
            <sz val="9"/>
            <color indexed="81"/>
            <rFont val="Geneva"/>
            <family val="2"/>
          </rPr>
          <t>Oxid glu (Gdis)= (4.57 ml/mg *VCO2 ml/min) - (3.23 ml/mg *VO2 ml/min)-(2.6 ml/mg * 7 mg/min)</t>
        </r>
      </text>
    </comment>
    <comment ref="R6" authorId="0" shapeId="0" xr:uid="{00000000-0006-0000-0800-00000A000000}">
      <text>
        <r>
          <rPr>
            <sz val="9"/>
            <color indexed="81"/>
            <rFont val="Geneva"/>
            <family val="2"/>
          </rPr>
          <t>RA=oxid+non-oxid glucose metabolism;                           non-oxid=RA (or M)-oxid</t>
        </r>
      </text>
    </comment>
    <comment ref="M41" authorId="0" shapeId="0" xr:uid="{00000000-0006-0000-0800-00000B000000}">
      <text>
        <r>
          <rPr>
            <sz val="9"/>
            <color indexed="81"/>
            <rFont val="Geneva"/>
            <family val="2"/>
          </rPr>
          <t>IR (counts per min)= theoretically 1uCi=2.223.000 counts; as IR was 0.25uCi /min ≈ 1/4 of above (≈550.000).</t>
        </r>
      </text>
    </comment>
    <comment ref="E45" authorId="0" shapeId="0" xr:uid="{00000000-0006-0000-0800-00000C000000}">
      <text>
        <r>
          <rPr>
            <sz val="9"/>
            <color indexed="81"/>
            <rFont val="Geneva"/>
            <family val="2"/>
          </rPr>
          <t>623 dpm/139 ul plasma (x 7.15 for 1000ul or 1ml) / or 623 dpm/700 ul of s'n taken from the 2000/"400 plasma" ul Zn/Ba mix / or (623 x 2.86= ≈1800/2000 s'n)... so ≈1800 x 2.5= ≈4500</t>
        </r>
      </text>
    </comment>
    <comment ref="G45" authorId="0" shapeId="0" xr:uid="{00000000-0006-0000-0800-00000D000000}">
      <text>
        <r>
          <rPr>
            <sz val="9"/>
            <color indexed="81"/>
            <rFont val="Geneva"/>
            <family val="2"/>
          </rPr>
          <t>(dpm(c)/700ul s'n) * 2000s'n /.4 plasma (40% of 1ml).......  and should be divided by the correction factor corresponding to % recovery which in this case we asume to be 1 (100%) as it is the same for plasma samples and infusates.</t>
        </r>
      </text>
    </comment>
    <comment ref="J45" authorId="0" shapeId="0" xr:uid="{00000000-0006-0000-0800-00000E000000}">
      <text>
        <r>
          <rPr>
            <sz val="9"/>
            <color indexed="81"/>
            <rFont val="Geneva"/>
            <family val="2"/>
          </rPr>
          <t>1. Ra= f (IR-dpm inf)/plasma glu mg%/wt (kg)                    2. Insulin not given until time +60', so Ra calculated the same as baseline for this period (as above).          Unit= mg/kg/min</t>
        </r>
      </text>
    </comment>
    <comment ref="M45" authorId="0" shapeId="0" xr:uid="{00000000-0006-0000-0800-00000F000000}">
      <text>
        <r>
          <rPr>
            <sz val="9"/>
            <color indexed="81"/>
            <rFont val="Geneva"/>
            <family val="2"/>
          </rPr>
          <t>Unit=mg/Kg/min</t>
        </r>
      </text>
    </comment>
    <comment ref="N45" authorId="0" shapeId="0" xr:uid="{00000000-0006-0000-0800-000010000000}">
      <text>
        <r>
          <rPr>
            <sz val="9"/>
            <color indexed="81"/>
            <rFont val="Geneva"/>
            <family val="2"/>
          </rPr>
          <t xml:space="preserve">alternative formula (from raw counts): 71.245/((645/1.21)/106.5))  Unit= mg/kg/min              </t>
        </r>
      </text>
    </comment>
  </commentList>
</comments>
</file>

<file path=xl/sharedStrings.xml><?xml version="1.0" encoding="utf-8"?>
<sst xmlns="http://schemas.openxmlformats.org/spreadsheetml/2006/main" count="4310" uniqueCount="190">
  <si>
    <t>NAME:</t>
  </si>
  <si>
    <t>Gender</t>
  </si>
  <si>
    <t>Age</t>
  </si>
  <si>
    <t>D20 real conc</t>
  </si>
  <si>
    <t>Infusate/ml:</t>
  </si>
  <si>
    <t xml:space="preserve">(Inf+Bk)/ml </t>
  </si>
  <si>
    <t>BLK</t>
  </si>
  <si>
    <t>INF</t>
  </si>
  <si>
    <t>DATE:</t>
  </si>
  <si>
    <t>WT(kg):</t>
  </si>
  <si>
    <t>BMI:</t>
  </si>
  <si>
    <t>Lot number</t>
  </si>
  <si>
    <t xml:space="preserve">3-3H GI (F): </t>
  </si>
  <si>
    <t>STUDY:</t>
  </si>
  <si>
    <t>ERIT 1</t>
  </si>
  <si>
    <t>HT(cm):</t>
  </si>
  <si>
    <t>SA:</t>
  </si>
  <si>
    <t>% recov=</t>
  </si>
  <si>
    <t xml:space="preserve">Inf+Bk/50ul </t>
  </si>
  <si>
    <t xml:space="preserve">LBM (kg): </t>
  </si>
  <si>
    <t>Fat mass %</t>
  </si>
  <si>
    <t>bk=</t>
  </si>
  <si>
    <t>mg/kg*min</t>
  </si>
  <si>
    <t>mg/LBM/min</t>
  </si>
  <si>
    <t>M VALUE</t>
  </si>
  <si>
    <t>Time</t>
  </si>
  <si>
    <t xml:space="preserve">glu mg% </t>
  </si>
  <si>
    <t xml:space="preserve">dpm </t>
  </si>
  <si>
    <t>dpm(c)</t>
  </si>
  <si>
    <t>dpm/ml</t>
  </si>
  <si>
    <t>SA</t>
  </si>
  <si>
    <t>Ra</t>
  </si>
  <si>
    <t>GIR</t>
  </si>
  <si>
    <t>rHGP</t>
  </si>
  <si>
    <t xml:space="preserve">HGP </t>
  </si>
  <si>
    <t>TC</t>
  </si>
  <si>
    <t>FFA</t>
  </si>
  <si>
    <t>Clamp (Day 4)</t>
  </si>
  <si>
    <t>insulin</t>
  </si>
  <si>
    <t xml:space="preserve"> </t>
  </si>
  <si>
    <t>HGP basal</t>
  </si>
  <si>
    <t>HGP/lbm basal</t>
  </si>
  <si>
    <t>HGP/insulin basal</t>
  </si>
  <si>
    <t>HGP/lbm/insulin basal</t>
  </si>
  <si>
    <t xml:space="preserve">HGP 20 </t>
  </si>
  <si>
    <t>HGP/lbm 20</t>
  </si>
  <si>
    <t>HGP/insulin 20</t>
  </si>
  <si>
    <t>HGP/lbm/insulin 20</t>
  </si>
  <si>
    <t xml:space="preserve">% suppression 20 </t>
  </si>
  <si>
    <t>% suppression 20  (using lbm)</t>
  </si>
  <si>
    <t>% suppression 20 (using insulin)</t>
  </si>
  <si>
    <t>% suppression 20 (using lbm/insulin)</t>
  </si>
  <si>
    <t xml:space="preserve">HGP 80 </t>
  </si>
  <si>
    <t>HGP/lbm 80</t>
  </si>
  <si>
    <t>HGP/insulin 80</t>
  </si>
  <si>
    <t>HGP/lbm/insulin 80</t>
  </si>
  <si>
    <t xml:space="preserve">% suppression 80 </t>
  </si>
  <si>
    <t>% suppression 80  (using lbm)</t>
  </si>
  <si>
    <t>% suppression 80 (using insulin)</t>
  </si>
  <si>
    <t>% suppression 80 (using lbm/insulin)</t>
  </si>
  <si>
    <t>TGD basal</t>
  </si>
  <si>
    <t>TGD/lbm basal</t>
  </si>
  <si>
    <t>GIR 20</t>
  </si>
  <si>
    <t>GIR 20/lbm</t>
  </si>
  <si>
    <t>GIR/insulin 20</t>
  </si>
  <si>
    <t>GIR lbm/insulin 20</t>
  </si>
  <si>
    <t>M 20</t>
  </si>
  <si>
    <t>M/lbm 20</t>
  </si>
  <si>
    <t>M/insulin 20</t>
  </si>
  <si>
    <t>M/lbm/insulin 20</t>
  </si>
  <si>
    <t>Rd 20</t>
  </si>
  <si>
    <t>Rd/lbm 20</t>
  </si>
  <si>
    <t>Rd/insulin 20</t>
  </si>
  <si>
    <t>Rd/lbm/insulin 20</t>
  </si>
  <si>
    <t>TGD 20</t>
  </si>
  <si>
    <t>TGD/lbm 20</t>
  </si>
  <si>
    <t>TGD/insulin 20</t>
  </si>
  <si>
    <t>TGD/lbm/insulin 20</t>
  </si>
  <si>
    <t>GIR 80</t>
  </si>
  <si>
    <t>GIR 80/lbm</t>
  </si>
  <si>
    <t>GIR/insulin 80</t>
  </si>
  <si>
    <t>GIR lbm/insulin 80</t>
  </si>
  <si>
    <t>M 80</t>
  </si>
  <si>
    <t>M/lbm 80</t>
  </si>
  <si>
    <t>M/insulin 80</t>
  </si>
  <si>
    <t>M/lbm/insulin 80</t>
  </si>
  <si>
    <t>Rd 80</t>
  </si>
  <si>
    <t>Rd/lbm 80</t>
  </si>
  <si>
    <t>Rd/insulin 80</t>
  </si>
  <si>
    <t>Rd/lbm/insulin 80</t>
  </si>
  <si>
    <t>TGD 80</t>
  </si>
  <si>
    <t>TGD/lbm 80</t>
  </si>
  <si>
    <t>TGD/insulin 80</t>
  </si>
  <si>
    <t>TGD/lbm/insulin  80</t>
  </si>
  <si>
    <t>Fasting Glucose</t>
  </si>
  <si>
    <t>Fasting Insulin</t>
  </si>
  <si>
    <t>HOMA-IR</t>
  </si>
  <si>
    <t>FFA Day 1AM</t>
  </si>
  <si>
    <t>FFA Day 1PM</t>
  </si>
  <si>
    <t>FFA Day 2AM</t>
  </si>
  <si>
    <t>FFA Day 2PM</t>
  </si>
  <si>
    <t>FFA Day 3AM</t>
  </si>
  <si>
    <t>FFA Day 3PM</t>
  </si>
  <si>
    <t>Day 4 FFA Clamp Basal (AM)</t>
  </si>
  <si>
    <t>Day 4 FFA Clamp Step 1</t>
  </si>
  <si>
    <t>Day 4 FFA Clamp Step 2</t>
  </si>
  <si>
    <t>AVG</t>
  </si>
  <si>
    <t>avg</t>
  </si>
  <si>
    <t>bHGP</t>
  </si>
  <si>
    <t>pump rate</t>
  </si>
  <si>
    <t>Ra Steele's eq</t>
  </si>
  <si>
    <t>Ra with SS eq</t>
  </si>
  <si>
    <t>AVE</t>
  </si>
  <si>
    <t>STEP  1 (20 mU)</t>
  </si>
  <si>
    <t>TGD</t>
  </si>
  <si>
    <t>Day 1 AM</t>
  </si>
  <si>
    <t>Day 1 PM</t>
  </si>
  <si>
    <t>STEP  2 (80 mU)</t>
  </si>
  <si>
    <t>Day 2 AM</t>
  </si>
  <si>
    <t>Day 2 PM</t>
  </si>
  <si>
    <t>Day 3 AM</t>
  </si>
  <si>
    <t>Day 3 PM</t>
  </si>
  <si>
    <t>202V3</t>
  </si>
  <si>
    <t>202V5</t>
  </si>
  <si>
    <t>203V3</t>
  </si>
  <si>
    <t>203V5</t>
  </si>
  <si>
    <t>204V3</t>
  </si>
  <si>
    <t>204V5</t>
  </si>
  <si>
    <t>209V3</t>
  </si>
  <si>
    <t>209V5</t>
  </si>
  <si>
    <t>210V3</t>
  </si>
  <si>
    <t>210V5</t>
  </si>
  <si>
    <t>214V3</t>
  </si>
  <si>
    <t>214V5</t>
  </si>
  <si>
    <t>217V3</t>
  </si>
  <si>
    <t>217V5</t>
  </si>
  <si>
    <t>218V3</t>
  </si>
  <si>
    <t>218V5</t>
  </si>
  <si>
    <t>220V3</t>
  </si>
  <si>
    <t>220V5</t>
  </si>
  <si>
    <t>222V3</t>
  </si>
  <si>
    <t>Subject</t>
  </si>
  <si>
    <t>mean</t>
  </si>
  <si>
    <t>sd</t>
  </si>
  <si>
    <t>se</t>
  </si>
  <si>
    <t>Placebo</t>
  </si>
  <si>
    <t>Eritoran</t>
  </si>
  <si>
    <t>202 V3</t>
  </si>
  <si>
    <t>202 V5</t>
  </si>
  <si>
    <t>203 V5</t>
  </si>
  <si>
    <t xml:space="preserve">203 V3 </t>
  </si>
  <si>
    <t>204 V3</t>
  </si>
  <si>
    <t>204 V5</t>
  </si>
  <si>
    <t>209 V5</t>
  </si>
  <si>
    <t>209 V3</t>
  </si>
  <si>
    <t>210 V5</t>
  </si>
  <si>
    <t xml:space="preserve">210 V3 </t>
  </si>
  <si>
    <t xml:space="preserve">214 V5 </t>
  </si>
  <si>
    <t>214 V3</t>
  </si>
  <si>
    <t>217 V5</t>
  </si>
  <si>
    <t>217 V3</t>
  </si>
  <si>
    <t>218 V3</t>
  </si>
  <si>
    <t>218 V5</t>
  </si>
  <si>
    <t>220 V3</t>
  </si>
  <si>
    <t>FEMALE</t>
  </si>
  <si>
    <t>MALE</t>
  </si>
  <si>
    <t>223V3</t>
  </si>
  <si>
    <t>ERIT 2</t>
  </si>
  <si>
    <t>223V5</t>
  </si>
  <si>
    <t>225V3</t>
  </si>
  <si>
    <t>225V5</t>
  </si>
  <si>
    <t>222V5</t>
  </si>
  <si>
    <t>diabetics</t>
  </si>
  <si>
    <t>lean</t>
  </si>
  <si>
    <t>obese non-dm</t>
  </si>
  <si>
    <t>220 V5</t>
  </si>
  <si>
    <t>223 V3</t>
  </si>
  <si>
    <t>223 V5</t>
  </si>
  <si>
    <t>PLACEBO</t>
  </si>
  <si>
    <t>225 V5</t>
  </si>
  <si>
    <t>225 V3</t>
  </si>
  <si>
    <t>222 V3</t>
  </si>
  <si>
    <t>222 V5</t>
  </si>
  <si>
    <t>Male</t>
  </si>
  <si>
    <t>male</t>
  </si>
  <si>
    <t>Female</t>
  </si>
  <si>
    <t>206V3</t>
  </si>
  <si>
    <t>F</t>
  </si>
  <si>
    <t>215V3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</si>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</sst>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%"/>
    <numFmt numFmtId="167" formatCode="0.0000"/>
    <numFmt numFmtId="168" formatCode="&quot;$&quot;#,##0.00"/>
  </numFmts>
  <fonts count="2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Geneva"/>
      <family val="2"/>
    </font>
    <font>
      <b/>
      <sz val="9"/>
      <color indexed="10"/>
      <name val="Geneva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Geneva"/>
      <family val="2"/>
    </font>
    <font>
      <b/>
      <sz val="7"/>
      <name val="Geneva"/>
      <family val="2"/>
    </font>
    <font>
      <sz val="10"/>
      <name val="Geneva"/>
      <family val="2"/>
    </font>
    <font>
      <sz val="8"/>
      <name val="Geneva"/>
      <family val="2"/>
    </font>
    <font>
      <b/>
      <sz val="8"/>
      <name val="Geneva"/>
      <family val="2"/>
    </font>
    <font>
      <b/>
      <sz val="10"/>
      <color rgb="FFFF0000"/>
      <name val="Geneva"/>
      <family val="2"/>
    </font>
    <font>
      <b/>
      <sz val="10"/>
      <color rgb="FFFF0000"/>
      <name val="Arial"/>
      <family val="2"/>
    </font>
    <font>
      <b/>
      <sz val="9"/>
      <name val="Geneva"/>
      <family val="2"/>
    </font>
    <font>
      <i/>
      <sz val="10"/>
      <name val="Geneva"/>
      <family val="2"/>
    </font>
    <font>
      <b/>
      <i/>
      <sz val="10"/>
      <name val="Geneva"/>
      <family val="2"/>
    </font>
    <font>
      <b/>
      <u/>
      <sz val="10"/>
      <name val="Arial"/>
      <family val="2"/>
    </font>
    <font>
      <b/>
      <i/>
      <sz val="10"/>
      <name val="MS Sans Serif"/>
      <family val="2"/>
    </font>
    <font>
      <b/>
      <sz val="11"/>
      <name val="Geneva"/>
      <family val="2"/>
    </font>
    <font>
      <b/>
      <sz val="10"/>
      <name val="MS Sans Serif"/>
      <family val="2"/>
    </font>
    <font>
      <b/>
      <sz val="12"/>
      <color indexed="10"/>
      <name val="Geneva"/>
      <family val="2"/>
    </font>
    <font>
      <sz val="7"/>
      <name val="Geneva"/>
      <family val="2"/>
    </font>
    <font>
      <sz val="9"/>
      <color indexed="81"/>
      <name val="Geneva"/>
      <family val="2"/>
    </font>
    <font>
      <sz val="12"/>
      <color theme="1"/>
      <name val="Calibri"/>
      <family val="2"/>
      <scheme val="minor"/>
    </font>
    <font>
      <sz val="10"/>
      <color rgb="FFFF0000"/>
      <name val="Arial"/>
      <family val="2"/>
    </font>
    <font>
      <i/>
      <sz val="10"/>
      <color rgb="FFFF0000"/>
      <name val="Geneva"/>
      <family val="2"/>
    </font>
    <font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25" fillId="0" borderId="0"/>
    <xf numFmtId="0" fontId="2" fillId="0" borderId="0"/>
    <xf numFmtId="0" fontId="1" fillId="0" borderId="0"/>
  </cellStyleXfs>
  <cellXfs count="207">
    <xf numFmtId="0" fontId="0" fillId="0" borderId="0" xfId="0"/>
    <xf numFmtId="0" fontId="4" fillId="0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7" fillId="0" borderId="0" xfId="0" applyFont="1" applyFill="1"/>
    <xf numFmtId="0" fontId="8" fillId="0" borderId="0" xfId="0" applyFont="1" applyFill="1" applyAlignment="1">
      <alignment horizontal="left"/>
    </xf>
    <xf numFmtId="0" fontId="9" fillId="0" borderId="1" xfId="0" applyFon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4" fillId="0" borderId="0" xfId="0" applyFont="1" applyFill="1" applyAlignment="1"/>
    <xf numFmtId="0" fontId="0" fillId="0" borderId="0" xfId="0" applyFill="1" applyAlignment="1">
      <alignment horizontal="center"/>
    </xf>
    <xf numFmtId="0" fontId="0" fillId="0" borderId="0" xfId="0" applyFill="1"/>
    <xf numFmtId="2" fontId="6" fillId="3" borderId="3" xfId="0" applyNumberFormat="1" applyFont="1" applyFill="1" applyBorder="1" applyAlignment="1">
      <alignment horizontal="center"/>
    </xf>
    <xf numFmtId="2" fontId="0" fillId="0" borderId="3" xfId="0" applyNumberFormat="1" applyFill="1" applyBorder="1"/>
    <xf numFmtId="0" fontId="4" fillId="0" borderId="4" xfId="0" applyFont="1" applyFill="1" applyBorder="1" applyAlignment="1">
      <alignment horizontal="center"/>
    </xf>
    <xf numFmtId="14" fontId="0" fillId="0" borderId="0" xfId="0" applyNumberFormat="1"/>
    <xf numFmtId="164" fontId="0" fillId="2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6" fillId="0" borderId="0" xfId="0" applyFont="1" applyFill="1"/>
    <xf numFmtId="14" fontId="0" fillId="3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1" fontId="6" fillId="3" borderId="3" xfId="0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1" fontId="0" fillId="0" borderId="7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6" fillId="0" borderId="0" xfId="0" applyNumberFormat="1" applyFon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12" fillId="0" borderId="0" xfId="0" applyFont="1" applyFill="1"/>
    <xf numFmtId="166" fontId="0" fillId="2" borderId="0" xfId="0" applyNumberFormat="1" applyFill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1" fontId="8" fillId="0" borderId="0" xfId="0" applyNumberFormat="1" applyFont="1" applyFill="1" applyBorder="1" applyAlignment="1">
      <alignment horizontal="center"/>
    </xf>
    <xf numFmtId="1" fontId="13" fillId="0" borderId="0" xfId="0" applyNumberFormat="1" applyFont="1" applyFill="1" applyBorder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167" fontId="14" fillId="0" borderId="0" xfId="0" applyNumberFormat="1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8" xfId="0" applyNumberFormat="1" applyFont="1" applyFill="1" applyBorder="1" applyAlignment="1">
      <alignment horizontal="center"/>
    </xf>
    <xf numFmtId="1" fontId="4" fillId="0" borderId="8" xfId="0" applyNumberFormat="1" applyFont="1" applyFill="1" applyBorder="1" applyAlignment="1">
      <alignment horizontal="center"/>
    </xf>
    <xf numFmtId="2" fontId="4" fillId="0" borderId="8" xfId="0" applyNumberFormat="1" applyFont="1" applyFill="1" applyBorder="1" applyAlignment="1">
      <alignment horizontal="center"/>
    </xf>
    <xf numFmtId="2" fontId="15" fillId="0" borderId="8" xfId="0" applyNumberFormat="1" applyFont="1" applyFill="1" applyBorder="1" applyAlignment="1">
      <alignment horizontal="center"/>
    </xf>
    <xf numFmtId="2" fontId="15" fillId="0" borderId="9" xfId="0" applyNumberFormat="1" applyFont="1" applyFill="1" applyBorder="1" applyAlignment="1">
      <alignment horizontal="center"/>
    </xf>
    <xf numFmtId="2" fontId="8" fillId="0" borderId="9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164" fontId="0" fillId="0" borderId="3" xfId="0" applyNumberFormat="1" applyFill="1" applyBorder="1"/>
    <xf numFmtId="0" fontId="0" fillId="0" borderId="0" xfId="0" applyBorder="1"/>
    <xf numFmtId="0" fontId="0" fillId="4" borderId="0" xfId="0" applyFill="1" applyBorder="1"/>
    <xf numFmtId="0" fontId="6" fillId="0" borderId="10" xfId="0" applyFont="1" applyFill="1" applyBorder="1"/>
    <xf numFmtId="0" fontId="6" fillId="0" borderId="10" xfId="0" applyFont="1" applyFill="1" applyBorder="1" applyAlignment="1">
      <alignment horizont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3" borderId="0" xfId="0" applyFill="1"/>
    <xf numFmtId="0" fontId="16" fillId="0" borderId="0" xfId="0" applyFont="1" applyFill="1" applyBorder="1" applyAlignment="1">
      <alignment horizontal="center"/>
    </xf>
    <xf numFmtId="0" fontId="0" fillId="3" borderId="0" xfId="0" applyFill="1" applyBorder="1"/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16" fillId="0" borderId="0" xfId="0" applyNumberFormat="1" applyFon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164" fontId="0" fillId="3" borderId="3" xfId="0" applyNumberFormat="1" applyFill="1" applyBorder="1"/>
    <xf numFmtId="0" fontId="16" fillId="0" borderId="9" xfId="0" applyFont="1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2" fontId="16" fillId="0" borderId="9" xfId="0" applyNumberFormat="1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2" fontId="0" fillId="0" borderId="9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6" fillId="5" borderId="10" xfId="0" applyFont="1" applyFill="1" applyBorder="1"/>
    <xf numFmtId="0" fontId="6" fillId="6" borderId="10" xfId="0" applyFont="1" applyFill="1" applyBorder="1"/>
    <xf numFmtId="0" fontId="6" fillId="7" borderId="10" xfId="0" applyFont="1" applyFill="1" applyBorder="1" applyAlignment="1">
      <alignment horizontal="center"/>
    </xf>
    <xf numFmtId="0" fontId="6" fillId="7" borderId="10" xfId="0" applyFont="1" applyFill="1" applyBorder="1"/>
    <xf numFmtId="0" fontId="6" fillId="8" borderId="10" xfId="0" applyFont="1" applyFill="1" applyBorder="1" applyAlignment="1">
      <alignment horizontal="center"/>
    </xf>
    <xf numFmtId="0" fontId="6" fillId="8" borderId="10" xfId="0" applyFont="1" applyFill="1" applyBorder="1"/>
    <xf numFmtId="0" fontId="6" fillId="9" borderId="0" xfId="0" applyFont="1" applyFill="1" applyBorder="1"/>
    <xf numFmtId="1" fontId="0" fillId="9" borderId="0" xfId="0" applyNumberFormat="1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6" fillId="10" borderId="0" xfId="0" applyFont="1" applyFill="1" applyBorder="1" applyAlignment="1">
      <alignment horizontal="center"/>
    </xf>
    <xf numFmtId="1" fontId="17" fillId="0" borderId="8" xfId="0" applyNumberFormat="1" applyFont="1" applyFill="1" applyBorder="1" applyAlignment="1">
      <alignment horizontal="center"/>
    </xf>
    <xf numFmtId="2" fontId="4" fillId="11" borderId="8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" fontId="0" fillId="0" borderId="0" xfId="0" applyNumberFormat="1" applyFill="1"/>
    <xf numFmtId="0" fontId="0" fillId="2" borderId="0" xfId="0" applyNumberFormat="1" applyFill="1" applyAlignment="1">
      <alignment horizontal="center"/>
    </xf>
    <xf numFmtId="1" fontId="16" fillId="0" borderId="0" xfId="0" applyNumberFormat="1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7" fillId="4" borderId="0" xfId="0" applyFont="1" applyFill="1" applyBorder="1"/>
    <xf numFmtId="0" fontId="7" fillId="0" borderId="11" xfId="0" applyFont="1" applyFill="1" applyBorder="1" applyAlignment="1">
      <alignment horizontal="center"/>
    </xf>
    <xf numFmtId="0" fontId="7" fillId="0" borderId="12" xfId="0" applyFont="1" applyFill="1" applyBorder="1"/>
    <xf numFmtId="1" fontId="16" fillId="0" borderId="9" xfId="0" applyNumberFormat="1" applyFont="1" applyFill="1" applyBorder="1" applyAlignment="1">
      <alignment horizontal="center"/>
    </xf>
    <xf numFmtId="168" fontId="11" fillId="0" borderId="0" xfId="0" applyNumberFormat="1" applyFont="1" applyFill="1"/>
    <xf numFmtId="0" fontId="11" fillId="0" borderId="0" xfId="0" applyFont="1" applyFill="1"/>
    <xf numFmtId="2" fontId="0" fillId="0" borderId="1" xfId="0" applyNumberForma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6" fillId="2" borderId="14" xfId="0" applyFont="1" applyFill="1" applyBorder="1"/>
    <xf numFmtId="0" fontId="0" fillId="0" borderId="3" xfId="0" applyBorder="1"/>
    <xf numFmtId="0" fontId="16" fillId="12" borderId="1" xfId="0" applyFont="1" applyFill="1" applyBorder="1" applyAlignment="1">
      <alignment horizontal="center"/>
    </xf>
    <xf numFmtId="1" fontId="0" fillId="0" borderId="15" xfId="0" applyNumberFormat="1" applyFill="1" applyBorder="1" applyAlignment="1">
      <alignment horizontal="center"/>
    </xf>
    <xf numFmtId="2" fontId="19" fillId="0" borderId="1" xfId="0" applyNumberFormat="1" applyFont="1" applyFill="1" applyBorder="1" applyAlignment="1">
      <alignment horizontal="center"/>
    </xf>
    <xf numFmtId="2" fontId="16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6" fillId="12" borderId="0" xfId="0" applyFont="1" applyFill="1" applyAlignment="1">
      <alignment horizontal="center"/>
    </xf>
    <xf numFmtId="0" fontId="0" fillId="2" borderId="14" xfId="0" applyFill="1" applyBorder="1"/>
    <xf numFmtId="0" fontId="0" fillId="2" borderId="0" xfId="0" applyNumberForma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2" fontId="7" fillId="4" borderId="16" xfId="0" applyNumberFormat="1" applyFont="1" applyFill="1" applyBorder="1" applyAlignment="1">
      <alignment horizontal="center"/>
    </xf>
    <xf numFmtId="2" fontId="0" fillId="0" borderId="16" xfId="0" applyNumberFormat="1" applyFill="1" applyBorder="1" applyAlignment="1">
      <alignment horizontal="center"/>
    </xf>
    <xf numFmtId="2" fontId="0" fillId="4" borderId="16" xfId="0" applyNumberFormat="1" applyFill="1" applyBorder="1" applyAlignment="1">
      <alignment horizontal="center"/>
    </xf>
    <xf numFmtId="2" fontId="0" fillId="11" borderId="16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1" fontId="7" fillId="0" borderId="11" xfId="0" applyNumberFormat="1" applyFont="1" applyFill="1" applyBorder="1" applyAlignment="1">
      <alignment horizontal="center"/>
    </xf>
    <xf numFmtId="2" fontId="21" fillId="0" borderId="12" xfId="0" applyNumberFormat="1" applyFont="1" applyFill="1" applyBorder="1" applyAlignment="1">
      <alignment horizontal="center"/>
    </xf>
    <xf numFmtId="2" fontId="4" fillId="0" borderId="11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center"/>
    </xf>
    <xf numFmtId="2" fontId="0" fillId="13" borderId="0" xfId="0" applyNumberFormat="1" applyFill="1" applyBorder="1" applyAlignment="1">
      <alignment horizontal="center"/>
    </xf>
    <xf numFmtId="0" fontId="16" fillId="0" borderId="13" xfId="0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center"/>
    </xf>
    <xf numFmtId="2" fontId="17" fillId="4" borderId="0" xfId="0" applyNumberFormat="1" applyFont="1" applyFill="1" applyBorder="1" applyAlignment="1">
      <alignment horizontal="center"/>
    </xf>
    <xf numFmtId="2" fontId="7" fillId="4" borderId="0" xfId="0" applyNumberFormat="1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0" fillId="2" borderId="18" xfId="0" applyFill="1" applyBorder="1"/>
    <xf numFmtId="0" fontId="0" fillId="4" borderId="0" xfId="0" applyNumberFormat="1" applyFill="1" applyBorder="1" applyAlignment="1">
      <alignment horizontal="center"/>
    </xf>
    <xf numFmtId="1" fontId="7" fillId="0" borderId="19" xfId="0" applyNumberFormat="1" applyFont="1" applyFill="1" applyBorder="1" applyAlignment="1">
      <alignment horizontal="center"/>
    </xf>
    <xf numFmtId="2" fontId="21" fillId="0" borderId="20" xfId="0" applyNumberFormat="1" applyFont="1" applyFill="1" applyBorder="1" applyAlignment="1">
      <alignment horizontal="center"/>
    </xf>
    <xf numFmtId="2" fontId="4" fillId="0" borderId="19" xfId="0" applyNumberFormat="1" applyFont="1" applyFill="1" applyBorder="1" applyAlignment="1">
      <alignment horizontal="center"/>
    </xf>
    <xf numFmtId="2" fontId="7" fillId="0" borderId="20" xfId="0" applyNumberFormat="1" applyFont="1" applyFill="1" applyBorder="1" applyAlignment="1">
      <alignment horizontal="center"/>
    </xf>
    <xf numFmtId="0" fontId="0" fillId="2" borderId="0" xfId="0" applyFill="1"/>
    <xf numFmtId="0" fontId="16" fillId="4" borderId="0" xfId="0" applyFon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" fontId="16" fillId="4" borderId="0" xfId="0" applyNumberFormat="1" applyFont="1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center"/>
    </xf>
    <xf numFmtId="2" fontId="16" fillId="4" borderId="0" xfId="0" applyNumberFormat="1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168" fontId="11" fillId="4" borderId="0" xfId="0" applyNumberFormat="1" applyFont="1" applyFill="1" applyBorder="1"/>
    <xf numFmtId="0" fontId="11" fillId="4" borderId="0" xfId="0" applyFont="1" applyFill="1" applyBorder="1"/>
    <xf numFmtId="1" fontId="17" fillId="4" borderId="0" xfId="0" applyNumberFormat="1" applyFont="1" applyFill="1" applyBorder="1" applyAlignment="1">
      <alignment horizontal="center"/>
    </xf>
    <xf numFmtId="2" fontId="4" fillId="4" borderId="0" xfId="0" applyNumberFormat="1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17" fillId="4" borderId="0" xfId="0" applyNumberFormat="1" applyFont="1" applyFill="1" applyBorder="1" applyAlignment="1">
      <alignment horizontal="left"/>
    </xf>
    <xf numFmtId="0" fontId="4" fillId="4" borderId="0" xfId="0" applyNumberFormat="1" applyFont="1" applyFill="1" applyBorder="1" applyAlignment="1">
      <alignment horizontal="center"/>
    </xf>
    <xf numFmtId="164" fontId="4" fillId="4" borderId="0" xfId="0" applyNumberFormat="1" applyFont="1" applyFill="1" applyBorder="1" applyAlignment="1">
      <alignment horizontal="center"/>
    </xf>
    <xf numFmtId="1" fontId="4" fillId="4" borderId="0" xfId="0" applyNumberFormat="1" applyFont="1" applyFill="1" applyBorder="1" applyAlignment="1">
      <alignment horizontal="center"/>
    </xf>
    <xf numFmtId="0" fontId="20" fillId="4" borderId="0" xfId="0" applyFont="1" applyFill="1" applyBorder="1" applyAlignment="1">
      <alignment horizontal="center"/>
    </xf>
    <xf numFmtId="1" fontId="7" fillId="4" borderId="0" xfId="0" applyNumberFormat="1" applyFont="1" applyFill="1" applyBorder="1" applyAlignment="1">
      <alignment horizontal="center"/>
    </xf>
    <xf numFmtId="2" fontId="21" fillId="4" borderId="0" xfId="0" applyNumberFormat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22" fillId="4" borderId="0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left"/>
    </xf>
    <xf numFmtId="2" fontId="10" fillId="4" borderId="0" xfId="0" applyNumberFormat="1" applyFont="1" applyFill="1" applyBorder="1" applyAlignment="1">
      <alignment horizontal="center"/>
    </xf>
    <xf numFmtId="2" fontId="6" fillId="4" borderId="0" xfId="0" applyNumberFormat="1" applyFont="1" applyFill="1" applyBorder="1" applyAlignment="1">
      <alignment horizontal="center"/>
    </xf>
    <xf numFmtId="1" fontId="10" fillId="4" borderId="0" xfId="0" applyNumberFormat="1" applyFont="1" applyFill="1" applyBorder="1" applyAlignment="1">
      <alignment horizontal="center"/>
    </xf>
    <xf numFmtId="14" fontId="0" fillId="4" borderId="0" xfId="0" applyNumberFormat="1" applyFill="1" applyBorder="1" applyAlignment="1">
      <alignment horizontal="center"/>
    </xf>
    <xf numFmtId="164" fontId="10" fillId="4" borderId="0" xfId="0" applyNumberFormat="1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2" fontId="0" fillId="0" borderId="0" xfId="0" applyNumberFormat="1" applyFill="1" applyBorder="1"/>
    <xf numFmtId="2" fontId="0" fillId="0" borderId="0" xfId="0" applyNumberFormat="1" applyFill="1"/>
    <xf numFmtId="0" fontId="10" fillId="0" borderId="0" xfId="0" applyNumberFormat="1" applyFont="1" applyFill="1" applyBorder="1" applyAlignment="1">
      <alignment horizontal="center"/>
    </xf>
    <xf numFmtId="0" fontId="12" fillId="0" borderId="0" xfId="0" applyFont="1" applyFill="1" applyBorder="1"/>
    <xf numFmtId="167" fontId="6" fillId="0" borderId="0" xfId="0" applyNumberFormat="1" applyFont="1" applyFill="1" applyBorder="1" applyAlignment="1">
      <alignment horizontal="center"/>
    </xf>
    <xf numFmtId="1" fontId="23" fillId="0" borderId="0" xfId="0" applyNumberFormat="1" applyFont="1" applyFill="1" applyBorder="1" applyAlignment="1">
      <alignment horizontal="center"/>
    </xf>
    <xf numFmtId="2" fontId="23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2" fontId="15" fillId="0" borderId="0" xfId="0" applyNumberFormat="1" applyFont="1" applyFill="1" applyBorder="1" applyAlignment="1">
      <alignment horizontal="center"/>
    </xf>
    <xf numFmtId="1" fontId="17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0" fillId="0" borderId="0" xfId="0" applyNumberFormat="1" applyBorder="1" applyAlignment="1">
      <alignment horizontal="right"/>
    </xf>
    <xf numFmtId="164" fontId="10" fillId="0" borderId="0" xfId="0" applyNumberFormat="1" applyFont="1" applyFill="1" applyBorder="1" applyAlignment="1">
      <alignment horizontal="center"/>
    </xf>
    <xf numFmtId="168" fontId="11" fillId="0" borderId="0" xfId="0" applyNumberFormat="1" applyFont="1" applyFill="1" applyBorder="1"/>
    <xf numFmtId="0" fontId="11" fillId="0" borderId="0" xfId="0" applyFont="1" applyFill="1" applyBorder="1"/>
    <xf numFmtId="0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/>
    <xf numFmtId="0" fontId="17" fillId="0" borderId="0" xfId="0" applyFont="1" applyFill="1" applyBorder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21" xfId="0" applyBorder="1"/>
    <xf numFmtId="0" fontId="6" fillId="0" borderId="0" xfId="0" applyFont="1"/>
    <xf numFmtId="1" fontId="26" fillId="2" borderId="0" xfId="0" applyNumberFormat="1" applyFont="1" applyFill="1" applyAlignment="1">
      <alignment horizontal="center"/>
    </xf>
    <xf numFmtId="2" fontId="26" fillId="3" borderId="3" xfId="0" applyNumberFormat="1" applyFont="1" applyFill="1" applyBorder="1" applyAlignment="1">
      <alignment horizontal="center"/>
    </xf>
    <xf numFmtId="0" fontId="26" fillId="3" borderId="0" xfId="0" applyFont="1" applyFill="1"/>
    <xf numFmtId="0" fontId="26" fillId="2" borderId="0" xfId="0" applyNumberFormat="1" applyFont="1" applyFill="1" applyBorder="1" applyAlignment="1">
      <alignment horizontal="center"/>
    </xf>
    <xf numFmtId="0" fontId="26" fillId="3" borderId="0" xfId="0" applyFont="1" applyFill="1" applyBorder="1"/>
    <xf numFmtId="0" fontId="0" fillId="10" borderId="0" xfId="0" applyFill="1"/>
    <xf numFmtId="0" fontId="7" fillId="11" borderId="1" xfId="0" applyFont="1" applyFill="1" applyBorder="1"/>
    <xf numFmtId="0" fontId="0" fillId="11" borderId="0" xfId="0" applyFill="1"/>
    <xf numFmtId="0" fontId="27" fillId="0" borderId="0" xfId="0" applyFont="1" applyFill="1" applyAlignment="1">
      <alignment horizontal="center"/>
    </xf>
    <xf numFmtId="0" fontId="27" fillId="0" borderId="13" xfId="0" applyFont="1" applyFill="1" applyBorder="1" applyAlignment="1">
      <alignment horizontal="center"/>
    </xf>
    <xf numFmtId="0" fontId="0" fillId="14" borderId="0" xfId="0" applyFill="1"/>
    <xf numFmtId="0" fontId="28" fillId="3" borderId="0" xfId="0" applyFont="1" applyFill="1" applyBorder="1"/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20990E6E-4880-4960-8A14-74028EEEB0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74"/>
  <sheetViews>
    <sheetView topLeftCell="BL1" zoomScale="87" zoomScaleNormal="87" workbookViewId="0">
      <selection activeCell="AB11" sqref="AB11:CQ11"/>
    </sheetView>
  </sheetViews>
  <sheetFormatPr defaultColWidth="13.7109375" defaultRowHeight="14.1" customHeight="1"/>
  <cols>
    <col min="1" max="1" width="6.28515625" style="12" customWidth="1"/>
    <col min="2" max="2" width="16.5703125" style="192" customWidth="1"/>
    <col min="3" max="3" width="8.28515625" style="12" customWidth="1"/>
    <col min="4" max="4" width="11.140625" style="66" customWidth="1"/>
    <col min="5" max="5" width="12.85546875" style="192" customWidth="1"/>
    <col min="6" max="6" width="9.28515625" style="192" customWidth="1"/>
    <col min="7" max="7" width="9.140625" style="68" customWidth="1"/>
    <col min="8" max="8" width="10.85546875" style="12" customWidth="1"/>
    <col min="9" max="9" width="13.140625" style="12" customWidth="1"/>
    <col min="10" max="10" width="12.28515625" style="12" customWidth="1"/>
    <col min="11" max="11" width="10.140625" style="12" customWidth="1"/>
    <col min="12" max="12" width="14.42578125" style="12" customWidth="1"/>
    <col min="13" max="13" width="8.85546875" style="12" customWidth="1"/>
    <col min="14" max="14" width="17.140625" style="68" customWidth="1"/>
    <col min="15" max="15" width="15.7109375" style="12" customWidth="1"/>
    <col min="16" max="16" width="10.85546875" style="12" customWidth="1"/>
    <col min="17" max="17" width="6.140625" style="12" customWidth="1"/>
    <col min="18" max="18" width="7.28515625" style="12" customWidth="1"/>
    <col min="19" max="19" width="12" style="13" customWidth="1"/>
    <col min="20" max="20" width="10.42578125" style="13" customWidth="1"/>
    <col min="21" max="21" width="13.7109375" style="13" customWidth="1"/>
    <col min="22" max="22" width="2.5703125" style="13" customWidth="1"/>
    <col min="23" max="29" width="13.7109375" style="13" customWidth="1"/>
    <col min="30" max="31" width="25" style="13" customWidth="1"/>
    <col min="32" max="34" width="13.7109375" style="13" customWidth="1"/>
    <col min="35" max="35" width="19.85546875" style="13" customWidth="1"/>
    <col min="36" max="36" width="19.5703125" style="13" customWidth="1"/>
    <col min="37" max="37" width="27.42578125" style="13" customWidth="1"/>
    <col min="38" max="38" width="31.42578125" style="13" customWidth="1"/>
    <col min="39" max="39" width="31.28515625" style="13" customWidth="1"/>
    <col min="40" max="45" width="27.42578125" style="13" customWidth="1"/>
    <col min="46" max="46" width="31.28515625" style="13" customWidth="1"/>
    <col min="47" max="47" width="35.42578125" style="13" customWidth="1"/>
    <col min="48" max="50" width="13.7109375" style="13" customWidth="1"/>
    <col min="51" max="52" width="17.28515625" style="13" customWidth="1"/>
    <col min="53" max="60" width="17.5703125" style="13" customWidth="1"/>
    <col min="61" max="65" width="20.42578125" style="13" customWidth="1"/>
    <col min="66" max="68" width="13.7109375" style="13" customWidth="1"/>
    <col min="69" max="69" width="18.7109375" style="13" customWidth="1"/>
    <col min="70" max="72" width="13.7109375" style="13" customWidth="1"/>
    <col min="73" max="73" width="17.28515625" style="13" customWidth="1"/>
    <col min="74" max="74" width="16.85546875" style="13" customWidth="1"/>
    <col min="75" max="75" width="13.7109375" style="13" customWidth="1"/>
    <col min="76" max="76" width="17" style="13" customWidth="1"/>
    <col min="77" max="81" width="17.85546875" style="13" customWidth="1"/>
    <col min="82" max="92" width="13.7109375" style="13" customWidth="1"/>
    <col min="93" max="93" width="26.140625" style="13" customWidth="1"/>
    <col min="94" max="94" width="25.7109375" style="13" customWidth="1"/>
    <col min="95" max="95" width="22.85546875" style="13" customWidth="1"/>
    <col min="96" max="99" width="13.7109375" style="13" customWidth="1"/>
    <col min="100" max="16384" width="13.7109375" style="12"/>
  </cols>
  <sheetData>
    <row r="1" spans="1:99" ht="14.1" customHeight="1">
      <c r="A1" s="1" t="s">
        <v>0</v>
      </c>
      <c r="B1" s="2" t="s">
        <v>122</v>
      </c>
      <c r="C1" s="3" t="s">
        <v>1</v>
      </c>
      <c r="D1" s="4" t="s">
        <v>164</v>
      </c>
      <c r="E1" s="1" t="s">
        <v>2</v>
      </c>
      <c r="F1" s="1"/>
      <c r="G1" s="5">
        <v>59</v>
      </c>
      <c r="H1" s="6"/>
      <c r="I1" s="6" t="s">
        <v>3</v>
      </c>
      <c r="J1" s="5">
        <v>178</v>
      </c>
      <c r="K1" s="7"/>
      <c r="L1" s="7"/>
      <c r="M1" s="8" t="s">
        <v>4</v>
      </c>
      <c r="N1" s="9">
        <f>((AVERAGE(W7:W8))*20)</f>
        <v>8648374</v>
      </c>
      <c r="O1" s="10">
        <f>(O3*20)</f>
        <v>8904818.2380299978</v>
      </c>
      <c r="P1" s="10"/>
      <c r="Q1" s="11" t="s">
        <v>5</v>
      </c>
      <c r="S1" s="13">
        <v>-120</v>
      </c>
      <c r="T1" s="13" t="s">
        <v>6</v>
      </c>
      <c r="U1" s="14">
        <v>29.72</v>
      </c>
      <c r="V1" s="15"/>
      <c r="W1" s="15" t="s">
        <v>7</v>
      </c>
    </row>
    <row r="2" spans="1:99" ht="14.1" customHeight="1" thickBot="1">
      <c r="A2" s="16" t="s">
        <v>8</v>
      </c>
      <c r="B2" s="17">
        <v>42124</v>
      </c>
      <c r="C2" s="3" t="s">
        <v>9</v>
      </c>
      <c r="D2" s="18">
        <v>91.9</v>
      </c>
      <c r="E2" s="3" t="s">
        <v>10</v>
      </c>
      <c r="F2" s="3"/>
      <c r="G2" s="19">
        <f>D2/(D3/100*D3/100)</f>
        <v>32.560941043083901</v>
      </c>
      <c r="H2" s="13"/>
      <c r="I2" s="20" t="s">
        <v>11</v>
      </c>
      <c r="J2" s="21"/>
      <c r="K2" s="22"/>
      <c r="L2" s="23"/>
      <c r="M2" s="24" t="s">
        <v>12</v>
      </c>
      <c r="N2" s="25">
        <f>(O1*0.068)</f>
        <v>605527.64018603985</v>
      </c>
      <c r="O2" s="13"/>
      <c r="P2" s="13"/>
      <c r="Q2" s="11"/>
      <c r="R2" s="26"/>
      <c r="T2" s="13" t="s">
        <v>6</v>
      </c>
      <c r="U2" s="14">
        <v>41.63</v>
      </c>
      <c r="V2" s="15"/>
      <c r="W2" s="27">
        <v>156251.29999999999</v>
      </c>
    </row>
    <row r="3" spans="1:99" ht="14.1" customHeight="1" thickTop="1" thickBot="1">
      <c r="A3" s="16" t="s">
        <v>13</v>
      </c>
      <c r="B3" s="28" t="s">
        <v>167</v>
      </c>
      <c r="C3" s="3" t="s">
        <v>15</v>
      </c>
      <c r="D3" s="29">
        <v>168</v>
      </c>
      <c r="E3" s="3" t="s">
        <v>16</v>
      </c>
      <c r="F3" s="3"/>
      <c r="G3" s="19">
        <f>SQRT(((D2*D3)/3600))</f>
        <v>2.0709096230078865</v>
      </c>
      <c r="H3" s="13"/>
      <c r="I3" s="20"/>
      <c r="J3" s="30"/>
      <c r="K3" s="30"/>
      <c r="L3" s="30"/>
      <c r="M3" s="31" t="s">
        <v>17</v>
      </c>
      <c r="N3" s="32">
        <f>($O$1/$N$1)*100</f>
        <v>102.96523066682821</v>
      </c>
      <c r="O3" s="33">
        <f>((AVERAGE(W2:W5))*2.85714)</f>
        <v>445240.9119014999</v>
      </c>
      <c r="P3" s="33"/>
      <c r="Q3" s="34" t="s">
        <v>18</v>
      </c>
      <c r="R3" s="13"/>
      <c r="T3" s="13">
        <v>-30</v>
      </c>
      <c r="U3" s="14">
        <v>535.82000000000005</v>
      </c>
      <c r="V3" s="15"/>
      <c r="W3" s="27">
        <v>154294</v>
      </c>
    </row>
    <row r="4" spans="1:99" ht="14.1" customHeight="1" thickTop="1">
      <c r="B4" s="35"/>
      <c r="C4" s="3" t="s">
        <v>19</v>
      </c>
      <c r="D4" s="19">
        <v>50.491999999999997</v>
      </c>
      <c r="E4" s="37" t="s">
        <v>20</v>
      </c>
      <c r="F4" s="37"/>
      <c r="G4" s="38">
        <v>0.443</v>
      </c>
      <c r="H4" s="13"/>
      <c r="I4" s="20"/>
      <c r="J4" s="30"/>
      <c r="K4" s="30"/>
      <c r="L4" s="30"/>
      <c r="M4" s="33"/>
      <c r="N4" s="39"/>
      <c r="O4" s="30"/>
      <c r="P4" s="30"/>
      <c r="Q4" s="30"/>
      <c r="R4" s="30"/>
      <c r="U4" s="14">
        <v>509.65</v>
      </c>
      <c r="V4" s="15"/>
      <c r="W4" s="27">
        <v>155414.9</v>
      </c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</row>
    <row r="5" spans="1:99" ht="14.1" customHeight="1" thickBot="1">
      <c r="A5" s="16"/>
      <c r="B5" s="30"/>
      <c r="C5" s="3"/>
      <c r="D5" s="41" t="s">
        <v>21</v>
      </c>
      <c r="E5" s="42">
        <f>AVERAGE(U1:U2)</f>
        <v>35.674999999999997</v>
      </c>
      <c r="F5" s="42"/>
      <c r="G5" s="19"/>
      <c r="H5" s="30"/>
      <c r="I5" s="30"/>
      <c r="J5" s="43" t="s">
        <v>22</v>
      </c>
      <c r="K5" s="43"/>
      <c r="L5" s="44" t="s">
        <v>23</v>
      </c>
      <c r="M5" s="45"/>
      <c r="N5" s="43" t="s">
        <v>22</v>
      </c>
      <c r="O5" s="44" t="s">
        <v>23</v>
      </c>
      <c r="P5" s="44" t="s">
        <v>24</v>
      </c>
      <c r="Q5" s="46"/>
      <c r="R5" s="46"/>
      <c r="T5" s="13">
        <v>-20</v>
      </c>
      <c r="U5" s="14">
        <v>523.82000000000005</v>
      </c>
      <c r="V5" s="15"/>
      <c r="W5" s="27">
        <v>157377.70000000001</v>
      </c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</row>
    <row r="6" spans="1:99" s="1" customFormat="1" ht="14.1" customHeight="1">
      <c r="A6" s="47" t="s">
        <v>25</v>
      </c>
      <c r="B6" s="48" t="s">
        <v>26</v>
      </c>
      <c r="C6" s="48"/>
      <c r="D6" s="49" t="s">
        <v>27</v>
      </c>
      <c r="E6" s="48" t="s">
        <v>28</v>
      </c>
      <c r="F6" s="48"/>
      <c r="G6" s="48" t="s">
        <v>29</v>
      </c>
      <c r="H6" s="50" t="s">
        <v>30</v>
      </c>
      <c r="I6" s="50"/>
      <c r="J6" s="51" t="s">
        <v>31</v>
      </c>
      <c r="K6" s="52"/>
      <c r="L6" s="52" t="s">
        <v>31</v>
      </c>
      <c r="M6" s="52" t="s">
        <v>32</v>
      </c>
      <c r="N6" s="52" t="s">
        <v>33</v>
      </c>
      <c r="O6" s="53" t="s">
        <v>34</v>
      </c>
      <c r="P6" s="54"/>
      <c r="Q6" s="55"/>
      <c r="R6" s="55"/>
      <c r="S6" s="13"/>
      <c r="T6" s="13"/>
      <c r="U6" s="14">
        <v>523.73</v>
      </c>
      <c r="V6" s="15"/>
      <c r="W6" s="56" t="s">
        <v>35</v>
      </c>
      <c r="X6" s="13" t="s">
        <v>36</v>
      </c>
      <c r="Y6" s="57" t="s">
        <v>37</v>
      </c>
      <c r="Z6" s="58" t="s">
        <v>38</v>
      </c>
      <c r="AA6" s="40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60"/>
      <c r="AY6" s="60"/>
      <c r="AZ6" s="60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60"/>
      <c r="BO6" s="60"/>
      <c r="BP6" s="60"/>
      <c r="BQ6" s="59"/>
      <c r="BR6" s="59"/>
      <c r="BS6" s="59"/>
      <c r="BT6" s="59"/>
      <c r="BU6" s="59"/>
      <c r="BV6" s="59"/>
      <c r="BW6" s="59"/>
      <c r="BX6" s="59"/>
      <c r="BY6" s="59"/>
      <c r="BZ6" s="61"/>
      <c r="CA6" s="61"/>
      <c r="CB6" s="61"/>
      <c r="CC6" s="61"/>
      <c r="CD6" s="40"/>
      <c r="CE6" s="61"/>
      <c r="CF6" s="61"/>
      <c r="CG6" s="33"/>
      <c r="CH6" s="40"/>
      <c r="CI6" s="30"/>
      <c r="CJ6" s="30"/>
      <c r="CK6" s="30"/>
      <c r="CL6" s="30"/>
      <c r="CM6" s="30"/>
      <c r="CN6" s="30"/>
      <c r="CO6" s="30"/>
      <c r="CP6" s="62"/>
      <c r="CQ6" s="62"/>
      <c r="CR6" s="13"/>
      <c r="CS6" s="13"/>
      <c r="CT6" s="13"/>
      <c r="CU6" s="13"/>
    </row>
    <row r="7" spans="1:99" ht="14.1" customHeight="1">
      <c r="A7" s="63">
        <v>-30</v>
      </c>
      <c r="B7" s="64">
        <v>101</v>
      </c>
      <c r="C7" s="65"/>
      <c r="D7" s="42">
        <f>AVERAGE(U3:U4)</f>
        <v>522.73500000000001</v>
      </c>
      <c r="E7" s="66">
        <f>D7-$E$5</f>
        <v>487.06</v>
      </c>
      <c r="F7" s="66"/>
      <c r="G7" s="66">
        <f>($E7*7.1425)</f>
        <v>3478.8260500000001</v>
      </c>
      <c r="H7" s="66">
        <f>($G7/($B7*0.01))</f>
        <v>3444.3822277227723</v>
      </c>
      <c r="I7" s="66"/>
      <c r="J7" s="67">
        <f>$N$2/$H7/$D$2</f>
        <v>1.9129654258920954</v>
      </c>
      <c r="K7" s="67"/>
      <c r="L7" s="67">
        <f>J7/($D$4/$D$2)</f>
        <v>3.4817698375878074</v>
      </c>
      <c r="N7" s="68">
        <f>J7-M7</f>
        <v>1.9129654258920954</v>
      </c>
      <c r="O7" s="67">
        <f>N7/($D$4/$D$2)</f>
        <v>3.4817698375878074</v>
      </c>
      <c r="P7" s="67"/>
      <c r="Q7" s="30"/>
      <c r="R7" s="30"/>
      <c r="T7" s="13">
        <v>-10</v>
      </c>
      <c r="U7" s="14">
        <v>516.42999999999995</v>
      </c>
      <c r="V7" s="15"/>
      <c r="W7" s="27">
        <v>433996.79999999999</v>
      </c>
      <c r="X7" s="69">
        <v>0.53600000000000003</v>
      </c>
      <c r="Y7" s="70">
        <v>-30</v>
      </c>
      <c r="Z7" s="71"/>
      <c r="AA7" s="40"/>
      <c r="AB7" s="72"/>
      <c r="AC7" s="72"/>
      <c r="AD7" s="72"/>
      <c r="AE7" s="72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19"/>
      <c r="AY7" s="74"/>
      <c r="AZ7" s="74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</row>
    <row r="8" spans="1:99" ht="14.1" customHeight="1">
      <c r="A8" s="63">
        <v>-20</v>
      </c>
      <c r="B8" s="64">
        <v>99</v>
      </c>
      <c r="C8" s="65"/>
      <c r="D8" s="66">
        <f>AVERAGE(U5:U6)</f>
        <v>523.77500000000009</v>
      </c>
      <c r="E8" s="66">
        <f>D8-$E$5</f>
        <v>488.10000000000008</v>
      </c>
      <c r="F8" s="66"/>
      <c r="G8" s="66">
        <f>($E8*7.1425)</f>
        <v>3486.2542500000004</v>
      </c>
      <c r="H8" s="66">
        <f>($G8/($B8*0.01))</f>
        <v>3521.4689393939398</v>
      </c>
      <c r="I8" s="66"/>
      <c r="J8" s="67">
        <f>$N$2/H8/$D$2</f>
        <v>1.871089658489179</v>
      </c>
      <c r="K8" s="67"/>
      <c r="L8" s="67">
        <f>J8/($D$4/$D$2)</f>
        <v>3.4055521590579807</v>
      </c>
      <c r="N8" s="68">
        <f>J8-M8</f>
        <v>1.871089658489179</v>
      </c>
      <c r="O8" s="67">
        <f>N8/($D$4/$D$2)</f>
        <v>3.4055521590579807</v>
      </c>
      <c r="P8" s="67"/>
      <c r="Q8" s="30"/>
      <c r="R8" s="30"/>
      <c r="U8" s="14">
        <v>515.98</v>
      </c>
      <c r="V8" s="15"/>
      <c r="W8" s="27">
        <v>430840.6</v>
      </c>
      <c r="X8" s="69">
        <v>0.50800000000000001</v>
      </c>
      <c r="Y8" s="70">
        <v>-20</v>
      </c>
      <c r="Z8" s="71">
        <v>11.157</v>
      </c>
      <c r="AA8" s="40"/>
      <c r="AB8" s="72"/>
      <c r="AC8" s="72"/>
      <c r="AD8" s="72"/>
      <c r="AE8" s="72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19"/>
      <c r="AY8" s="74"/>
      <c r="AZ8" s="74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</row>
    <row r="9" spans="1:99" ht="14.1" customHeight="1" thickBot="1">
      <c r="A9" s="63">
        <v>-10</v>
      </c>
      <c r="B9" s="75">
        <v>97</v>
      </c>
      <c r="C9" s="65"/>
      <c r="D9" s="66">
        <f>AVERAGE(U7:U8)</f>
        <v>516.20499999999993</v>
      </c>
      <c r="E9" s="66">
        <f>D9-$E$5</f>
        <v>480.52999999999992</v>
      </c>
      <c r="F9" s="66"/>
      <c r="G9" s="66">
        <f>($E9*7.1425)</f>
        <v>3432.1855249999994</v>
      </c>
      <c r="H9" s="66">
        <f>($G9/($B9*0.01))</f>
        <v>3538.3355927835046</v>
      </c>
      <c r="I9" s="66"/>
      <c r="J9" s="67">
        <f>$N$2/H9/$D$2</f>
        <v>1.8621704873413372</v>
      </c>
      <c r="K9" s="67"/>
      <c r="L9" s="67">
        <f>J9/($D$4/$D$2)</f>
        <v>3.3893184620666421</v>
      </c>
      <c r="N9" s="68">
        <f>J9-M9</f>
        <v>1.8621704873413372</v>
      </c>
      <c r="O9" s="67">
        <f>N9/($D$4/$D$2)</f>
        <v>3.3893184620666421</v>
      </c>
      <c r="P9" s="67"/>
      <c r="Q9" s="30"/>
      <c r="R9" s="30"/>
      <c r="T9" s="13">
        <v>-5</v>
      </c>
      <c r="U9" s="14">
        <v>548.59</v>
      </c>
      <c r="V9" s="15"/>
      <c r="W9" s="76">
        <v>429415.3</v>
      </c>
      <c r="X9" s="197">
        <v>0.48499999999999999</v>
      </c>
      <c r="Y9" s="70">
        <v>-10</v>
      </c>
      <c r="Z9" s="71">
        <v>12.521000000000001</v>
      </c>
      <c r="AA9" s="40"/>
      <c r="AB9" s="72"/>
      <c r="AC9" s="72"/>
      <c r="AD9" s="72"/>
      <c r="AE9" s="72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19"/>
      <c r="AY9" s="74"/>
      <c r="AZ9" s="74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</row>
    <row r="10" spans="1:99" s="80" customFormat="1" ht="14.1" customHeight="1">
      <c r="A10" s="77">
        <v>0</v>
      </c>
      <c r="B10" s="75">
        <v>95</v>
      </c>
      <c r="C10" s="65"/>
      <c r="D10" s="66">
        <f>AVERAGE(U11:U12)</f>
        <v>536.52750000000003</v>
      </c>
      <c r="E10" s="66">
        <f>D10-$E$5</f>
        <v>500.85250000000002</v>
      </c>
      <c r="F10" s="66"/>
      <c r="G10" s="78">
        <f>($E10*7.1425)</f>
        <v>3577.33898125</v>
      </c>
      <c r="H10" s="78">
        <f>($G10/($B10*0.01))</f>
        <v>3765.6199802631577</v>
      </c>
      <c r="I10" s="78"/>
      <c r="J10" s="79">
        <f>$N$2/H10/$D$2</f>
        <v>1.749774047759963</v>
      </c>
      <c r="K10" s="79"/>
      <c r="L10" s="67">
        <f>J10/($D$4/$D$2)</f>
        <v>3.1847467913558707</v>
      </c>
      <c r="N10" s="81">
        <f>J10-M10</f>
        <v>1.749774047759963</v>
      </c>
      <c r="O10" s="67">
        <f>N10/($D$4/$D$2)</f>
        <v>3.1847467913558707</v>
      </c>
      <c r="P10" s="67"/>
      <c r="Q10" s="30"/>
      <c r="R10" s="30"/>
      <c r="S10" s="13"/>
      <c r="T10" s="13" t="s">
        <v>39</v>
      </c>
      <c r="U10" s="14">
        <v>552.09</v>
      </c>
      <c r="V10" s="15"/>
      <c r="W10" s="15"/>
      <c r="X10" s="69">
        <v>0.49199999999999999</v>
      </c>
      <c r="Y10" s="70">
        <v>0</v>
      </c>
      <c r="Z10" s="82"/>
      <c r="AA10" s="30"/>
      <c r="AB10" s="83" t="s">
        <v>40</v>
      </c>
      <c r="AC10" s="83" t="s">
        <v>41</v>
      </c>
      <c r="AD10" s="83" t="s">
        <v>42</v>
      </c>
      <c r="AE10" s="83" t="s">
        <v>43</v>
      </c>
      <c r="AF10" s="83" t="s">
        <v>44</v>
      </c>
      <c r="AG10" s="83" t="s">
        <v>45</v>
      </c>
      <c r="AH10" s="83" t="s">
        <v>46</v>
      </c>
      <c r="AI10" s="83" t="s">
        <v>47</v>
      </c>
      <c r="AJ10" s="83" t="s">
        <v>48</v>
      </c>
      <c r="AK10" s="83" t="s">
        <v>49</v>
      </c>
      <c r="AL10" s="83" t="s">
        <v>50</v>
      </c>
      <c r="AM10" s="83" t="s">
        <v>51</v>
      </c>
      <c r="AN10" s="83" t="s">
        <v>52</v>
      </c>
      <c r="AO10" s="83" t="s">
        <v>53</v>
      </c>
      <c r="AP10" s="83" t="s">
        <v>54</v>
      </c>
      <c r="AQ10" s="83" t="s">
        <v>55</v>
      </c>
      <c r="AR10" s="83" t="s">
        <v>56</v>
      </c>
      <c r="AS10" s="83" t="s">
        <v>57</v>
      </c>
      <c r="AT10" s="83" t="s">
        <v>58</v>
      </c>
      <c r="AU10" s="83" t="s">
        <v>59</v>
      </c>
      <c r="AV10" s="84" t="s">
        <v>60</v>
      </c>
      <c r="AW10" s="84" t="s">
        <v>61</v>
      </c>
      <c r="AX10" s="85" t="s">
        <v>62</v>
      </c>
      <c r="AY10" s="85" t="s">
        <v>63</v>
      </c>
      <c r="AZ10" s="85" t="s">
        <v>64</v>
      </c>
      <c r="BA10" s="86" t="s">
        <v>65</v>
      </c>
      <c r="BB10" s="86" t="s">
        <v>66</v>
      </c>
      <c r="BC10" s="86" t="s">
        <v>67</v>
      </c>
      <c r="BD10" s="86" t="s">
        <v>68</v>
      </c>
      <c r="BE10" s="86" t="s">
        <v>69</v>
      </c>
      <c r="BF10" s="86" t="s">
        <v>70</v>
      </c>
      <c r="BG10" s="86" t="s">
        <v>71</v>
      </c>
      <c r="BH10" s="86" t="s">
        <v>72</v>
      </c>
      <c r="BI10" s="86" t="s">
        <v>73</v>
      </c>
      <c r="BJ10" s="86" t="s">
        <v>74</v>
      </c>
      <c r="BK10" s="86" t="s">
        <v>75</v>
      </c>
      <c r="BL10" s="86" t="s">
        <v>76</v>
      </c>
      <c r="BM10" s="86" t="s">
        <v>77</v>
      </c>
      <c r="BN10" s="87" t="s">
        <v>78</v>
      </c>
      <c r="BO10" s="87" t="s">
        <v>79</v>
      </c>
      <c r="BP10" s="87" t="s">
        <v>80</v>
      </c>
      <c r="BQ10" s="88" t="s">
        <v>81</v>
      </c>
      <c r="BR10" s="88" t="s">
        <v>82</v>
      </c>
      <c r="BS10" s="88" t="s">
        <v>83</v>
      </c>
      <c r="BT10" s="88" t="s">
        <v>84</v>
      </c>
      <c r="BU10" s="88" t="s">
        <v>85</v>
      </c>
      <c r="BV10" s="88" t="s">
        <v>86</v>
      </c>
      <c r="BW10" s="88" t="s">
        <v>87</v>
      </c>
      <c r="BX10" s="88" t="s">
        <v>88</v>
      </c>
      <c r="BY10" s="88" t="s">
        <v>89</v>
      </c>
      <c r="BZ10" s="88" t="s">
        <v>90</v>
      </c>
      <c r="CA10" s="88" t="s">
        <v>91</v>
      </c>
      <c r="CB10" s="88" t="s">
        <v>92</v>
      </c>
      <c r="CC10" s="88" t="s">
        <v>93</v>
      </c>
      <c r="CD10" s="40"/>
      <c r="CE10" s="89" t="s">
        <v>94</v>
      </c>
      <c r="CF10" s="89" t="s">
        <v>95</v>
      </c>
      <c r="CG10" s="90" t="s">
        <v>96</v>
      </c>
      <c r="CH10" s="40"/>
      <c r="CI10" s="91" t="s">
        <v>97</v>
      </c>
      <c r="CJ10" s="91" t="s">
        <v>98</v>
      </c>
      <c r="CK10" s="91" t="s">
        <v>99</v>
      </c>
      <c r="CL10" s="91" t="s">
        <v>100</v>
      </c>
      <c r="CM10" s="91" t="s">
        <v>101</v>
      </c>
      <c r="CN10" s="91" t="s">
        <v>102</v>
      </c>
      <c r="CO10" s="91" t="s">
        <v>103</v>
      </c>
      <c r="CP10" s="92" t="s">
        <v>104</v>
      </c>
      <c r="CQ10" s="92" t="s">
        <v>105</v>
      </c>
      <c r="CR10" s="13"/>
      <c r="CS10" s="13"/>
      <c r="CT10" s="13"/>
      <c r="CU10" s="13"/>
    </row>
    <row r="11" spans="1:99" s="49" customFormat="1" ht="14.1" customHeight="1">
      <c r="A11" s="93" t="s">
        <v>106</v>
      </c>
      <c r="B11" s="49">
        <f>AVERAGE(B7:B10)</f>
        <v>98</v>
      </c>
      <c r="E11" s="50">
        <f>AVERAGE(E7:E10)</f>
        <v>489.135625</v>
      </c>
      <c r="G11" s="50">
        <f>AVERAGE(G7:G10)</f>
        <v>3493.6512015625003</v>
      </c>
      <c r="H11" s="50">
        <f>AVERAGE(H7:H10)</f>
        <v>3567.451685040844</v>
      </c>
      <c r="J11" s="94">
        <f>AVERAGE(J7:J10)</f>
        <v>1.8489999048706438</v>
      </c>
      <c r="K11" s="50" t="s">
        <v>39</v>
      </c>
      <c r="L11" s="50">
        <f>AVERAGE(L7:L10)</f>
        <v>3.3653468125170751</v>
      </c>
      <c r="M11" s="50"/>
      <c r="N11" s="94">
        <f>AVERAGE(N7:N10)</f>
        <v>1.8489999048706438</v>
      </c>
      <c r="O11" s="50">
        <f>AVERAGE(O7:O10)</f>
        <v>3.3653468125170751</v>
      </c>
      <c r="P11" s="95"/>
      <c r="Q11" s="95"/>
      <c r="R11" s="95"/>
      <c r="S11" s="6"/>
      <c r="T11" s="13">
        <v>0</v>
      </c>
      <c r="U11" s="196">
        <v>550.34</v>
      </c>
      <c r="V11" s="15"/>
      <c r="W11" s="15"/>
      <c r="X11" s="96">
        <f>AVERAGE(X7:X10)</f>
        <v>0.50524999999999998</v>
      </c>
      <c r="Y11" s="70" t="s">
        <v>107</v>
      </c>
      <c r="Z11" s="96">
        <f>AVERAGE(Z7:Z10)</f>
        <v>11.839</v>
      </c>
      <c r="AA11" s="30"/>
      <c r="AB11" s="72">
        <f>J11</f>
        <v>1.8489999048706438</v>
      </c>
      <c r="AC11" s="73">
        <f>AB11/($D$4/$D$2)</f>
        <v>3.3653468125170756</v>
      </c>
      <c r="AD11" s="73">
        <f>AB11/Z11</f>
        <v>0.15617872327651353</v>
      </c>
      <c r="AE11" s="73">
        <f>AC11/Z11</f>
        <v>0.28425938107247872</v>
      </c>
      <c r="AF11" s="72">
        <f>N20</f>
        <v>0.43797534705323965</v>
      </c>
      <c r="AG11" s="72">
        <f>AF11/($D$4/$D$2)</f>
        <v>0.79715468577582049</v>
      </c>
      <c r="AH11" s="72">
        <f>AF11/Z18</f>
        <v>9.7206023351452762E-3</v>
      </c>
      <c r="AI11" s="72">
        <f>AG11/Z18</f>
        <v>1.7692374130552385E-2</v>
      </c>
      <c r="AJ11" s="73">
        <f>((AB11-AF11)/AB11)*100</f>
        <v>76.31285183414434</v>
      </c>
      <c r="AK11" s="73">
        <f>((AC11-AG11)/AC11)*100</f>
        <v>76.31285183414434</v>
      </c>
      <c r="AL11" s="73">
        <f>((AD11-AH11)/AD11)*100</f>
        <v>93.775975285740429</v>
      </c>
      <c r="AM11" s="73">
        <f>((AE11-AI11)/AE11)*100</f>
        <v>93.775975285740429</v>
      </c>
      <c r="AN11" s="72">
        <f>N29</f>
        <v>-0.88019705125128733</v>
      </c>
      <c r="AO11" s="72">
        <f>AN11/($D$4/$D$2)</f>
        <v>-1.6020381250493803</v>
      </c>
      <c r="AP11" s="72">
        <f>AN11/Z25</f>
        <v>-4.0014413385974787E-3</v>
      </c>
      <c r="AQ11" s="72">
        <f>AO11/Z25</f>
        <v>-7.2829846117624239E-3</v>
      </c>
      <c r="AR11" s="73">
        <f>((AB11-AN11)/AB11)*100</f>
        <v>147.60395330106121</v>
      </c>
      <c r="AS11" s="73">
        <f>((AC11-AO11)/AC11)*100</f>
        <v>147.60395330106121</v>
      </c>
      <c r="AT11" s="73">
        <f>((AD11-AP11)/AD11)*100</f>
        <v>102.56209120848871</v>
      </c>
      <c r="AU11" s="73">
        <f>((AE11-AQ11)/AE11)*100</f>
        <v>102.56209120848871</v>
      </c>
      <c r="AV11" s="72">
        <f>J11</f>
        <v>1.8489999048706438</v>
      </c>
      <c r="AW11" s="72">
        <f>AV11/($D$4/$D$2)</f>
        <v>3.3653468125170756</v>
      </c>
      <c r="AX11" s="95">
        <f>M20</f>
        <v>1.4849474066013781</v>
      </c>
      <c r="AY11" s="95">
        <f>AX11/($D$4/$D$2)</f>
        <v>2.7027383875993554</v>
      </c>
      <c r="AZ11" s="95">
        <f>AX11/Z11</f>
        <v>0.12542844890627403</v>
      </c>
      <c r="BA11" s="73">
        <f>AY11/Z11</f>
        <v>0.22829110462026819</v>
      </c>
      <c r="BB11" s="72">
        <f>P21</f>
        <v>1.354947406601378</v>
      </c>
      <c r="BC11" s="73">
        <f>BB11/($D$4/$D$2)</f>
        <v>2.4661266471256171</v>
      </c>
      <c r="BD11" s="73">
        <f>BB11/Z18</f>
        <v>3.0072251813313491E-2</v>
      </c>
      <c r="BE11" s="73">
        <f>BC11/Z18</f>
        <v>5.4734214165481861E-2</v>
      </c>
      <c r="BF11" s="72">
        <f>K20</f>
        <v>1.9229227536546176</v>
      </c>
      <c r="BG11" s="73">
        <f>BF11/($D$4/$D$2)</f>
        <v>3.4998930733751759</v>
      </c>
      <c r="BH11" s="73">
        <f>BF11/Z18</f>
        <v>4.267812682892147E-2</v>
      </c>
      <c r="BI11" s="73">
        <f>BG11/Z18</f>
        <v>7.7678045147308167E-2</v>
      </c>
      <c r="BJ11" s="72">
        <f>J21</f>
        <v>1.7710813774294452</v>
      </c>
      <c r="BK11" s="73">
        <f>BJ11/($D$4/$D$2)</f>
        <v>3.2235280556477468</v>
      </c>
      <c r="BL11" s="73">
        <f>BJ11/Z18</f>
        <v>3.9308097793641861E-2</v>
      </c>
      <c r="BM11" s="73">
        <f>BK11/Z18</f>
        <v>7.1544287951273211E-2</v>
      </c>
      <c r="BN11" s="95">
        <f>M29</f>
        <v>6.0882843670656515</v>
      </c>
      <c r="BO11" s="95">
        <f>BN11/($D$4/$D$2)</f>
        <v>11.081227389157361</v>
      </c>
      <c r="BP11" s="95">
        <f>BN11/Z25</f>
        <v>2.7677794094947729E-2</v>
      </c>
      <c r="BQ11" s="73">
        <f>BO11/Z25</f>
        <v>5.037608487137956E-2</v>
      </c>
      <c r="BR11" s="72">
        <f>P30</f>
        <v>6.2182843670656514</v>
      </c>
      <c r="BS11" s="73">
        <f>BR11/($D$4/$D$2)</f>
        <v>11.317839129631098</v>
      </c>
      <c r="BT11" s="73">
        <f>BR11/Z25</f>
        <v>2.8268783775358696E-2</v>
      </c>
      <c r="BU11" s="73">
        <f>BS11/Z25</f>
        <v>5.1451739462795382E-2</v>
      </c>
      <c r="BV11" s="72">
        <f>K29</f>
        <v>5.3581961297425469</v>
      </c>
      <c r="BW11" s="73">
        <f>BV11/($D$4/$D$2)</f>
        <v>9.7524008619848708</v>
      </c>
      <c r="BX11" s="73">
        <f>BV11/Z25</f>
        <v>2.4358758602275526E-2</v>
      </c>
      <c r="BY11" s="73">
        <f>BW11/Z25</f>
        <v>4.4335140528185081E-2</v>
      </c>
      <c r="BZ11" s="72">
        <f>J30</f>
        <v>5.9356800533440648</v>
      </c>
      <c r="CA11" s="73">
        <f>BZ11/($D$4/$D$2)</f>
        <v>10.803473756284552</v>
      </c>
      <c r="CB11" s="73">
        <f>BZ11/Z25</f>
        <v>2.6984043521134999E-2</v>
      </c>
      <c r="CC11" s="73">
        <f>CA11/Z25</f>
        <v>4.9113396173498899E-2</v>
      </c>
      <c r="CD11" s="13"/>
      <c r="CE11" s="97">
        <f>B11</f>
        <v>98</v>
      </c>
      <c r="CF11" s="13">
        <f>Z11</f>
        <v>11.839</v>
      </c>
      <c r="CG11" s="40">
        <f>((CE11/18)*CF11)/22.5</f>
        <v>2.864745679012346</v>
      </c>
      <c r="CH11" s="40"/>
      <c r="CI11" s="40">
        <f>X28</f>
        <v>0</v>
      </c>
      <c r="CJ11" s="40">
        <f>X29</f>
        <v>0</v>
      </c>
      <c r="CK11" s="40">
        <f>X30</f>
        <v>0</v>
      </c>
      <c r="CL11" s="40">
        <f>X31</f>
        <v>0</v>
      </c>
      <c r="CM11" s="40">
        <f>X32</f>
        <v>0</v>
      </c>
      <c r="CN11" s="40">
        <f>X33</f>
        <v>0</v>
      </c>
      <c r="CO11" s="13">
        <f>X11</f>
        <v>0.50524999999999998</v>
      </c>
      <c r="CP11" s="13">
        <f>X18</f>
        <v>8.3000000000000004E-2</v>
      </c>
      <c r="CQ11" s="13">
        <f>X25</f>
        <v>4.02E-2</v>
      </c>
      <c r="CR11" s="13"/>
      <c r="CS11" s="13"/>
      <c r="CT11" s="13"/>
      <c r="CU11" s="13"/>
    </row>
    <row r="12" spans="1:99" ht="14.1" customHeight="1" thickBot="1">
      <c r="B12" s="98"/>
      <c r="C12" s="65"/>
      <c r="D12" s="99"/>
      <c r="E12" s="13"/>
      <c r="F12" s="13"/>
      <c r="G12" s="13"/>
      <c r="H12" s="13"/>
      <c r="I12" s="13"/>
      <c r="J12" s="6" t="s">
        <v>108</v>
      </c>
      <c r="K12" s="13"/>
      <c r="L12" s="13"/>
      <c r="M12" s="12" t="s">
        <v>39</v>
      </c>
      <c r="N12" s="13"/>
      <c r="O12" s="13"/>
      <c r="P12" s="13"/>
      <c r="Q12" s="30"/>
      <c r="R12" s="30"/>
      <c r="U12" s="196">
        <v>522.71500000000003</v>
      </c>
      <c r="V12" s="15"/>
      <c r="W12" s="15"/>
      <c r="Y12" s="70"/>
      <c r="Z12" s="96"/>
      <c r="AA12" s="30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30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40"/>
      <c r="CG12" s="40"/>
      <c r="CH12" s="40"/>
      <c r="CI12" s="40"/>
      <c r="CJ12" s="40"/>
      <c r="CK12" s="40"/>
      <c r="CL12" s="40"/>
      <c r="CM12" s="40"/>
      <c r="CN12" s="40"/>
    </row>
    <row r="13" spans="1:99" ht="14.1" customHeight="1" thickBot="1">
      <c r="B13" s="98"/>
      <c r="C13" s="65"/>
      <c r="D13" s="99"/>
      <c r="E13" s="13"/>
      <c r="F13" s="13"/>
      <c r="G13" s="13"/>
      <c r="H13" s="13"/>
      <c r="I13" s="13"/>
      <c r="J13" s="6"/>
      <c r="K13" s="13"/>
      <c r="L13" s="13"/>
      <c r="M13" s="100" t="s">
        <v>32</v>
      </c>
      <c r="N13" s="101"/>
      <c r="O13" s="101"/>
      <c r="P13" s="101"/>
      <c r="Q13" s="30"/>
      <c r="R13" s="102" t="s">
        <v>25</v>
      </c>
      <c r="S13" s="103" t="s">
        <v>109</v>
      </c>
      <c r="T13" s="13">
        <v>30</v>
      </c>
      <c r="U13" s="14">
        <v>553.65</v>
      </c>
      <c r="V13" s="15"/>
      <c r="W13" s="15"/>
      <c r="X13" s="69">
        <v>8.8999999999999996E-2</v>
      </c>
      <c r="Y13" s="30">
        <v>90</v>
      </c>
      <c r="Z13" s="71">
        <v>44.417999999999999</v>
      </c>
      <c r="AA13" s="40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19"/>
      <c r="AY13" s="74"/>
      <c r="AZ13" s="74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40"/>
      <c r="CG13" s="40"/>
      <c r="CH13" s="40"/>
      <c r="CI13" s="40"/>
      <c r="CJ13" s="40"/>
      <c r="CK13" s="40"/>
      <c r="CL13" s="40"/>
      <c r="CM13" s="40"/>
      <c r="CN13" s="40"/>
    </row>
    <row r="14" spans="1:99" ht="14.1" customHeight="1">
      <c r="A14" s="12">
        <v>90</v>
      </c>
      <c r="B14" s="75">
        <v>97</v>
      </c>
      <c r="C14" s="65"/>
      <c r="D14" s="104">
        <f>AVERAGE(U17:U18)</f>
        <v>514.39</v>
      </c>
      <c r="E14" s="78">
        <f>D14-$E$5</f>
        <v>478.71499999999997</v>
      </c>
      <c r="F14" s="78"/>
      <c r="G14" s="78">
        <f t="shared" ref="G14:G27" si="0">($E14*7.1425)</f>
        <v>3419.2218874999999</v>
      </c>
      <c r="H14" s="78">
        <f t="shared" ref="H14:H27" si="1">($G14/($B14*0.01))</f>
        <v>3524.9710180412371</v>
      </c>
      <c r="I14" s="33">
        <f>$C$15*A14+$C$16</f>
        <v>3359.4340607142849</v>
      </c>
      <c r="J14" s="105" t="s">
        <v>110</v>
      </c>
      <c r="K14" s="106" t="s">
        <v>111</v>
      </c>
      <c r="L14" s="13"/>
      <c r="M14" s="107">
        <f>(((S14/60)*$J$1)/$D$2)</f>
        <v>1.4849474066013781</v>
      </c>
      <c r="N14" s="101"/>
      <c r="O14" s="101"/>
      <c r="P14" s="101"/>
      <c r="Q14" s="30"/>
      <c r="R14" s="108">
        <v>90</v>
      </c>
      <c r="S14" s="109">
        <v>46</v>
      </c>
      <c r="U14" s="14">
        <v>491.78</v>
      </c>
      <c r="V14" s="15"/>
      <c r="W14" s="110"/>
      <c r="X14" s="69">
        <v>9.2999999999999999E-2</v>
      </c>
      <c r="Y14" s="30">
        <v>100</v>
      </c>
      <c r="Z14" s="71">
        <v>45.776000000000003</v>
      </c>
      <c r="AA14" s="40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19"/>
      <c r="AY14" s="74"/>
      <c r="AZ14" s="74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40"/>
      <c r="CG14" s="40"/>
      <c r="CH14" s="40"/>
      <c r="CI14" s="40"/>
      <c r="CJ14" s="40"/>
      <c r="CK14" s="40"/>
      <c r="CL14" s="40"/>
      <c r="CM14" s="40"/>
      <c r="CN14" s="40"/>
    </row>
    <row r="15" spans="1:99" s="115" customFormat="1" ht="14.1" customHeight="1">
      <c r="A15" s="12">
        <v>100</v>
      </c>
      <c r="B15" s="75">
        <v>97</v>
      </c>
      <c r="C15" s="65">
        <f>SLOPE(G15:G18,A15:A18)</f>
        <v>-1.243815357142825</v>
      </c>
      <c r="D15" s="104">
        <f>AVERAGE(U19:U20)</f>
        <v>503.41499999999996</v>
      </c>
      <c r="E15" s="66">
        <f>D15-$E$5</f>
        <v>467.73999999999995</v>
      </c>
      <c r="F15" s="111">
        <v>180</v>
      </c>
      <c r="G15" s="112">
        <f t="shared" si="0"/>
        <v>3340.8329499999995</v>
      </c>
      <c r="H15" s="78">
        <f t="shared" si="1"/>
        <v>3444.1576804123706</v>
      </c>
      <c r="I15" s="33">
        <f>$C$15*A15+$C$16</f>
        <v>3346.9959071428566</v>
      </c>
      <c r="J15" s="113">
        <f>((($N$2-(130*$D$2*(((B15+B14)*0.01)/2))*((I15-I14)/(A15-A14))))/((I15+I14)/2))/$D$2</f>
        <v>2.0117496981429053</v>
      </c>
      <c r="K15" s="114">
        <f>$N$2/H15/$D$2</f>
        <v>1.9130901447003308</v>
      </c>
      <c r="L15" s="114">
        <f>J15/($D$4/$D$2)</f>
        <v>3.6615661344239285</v>
      </c>
      <c r="M15" s="107">
        <f>(((S15/60)*$J$1)/$D$2)</f>
        <v>1.4849474066013781</v>
      </c>
      <c r="N15" s="19">
        <f>K15-M15</f>
        <v>0.42814273809895265</v>
      </c>
      <c r="O15" s="74">
        <f>N15/($D$4/$D$2)</f>
        <v>0.77925844948296263</v>
      </c>
      <c r="P15" s="74"/>
      <c r="Q15" s="30"/>
      <c r="R15" s="108">
        <v>100</v>
      </c>
      <c r="S15" s="109">
        <v>46</v>
      </c>
      <c r="T15" s="13">
        <v>60</v>
      </c>
      <c r="U15" s="14">
        <v>524.05999999999995</v>
      </c>
      <c r="V15" s="15"/>
      <c r="W15" s="110"/>
      <c r="X15" s="69">
        <v>0.08</v>
      </c>
      <c r="Y15" s="30">
        <v>110</v>
      </c>
      <c r="Z15" s="71">
        <v>41.691000000000003</v>
      </c>
      <c r="AA15" s="40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19"/>
      <c r="AY15" s="74"/>
      <c r="AZ15" s="74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40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40"/>
      <c r="CH15" s="40"/>
      <c r="CI15" s="40"/>
      <c r="CJ15" s="40"/>
      <c r="CK15" s="40"/>
      <c r="CL15" s="40"/>
      <c r="CM15" s="40"/>
      <c r="CN15" s="40"/>
      <c r="CO15" s="13"/>
      <c r="CP15" s="13"/>
      <c r="CQ15" s="13"/>
      <c r="CR15" s="13"/>
      <c r="CS15" s="13"/>
      <c r="CT15" s="13"/>
      <c r="CU15" s="13"/>
    </row>
    <row r="16" spans="1:99" ht="14.1" customHeight="1">
      <c r="A16" s="12">
        <v>110</v>
      </c>
      <c r="B16" s="75">
        <v>94</v>
      </c>
      <c r="C16" s="65">
        <f>INTERCEPT(G15:G18,A15:A18)</f>
        <v>3471.3774428571392</v>
      </c>
      <c r="D16" s="104">
        <f>AVERAGE(U21:U22)</f>
        <v>507.565</v>
      </c>
      <c r="E16" s="66">
        <f>D16-$E$5</f>
        <v>471.89</v>
      </c>
      <c r="F16" s="116">
        <v>210</v>
      </c>
      <c r="G16" s="66">
        <f t="shared" si="0"/>
        <v>3370.4743250000001</v>
      </c>
      <c r="H16" s="78">
        <f t="shared" si="1"/>
        <v>3585.6109840425529</v>
      </c>
      <c r="I16" s="33">
        <f>$C$15*A16+$C$16</f>
        <v>3334.5577535714283</v>
      </c>
      <c r="J16" s="113">
        <f>((($N$2-(130*$D$2*(((B16+B15)*0.01)/2))*((I16-I15)/(A16-A15))))/((I16+I15)/2))/$D$2</f>
        <v>2.0185136973244764</v>
      </c>
      <c r="K16" s="67">
        <f>$N$2/H16/$D$2</f>
        <v>1.8376182314574987</v>
      </c>
      <c r="L16" s="67">
        <f>J16/($D$4/$D$2)</f>
        <v>3.673877223800194</v>
      </c>
      <c r="M16" s="107">
        <f>(((S16/60)*$J$1)/$D$2)</f>
        <v>1.4849474066013781</v>
      </c>
      <c r="N16" s="19">
        <f>K16-M16</f>
        <v>0.35267082485612056</v>
      </c>
      <c r="O16" s="67">
        <f>N16/($D$4/$D$2)</f>
        <v>0.64189275141165891</v>
      </c>
      <c r="P16" s="67"/>
      <c r="Q16" s="30"/>
      <c r="R16" s="108">
        <v>110</v>
      </c>
      <c r="S16" s="109">
        <v>46</v>
      </c>
      <c r="U16" s="14">
        <v>510.98</v>
      </c>
      <c r="V16" s="15"/>
      <c r="W16" s="110"/>
      <c r="X16" s="69">
        <v>7.4999999999999997E-2</v>
      </c>
      <c r="Y16" s="30">
        <v>115</v>
      </c>
      <c r="Z16" s="71">
        <v>45.585999999999999</v>
      </c>
      <c r="AA16" s="40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19"/>
      <c r="AY16" s="74"/>
      <c r="AZ16" s="74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40"/>
    </row>
    <row r="17" spans="1:67" ht="14.1" customHeight="1">
      <c r="A17" s="12">
        <v>115</v>
      </c>
      <c r="B17" s="75">
        <v>98</v>
      </c>
      <c r="C17" s="65"/>
      <c r="D17" s="104">
        <f>AVERAGE(U23:U24)</f>
        <v>495.06</v>
      </c>
      <c r="E17" s="66">
        <f>D17-$E$5</f>
        <v>459.38499999999999</v>
      </c>
      <c r="F17" s="116">
        <v>220</v>
      </c>
      <c r="G17" s="66">
        <f t="shared" si="0"/>
        <v>3281.1573625000001</v>
      </c>
      <c r="H17" s="78">
        <f t="shared" si="1"/>
        <v>3348.1197576530612</v>
      </c>
      <c r="I17" s="33">
        <f>$C$15*A17+$C$16</f>
        <v>3328.3386767857141</v>
      </c>
      <c r="J17" s="113">
        <f>((($N$2-(130*$D$2*(((B17+B16)*0.01)/2))*((I17-I16)/(A17-A16))))/((I17+I16)/2))/$D$2</f>
        <v>2.0244085563253402</v>
      </c>
      <c r="K17" s="67">
        <f>$N$2/H17/$D$2</f>
        <v>1.9679654827548796</v>
      </c>
      <c r="L17" s="67">
        <f>J17/($D$4/$D$2)</f>
        <v>3.6846063995543608</v>
      </c>
      <c r="M17" s="107">
        <f>(((S17/60)*$J$1)/$D$2)</f>
        <v>1.4849474066013781</v>
      </c>
      <c r="N17" s="19">
        <f>K17-M17</f>
        <v>0.48301807615350145</v>
      </c>
      <c r="O17" s="67">
        <f>N17/($D$4/$D$2)</f>
        <v>0.87913652060735936</v>
      </c>
      <c r="P17" s="67"/>
      <c r="Q17" s="30"/>
      <c r="R17" s="108">
        <v>115</v>
      </c>
      <c r="S17" s="117">
        <v>46</v>
      </c>
      <c r="T17" s="40">
        <v>90</v>
      </c>
      <c r="U17" s="14">
        <v>524.27</v>
      </c>
      <c r="V17" s="15"/>
      <c r="W17" s="110"/>
      <c r="X17" s="69">
        <v>7.8E-2</v>
      </c>
      <c r="Y17" s="30">
        <v>120</v>
      </c>
      <c r="Z17" s="71">
        <v>47.811</v>
      </c>
      <c r="AA17" s="40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19"/>
      <c r="AY17" s="74"/>
      <c r="AZ17" s="74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40"/>
    </row>
    <row r="18" spans="1:67" ht="14.1" customHeight="1">
      <c r="A18" s="12">
        <v>120</v>
      </c>
      <c r="B18" s="118">
        <v>100</v>
      </c>
      <c r="C18" s="65"/>
      <c r="D18" s="104">
        <f>AVERAGE(U25:U26)</f>
        <v>503.23500000000001</v>
      </c>
      <c r="E18" s="66">
        <f>D18-$E$5</f>
        <v>467.56</v>
      </c>
      <c r="F18" s="116">
        <v>225</v>
      </c>
      <c r="G18" s="66">
        <f t="shared" si="0"/>
        <v>3339.5473000000002</v>
      </c>
      <c r="H18" s="78">
        <f t="shared" si="1"/>
        <v>3339.5473000000002</v>
      </c>
      <c r="I18" s="33">
        <f>$C$15*A18+$C$16</f>
        <v>3322.1196</v>
      </c>
      <c r="J18" s="113">
        <f>((($N$2-(130*$D$2*(((B18+B17)*0.01)/2))*((I18-I17)/(A18-A17))))/((I18+I17)/2))/$D$2</f>
        <v>2.0296535579250587</v>
      </c>
      <c r="K18" s="67">
        <f>$N$2/H18/$D$2</f>
        <v>1.9730171557057621</v>
      </c>
      <c r="L18" s="67">
        <f>J18/($D$4/$D$2)</f>
        <v>3.6941527761489525</v>
      </c>
      <c r="M18" s="107">
        <f>(((S18/60)*$J$1)/$D$2)</f>
        <v>1.4849474066013781</v>
      </c>
      <c r="N18" s="19">
        <f>K18-M18</f>
        <v>0.48806974910438394</v>
      </c>
      <c r="O18" s="67">
        <f>N18/($D$4/$D$2)</f>
        <v>0.88833102160130095</v>
      </c>
      <c r="P18" s="67"/>
      <c r="Q18" s="30"/>
      <c r="R18" s="108">
        <v>120</v>
      </c>
      <c r="S18" s="117">
        <v>46</v>
      </c>
      <c r="T18" s="30"/>
      <c r="U18" s="14">
        <v>504.51</v>
      </c>
      <c r="V18" s="15"/>
      <c r="W18" s="110"/>
      <c r="X18" s="96">
        <f>AVERAGE(X13:X17)</f>
        <v>8.3000000000000004E-2</v>
      </c>
      <c r="Y18" s="30" t="s">
        <v>107</v>
      </c>
      <c r="Z18" s="96">
        <f>AVERAGE(Z13:Z17)</f>
        <v>45.056400000000004</v>
      </c>
      <c r="AA18" s="30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5"/>
      <c r="AY18" s="95"/>
      <c r="AZ18" s="95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2"/>
      <c r="BO18" s="40"/>
    </row>
    <row r="19" spans="1:67" ht="14.1" customHeight="1" thickBot="1">
      <c r="A19" s="63"/>
      <c r="B19" s="98"/>
      <c r="C19" s="65"/>
      <c r="D19" s="99"/>
      <c r="E19" s="66"/>
      <c r="F19" s="63"/>
      <c r="G19" s="66"/>
      <c r="H19" s="66"/>
      <c r="I19" s="33"/>
      <c r="J19" s="113"/>
      <c r="K19" s="67"/>
      <c r="L19" s="67"/>
      <c r="M19" s="107"/>
      <c r="O19" s="67"/>
      <c r="P19" s="67"/>
      <c r="Q19" s="30"/>
      <c r="R19" s="108"/>
      <c r="S19" s="117"/>
      <c r="T19" s="41">
        <v>100</v>
      </c>
      <c r="U19" s="14">
        <v>504.13</v>
      </c>
      <c r="V19" s="15"/>
      <c r="W19" s="110"/>
      <c r="Y19" s="30"/>
      <c r="Z19" s="96"/>
      <c r="AA19" s="30"/>
      <c r="AB19" s="96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30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40"/>
    </row>
    <row r="20" spans="1:67" ht="14.1" customHeight="1" thickBot="1">
      <c r="A20" s="119" t="s">
        <v>112</v>
      </c>
      <c r="B20" s="120">
        <f>AVERAGE(B14:B19)</f>
        <v>97.2</v>
      </c>
      <c r="C20" s="121"/>
      <c r="D20" s="122">
        <f>AVERAGE(D14:D18)</f>
        <v>504.733</v>
      </c>
      <c r="E20" s="122">
        <f>AVERAGE(E14:E18)</f>
        <v>469.05799999999999</v>
      </c>
      <c r="F20" s="122"/>
      <c r="G20" s="122">
        <f>AVERAGE(G14:G18)</f>
        <v>3350.2467649999999</v>
      </c>
      <c r="H20" s="122">
        <f>AVERAGE(H14:H18)</f>
        <v>3448.4813480298444</v>
      </c>
      <c r="I20" s="122"/>
      <c r="J20" s="122">
        <f t="shared" ref="J20:O20" si="2">AVERAGE(J14:J18)</f>
        <v>2.0210813774294452</v>
      </c>
      <c r="K20" s="123">
        <f t="shared" si="2"/>
        <v>1.9229227536546176</v>
      </c>
      <c r="L20" s="122">
        <f t="shared" si="2"/>
        <v>3.678550633481859</v>
      </c>
      <c r="M20" s="122">
        <f t="shared" si="2"/>
        <v>1.4849474066013781</v>
      </c>
      <c r="N20" s="123">
        <f t="shared" si="2"/>
        <v>0.43797534705323965</v>
      </c>
      <c r="O20" s="122">
        <f t="shared" si="2"/>
        <v>0.79715468577582049</v>
      </c>
      <c r="P20" s="124"/>
      <c r="Q20" s="30"/>
      <c r="R20" s="108"/>
      <c r="S20" s="117"/>
      <c r="T20" s="41"/>
      <c r="U20" s="14">
        <v>502.7</v>
      </c>
      <c r="V20" s="15"/>
      <c r="W20" s="110"/>
      <c r="X20" s="69">
        <v>0.05</v>
      </c>
      <c r="Y20" s="70">
        <v>210</v>
      </c>
      <c r="Z20" s="71">
        <v>214.59</v>
      </c>
      <c r="AA20" s="40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4"/>
      <c r="AY20" s="74"/>
      <c r="AZ20" s="74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40"/>
    </row>
    <row r="21" spans="1:67" ht="14.1" customHeight="1" thickBot="1">
      <c r="A21" s="70"/>
      <c r="B21" s="118"/>
      <c r="C21" s="36"/>
      <c r="D21" s="99"/>
      <c r="E21" s="33"/>
      <c r="F21" s="125" t="s">
        <v>113</v>
      </c>
      <c r="G21" s="33"/>
      <c r="H21" s="33"/>
      <c r="I21" s="126" t="s">
        <v>114</v>
      </c>
      <c r="J21" s="127">
        <f>J20-((B18-B15)*0.25*$D$2*10)/(30*$D$2)</f>
        <v>1.7710813774294452</v>
      </c>
      <c r="K21" s="74"/>
      <c r="L21" s="128" t="s">
        <v>33</v>
      </c>
      <c r="M21" s="129">
        <f>J21-M20</f>
        <v>0.28613397082806702</v>
      </c>
      <c r="N21" s="19"/>
      <c r="O21" s="74"/>
      <c r="P21" s="130">
        <f>$M$20-(((B18-B14)*1.3)/(A18-A14))</f>
        <v>1.354947406601378</v>
      </c>
      <c r="Q21" s="30"/>
      <c r="R21" s="131"/>
      <c r="S21" s="117"/>
      <c r="T21" s="41">
        <v>110</v>
      </c>
      <c r="U21" s="14">
        <v>513</v>
      </c>
      <c r="V21" s="15"/>
      <c r="W21" s="110"/>
      <c r="X21" s="69">
        <v>5.5E-2</v>
      </c>
      <c r="Y21" s="70">
        <v>220</v>
      </c>
      <c r="Z21" s="71">
        <v>214.53</v>
      </c>
      <c r="AA21" s="40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4"/>
      <c r="AY21" s="74"/>
      <c r="AZ21" s="74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40"/>
    </row>
    <row r="22" spans="1:67" ht="14.1" customHeight="1" thickBot="1">
      <c r="A22" s="63"/>
      <c r="B22" s="98"/>
      <c r="C22" s="65"/>
      <c r="D22" s="99"/>
      <c r="E22" s="66"/>
      <c r="F22" s="63"/>
      <c r="G22" s="66"/>
      <c r="H22" s="66"/>
      <c r="I22" s="33"/>
      <c r="J22" s="132"/>
      <c r="K22" s="67"/>
      <c r="L22" s="133"/>
      <c r="M22" s="134"/>
      <c r="N22" s="101"/>
      <c r="O22" s="133"/>
      <c r="P22" s="133"/>
      <c r="Q22" s="30"/>
      <c r="R22" s="102" t="s">
        <v>25</v>
      </c>
      <c r="S22" s="103" t="s">
        <v>109</v>
      </c>
      <c r="T22" s="30"/>
      <c r="U22" s="14">
        <v>502.13</v>
      </c>
      <c r="V22" s="15"/>
      <c r="W22" s="110"/>
      <c r="X22" s="69">
        <v>2.3E-2</v>
      </c>
      <c r="Y22" s="70">
        <v>230</v>
      </c>
      <c r="Z22" s="71">
        <v>232.01</v>
      </c>
      <c r="AA22" s="40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4"/>
      <c r="AY22" s="74"/>
      <c r="AZ22" s="74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40"/>
    </row>
    <row r="23" spans="1:67" ht="14.1" customHeight="1">
      <c r="A23" s="63">
        <v>210</v>
      </c>
      <c r="B23" s="75">
        <v>100</v>
      </c>
      <c r="C23" s="65"/>
      <c r="D23" s="104">
        <f>AVERAGE(U31:U32)</f>
        <v>237.58500000000001</v>
      </c>
      <c r="E23" s="78">
        <f>D23-$E$5</f>
        <v>201.91000000000003</v>
      </c>
      <c r="F23" s="78"/>
      <c r="G23" s="78">
        <f t="shared" si="0"/>
        <v>1442.1421750000002</v>
      </c>
      <c r="H23" s="78">
        <f t="shared" si="1"/>
        <v>1442.1421750000002</v>
      </c>
      <c r="I23" s="33">
        <f>$C$24*A23+$C$25</f>
        <v>1273.3710221428569</v>
      </c>
      <c r="J23" s="105" t="s">
        <v>110</v>
      </c>
      <c r="K23" s="106" t="s">
        <v>111</v>
      </c>
      <c r="L23" s="67"/>
      <c r="M23" s="19">
        <f>(((S23/60)*$J$1)/$D$2)</f>
        <v>5.4878491113529195</v>
      </c>
      <c r="N23" s="101"/>
      <c r="O23" s="133"/>
      <c r="P23" s="133"/>
      <c r="Q23" s="30"/>
      <c r="R23" s="131">
        <v>210</v>
      </c>
      <c r="S23" s="117">
        <v>170</v>
      </c>
      <c r="T23" s="13">
        <v>115</v>
      </c>
      <c r="U23" s="14">
        <v>510.43</v>
      </c>
      <c r="V23" s="15"/>
      <c r="W23" s="110"/>
      <c r="X23" s="69">
        <v>3.9E-2</v>
      </c>
      <c r="Y23" s="70">
        <v>235</v>
      </c>
      <c r="Z23" s="71">
        <v>222.58</v>
      </c>
      <c r="AA23" s="40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4"/>
      <c r="AY23" s="74"/>
      <c r="AZ23" s="74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40"/>
    </row>
    <row r="24" spans="1:67" ht="14.1" customHeight="1">
      <c r="A24" s="63">
        <v>220</v>
      </c>
      <c r="B24" s="195">
        <v>98</v>
      </c>
      <c r="C24" s="65">
        <f>SLOPE(G24:G27,A24:A27)</f>
        <v>-3.5257420714285592</v>
      </c>
      <c r="D24" s="104">
        <f>AVERAGE(U33:U34)</f>
        <v>207.57499999999999</v>
      </c>
      <c r="E24" s="66">
        <f>D24-$E$5</f>
        <v>171.89999999999998</v>
      </c>
      <c r="F24" s="111">
        <v>180</v>
      </c>
      <c r="G24" s="112">
        <f t="shared" si="0"/>
        <v>1227.7957499999998</v>
      </c>
      <c r="H24" s="112">
        <f t="shared" si="1"/>
        <v>1252.8528061224488</v>
      </c>
      <c r="I24" s="33">
        <f>$C$24*A24+$C$25</f>
        <v>1238.1136014285712</v>
      </c>
      <c r="J24" s="113">
        <f>((($N$2-(130*$D$2*(((B24+B23)*0.01)/2))*((I24-I23)/(A24-A23))))/((I24+I23)/2))/$D$2</f>
        <v>5.608433397269744</v>
      </c>
      <c r="K24" s="114">
        <f>$N$2/H24/$D$2</f>
        <v>5.2591845450573036</v>
      </c>
      <c r="L24" s="114">
        <f>J24/($D$4/$D$2)</f>
        <v>10.20785528814643</v>
      </c>
      <c r="M24" s="107">
        <f>(((S24/60)*$J$1)/$D$2)</f>
        <v>5.4878491113529195</v>
      </c>
      <c r="N24" s="19">
        <f>K24-M24</f>
        <v>-0.22866456629561593</v>
      </c>
      <c r="O24" s="74">
        <f>N24/($D$4/$D$2)</f>
        <v>-0.4161901616606018</v>
      </c>
      <c r="P24" s="74"/>
      <c r="Q24" s="30"/>
      <c r="R24" s="131">
        <v>220</v>
      </c>
      <c r="S24" s="117">
        <v>170</v>
      </c>
      <c r="U24" s="14">
        <v>479.69</v>
      </c>
      <c r="V24" s="15"/>
      <c r="W24" s="110"/>
      <c r="X24" s="69">
        <v>3.4000000000000002E-2</v>
      </c>
      <c r="Y24" s="70">
        <v>240</v>
      </c>
      <c r="Z24" s="71">
        <v>216.14</v>
      </c>
      <c r="AA24" s="40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4"/>
      <c r="AY24" s="74"/>
      <c r="AZ24" s="74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40"/>
    </row>
    <row r="25" spans="1:67" ht="14.1" customHeight="1">
      <c r="A25" s="63">
        <v>230</v>
      </c>
      <c r="B25" s="75">
        <v>96</v>
      </c>
      <c r="C25" s="65">
        <f>INTERCEPT(G24:G27,A24:A27)</f>
        <v>2013.7768571428542</v>
      </c>
      <c r="D25" s="104">
        <f>AVERAGE(U35:U36)</f>
        <v>211.63</v>
      </c>
      <c r="E25" s="66">
        <f>D25-$E$5</f>
        <v>175.95499999999998</v>
      </c>
      <c r="F25" s="111">
        <v>180</v>
      </c>
      <c r="G25" s="112">
        <f t="shared" si="0"/>
        <v>1256.7585875</v>
      </c>
      <c r="H25" s="112">
        <f t="shared" si="1"/>
        <v>1309.1235286458334</v>
      </c>
      <c r="I25" s="33">
        <f>$C$24*A25+$C$25</f>
        <v>1202.8561807142855</v>
      </c>
      <c r="J25" s="113">
        <f>((($N$2-(130*$D$2*(((B25+B24)*0.01)/2))*((I25-I24)/(A25-A24))))/((I25+I24)/2))/$D$2</f>
        <v>5.7629391743009801</v>
      </c>
      <c r="K25" s="114">
        <f>$N$2/H25/$D$2</f>
        <v>5.0331263406491127</v>
      </c>
      <c r="L25" s="114">
        <f>J25/($D$4/$D$2)</f>
        <v>10.489069755966492</v>
      </c>
      <c r="M25" s="107">
        <f>(((S25/60)*$J$1)/$D$2)</f>
        <v>6.4885745375408055</v>
      </c>
      <c r="N25" s="19">
        <f>K25-M25</f>
        <v>-1.4554481968916928</v>
      </c>
      <c r="O25" s="114">
        <f>N25/($D$4/$D$2)</f>
        <v>-2.6490471618146754</v>
      </c>
      <c r="P25" s="74"/>
      <c r="Q25" s="30"/>
      <c r="R25" s="131">
        <v>230</v>
      </c>
      <c r="S25" s="117">
        <v>201</v>
      </c>
      <c r="T25" s="13">
        <v>120</v>
      </c>
      <c r="U25" s="14">
        <v>486.35</v>
      </c>
      <c r="V25" s="15"/>
      <c r="W25" s="110"/>
      <c r="X25" s="96">
        <f>AVERAGE(X20:X24)</f>
        <v>4.02E-2</v>
      </c>
      <c r="Y25" s="57" t="s">
        <v>107</v>
      </c>
      <c r="Z25" s="96">
        <f>AVERAGE(Z20:Z24)</f>
        <v>219.96999999999997</v>
      </c>
      <c r="AA25" s="30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5"/>
      <c r="AY25" s="95"/>
      <c r="AZ25" s="95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40"/>
    </row>
    <row r="26" spans="1:67" ht="14.1" customHeight="1">
      <c r="A26" s="63">
        <v>235</v>
      </c>
      <c r="B26" s="75">
        <v>98</v>
      </c>
      <c r="C26" s="65"/>
      <c r="D26" s="104">
        <f>AVERAGE(U37:U38)</f>
        <v>192.3</v>
      </c>
      <c r="E26" s="66">
        <f>D26-$E$5</f>
        <v>156.625</v>
      </c>
      <c r="F26" s="111">
        <v>180</v>
      </c>
      <c r="G26" s="112">
        <f t="shared" si="0"/>
        <v>1118.6940625</v>
      </c>
      <c r="H26" s="112">
        <f t="shared" si="1"/>
        <v>1141.5245535714287</v>
      </c>
      <c r="I26" s="33">
        <f>$C$24*A26+$C$25</f>
        <v>1185.2274703571429</v>
      </c>
      <c r="J26" s="113">
        <f>((($N$2-(130*$D$2*(((B26+B25)*0.01)/2))*((I26-I25)/(A26-A25))))/((I26+I25)/2))/$D$2</f>
        <v>5.8905643336591957</v>
      </c>
      <c r="K26" s="114">
        <f>$N$2/H26/$D$2</f>
        <v>5.7720914496111764</v>
      </c>
      <c r="L26" s="114">
        <f>J26/($D$4/$D$2)</f>
        <v>10.721359071997151</v>
      </c>
      <c r="M26" s="107">
        <f>(((S26/60)*$J$1)/$D$2)</f>
        <v>6.4885745375408055</v>
      </c>
      <c r="N26" s="19">
        <f>K26-M26</f>
        <v>-0.71648308792962911</v>
      </c>
      <c r="O26" s="114">
        <f>N26/($D$4/$D$2)</f>
        <v>-1.3040639265771394</v>
      </c>
      <c r="P26" s="74"/>
      <c r="Q26" s="30"/>
      <c r="R26" s="131">
        <v>235</v>
      </c>
      <c r="S26" s="117">
        <v>201</v>
      </c>
      <c r="U26" s="14">
        <v>520.12</v>
      </c>
      <c r="V26" s="15"/>
      <c r="W26" s="11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</row>
    <row r="27" spans="1:67" ht="14.1" customHeight="1">
      <c r="A27" s="63">
        <v>240</v>
      </c>
      <c r="B27" s="118">
        <v>97</v>
      </c>
      <c r="C27" s="65"/>
      <c r="D27" s="104">
        <f>AVERAGE(U39:U40)</f>
        <v>202.36</v>
      </c>
      <c r="E27" s="66">
        <f>D27-$E$5</f>
        <v>166.685</v>
      </c>
      <c r="F27" s="111">
        <v>180</v>
      </c>
      <c r="G27" s="112">
        <f t="shared" si="0"/>
        <v>1190.5476125</v>
      </c>
      <c r="H27" s="112">
        <f t="shared" si="1"/>
        <v>1227.3686726804124</v>
      </c>
      <c r="I27" s="33">
        <f>$C$24*A27+$C$25</f>
        <v>1167.5987599999999</v>
      </c>
      <c r="J27" s="113">
        <f>((($N$2-(130*$D$2*(((B27+B26)*0.01)/2))*((I27-I26)/(A27-A26))))/((I27+I26)/2))/$D$2</f>
        <v>5.9807833081463375</v>
      </c>
      <c r="K27" s="114">
        <f>$N$2/H27/$D$2</f>
        <v>5.368382183652594</v>
      </c>
      <c r="L27" s="114">
        <f>J27/($D$4/$D$2)</f>
        <v>10.885565753359908</v>
      </c>
      <c r="M27" s="107">
        <f>(((S27/60)*$J$1)/$D$2)</f>
        <v>6.4885745375408055</v>
      </c>
      <c r="N27" s="19">
        <f>K27-M27</f>
        <v>-1.1201923538882115</v>
      </c>
      <c r="O27" s="114">
        <f>N27/($D$4/$D$2)</f>
        <v>-2.0388512501451048</v>
      </c>
      <c r="P27" s="74"/>
      <c r="Q27" s="30"/>
      <c r="R27" s="131">
        <v>240</v>
      </c>
      <c r="S27" s="117">
        <v>201</v>
      </c>
      <c r="T27" s="13">
        <v>150</v>
      </c>
      <c r="U27" s="14">
        <v>415.12</v>
      </c>
      <c r="V27" s="15"/>
      <c r="W27" s="11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</row>
    <row r="28" spans="1:67" ht="14.1" customHeight="1" thickBot="1">
      <c r="A28" s="63"/>
      <c r="B28" s="118"/>
      <c r="C28" s="65"/>
      <c r="D28" s="99"/>
      <c r="E28" s="66"/>
      <c r="F28" s="135"/>
      <c r="G28" s="112"/>
      <c r="H28" s="112"/>
      <c r="I28" s="33"/>
      <c r="J28" s="113"/>
      <c r="K28" s="114"/>
      <c r="L28" s="114"/>
      <c r="M28" s="107"/>
      <c r="N28" s="107"/>
      <c r="O28" s="114"/>
      <c r="P28" s="74"/>
      <c r="Q28" s="30"/>
      <c r="R28" s="108"/>
      <c r="S28" s="117"/>
      <c r="U28" s="14">
        <v>430.8</v>
      </c>
      <c r="V28" s="15"/>
      <c r="W28" s="110"/>
      <c r="X28" s="69"/>
      <c r="Y28" s="13" t="s">
        <v>115</v>
      </c>
    </row>
    <row r="29" spans="1:67" ht="14.1" customHeight="1" thickBot="1">
      <c r="A29" s="119" t="s">
        <v>112</v>
      </c>
      <c r="B29" s="122">
        <f>AVERAGE(B23:B28)</f>
        <v>97.8</v>
      </c>
      <c r="C29" s="121"/>
      <c r="D29" s="122">
        <f>AVERAGE(D23:D28)</f>
        <v>210.28999999999996</v>
      </c>
      <c r="E29" s="122">
        <f>AVERAGE(E23:E28)</f>
        <v>174.61500000000001</v>
      </c>
      <c r="F29" s="122">
        <f>AVERAGE(F24:F28)</f>
        <v>180</v>
      </c>
      <c r="G29" s="122">
        <f>AVERAGE(G23:G28)</f>
        <v>1247.1876374999999</v>
      </c>
      <c r="H29" s="122">
        <f>AVERAGE(H23:H28)</f>
        <v>1274.6023472040247</v>
      </c>
      <c r="I29" s="122"/>
      <c r="J29" s="122">
        <f t="shared" ref="J29:O29" si="3">AVERAGE(J23:J28)</f>
        <v>5.8106800533440648</v>
      </c>
      <c r="K29" s="123">
        <f t="shared" si="3"/>
        <v>5.3581961297425469</v>
      </c>
      <c r="L29" s="122">
        <f t="shared" si="3"/>
        <v>10.575962467367495</v>
      </c>
      <c r="M29" s="122">
        <f t="shared" si="3"/>
        <v>6.0882843670656515</v>
      </c>
      <c r="N29" s="123">
        <f t="shared" si="3"/>
        <v>-0.88019705125128733</v>
      </c>
      <c r="O29" s="122">
        <f t="shared" si="3"/>
        <v>-1.6020381250493803</v>
      </c>
      <c r="P29" s="122"/>
      <c r="Q29" s="136"/>
      <c r="R29" s="137"/>
      <c r="S29" s="138"/>
      <c r="T29" s="13">
        <v>180</v>
      </c>
      <c r="U29" s="14">
        <v>274.01</v>
      </c>
      <c r="V29" s="15"/>
      <c r="W29" s="110"/>
      <c r="X29" s="69"/>
      <c r="Y29" s="13" t="s">
        <v>116</v>
      </c>
    </row>
    <row r="30" spans="1:67" ht="14.1" customHeight="1">
      <c r="A30" s="70"/>
      <c r="B30" s="139"/>
      <c r="C30" s="36"/>
      <c r="D30" s="99"/>
      <c r="E30" s="33"/>
      <c r="F30" s="125" t="s">
        <v>117</v>
      </c>
      <c r="G30" s="33"/>
      <c r="H30" s="33"/>
      <c r="I30" s="140" t="s">
        <v>114</v>
      </c>
      <c r="J30" s="141">
        <f>J29-((B27-B24)*0.25*$D$2*10)/(20*$D$2)</f>
        <v>5.9356800533440648</v>
      </c>
      <c r="K30" s="74"/>
      <c r="L30" s="142" t="s">
        <v>33</v>
      </c>
      <c r="M30" s="143">
        <f>J30-M29</f>
        <v>-0.15260431372158667</v>
      </c>
      <c r="N30" s="19">
        <f>AVERAGE(J24:J25)-M29</f>
        <v>-0.4025980812802894</v>
      </c>
      <c r="O30" s="74"/>
      <c r="P30" s="130">
        <f>$M$29-(((B27-B23)*1.3)/(A27-A23))</f>
        <v>6.2182843670656514</v>
      </c>
      <c r="Q30" s="30"/>
      <c r="R30" s="63"/>
      <c r="S30" s="144"/>
      <c r="U30" s="14">
        <v>268.14</v>
      </c>
      <c r="V30" s="15"/>
      <c r="W30" s="110"/>
      <c r="X30" s="69"/>
      <c r="Y30" s="13" t="s">
        <v>118</v>
      </c>
    </row>
    <row r="31" spans="1:67" ht="14.1" customHeight="1">
      <c r="A31" s="145"/>
      <c r="B31" s="139"/>
      <c r="C31" s="146"/>
      <c r="D31" s="147"/>
      <c r="E31" s="148"/>
      <c r="F31" s="145"/>
      <c r="G31" s="148"/>
      <c r="H31" s="148"/>
      <c r="I31" s="148"/>
      <c r="J31" s="149"/>
      <c r="K31" s="150"/>
      <c r="L31" s="133"/>
      <c r="M31" s="134"/>
      <c r="N31" s="101"/>
      <c r="O31" s="150"/>
      <c r="P31" s="150"/>
      <c r="Q31" s="96"/>
      <c r="R31" s="151"/>
      <c r="S31" s="101" t="s">
        <v>32</v>
      </c>
      <c r="T31" s="13">
        <v>210</v>
      </c>
      <c r="U31" s="14">
        <v>242.21</v>
      </c>
      <c r="V31" s="15"/>
      <c r="W31" s="110"/>
      <c r="X31" s="69"/>
      <c r="Y31" s="13" t="s">
        <v>119</v>
      </c>
    </row>
    <row r="32" spans="1:67" ht="14.1" customHeight="1">
      <c r="A32" s="145"/>
      <c r="B32" s="148"/>
      <c r="C32" s="146"/>
      <c r="D32" s="147"/>
      <c r="E32" s="148"/>
      <c r="F32" s="148"/>
      <c r="G32" s="148"/>
      <c r="H32" s="148"/>
      <c r="I32" s="148"/>
      <c r="J32" s="152"/>
      <c r="K32" s="153"/>
      <c r="L32" s="58"/>
      <c r="M32" s="124"/>
      <c r="N32" s="101"/>
      <c r="O32" s="150"/>
      <c r="P32" s="150"/>
      <c r="Q32" s="96"/>
      <c r="R32" s="145"/>
      <c r="S32" s="58"/>
      <c r="U32" s="14">
        <v>232.96</v>
      </c>
      <c r="V32" s="15"/>
      <c r="W32" s="110"/>
      <c r="X32" s="69"/>
      <c r="Y32" s="13" t="s">
        <v>120</v>
      </c>
    </row>
    <row r="33" spans="1:99" ht="14.1" customHeight="1">
      <c r="A33" s="145"/>
      <c r="B33" s="148"/>
      <c r="C33" s="146"/>
      <c r="D33" s="147"/>
      <c r="E33" s="148"/>
      <c r="F33" s="145"/>
      <c r="G33" s="148"/>
      <c r="H33" s="148"/>
      <c r="I33" s="148"/>
      <c r="J33" s="149"/>
      <c r="K33" s="150"/>
      <c r="L33" s="150"/>
      <c r="M33" s="124"/>
      <c r="N33" s="124"/>
      <c r="O33" s="150"/>
      <c r="P33" s="150"/>
      <c r="Q33" s="96"/>
      <c r="R33" s="145"/>
      <c r="S33" s="58"/>
      <c r="T33" s="13">
        <v>220</v>
      </c>
      <c r="U33" s="14">
        <v>214.27</v>
      </c>
      <c r="V33" s="15"/>
      <c r="W33" s="110"/>
      <c r="X33" s="69"/>
      <c r="Y33" s="20" t="s">
        <v>121</v>
      </c>
    </row>
    <row r="34" spans="1:99" ht="14.1" customHeight="1">
      <c r="A34" s="145"/>
      <c r="B34" s="148"/>
      <c r="C34" s="146"/>
      <c r="D34" s="147"/>
      <c r="E34" s="148"/>
      <c r="F34" s="145"/>
      <c r="G34" s="148"/>
      <c r="H34" s="148"/>
      <c r="I34" s="148"/>
      <c r="J34" s="149"/>
      <c r="K34" s="150"/>
      <c r="L34" s="150"/>
      <c r="M34" s="124"/>
      <c r="N34" s="124"/>
      <c r="O34" s="150"/>
      <c r="P34" s="150"/>
      <c r="Q34" s="96"/>
      <c r="R34" s="145"/>
      <c r="S34" s="58"/>
      <c r="U34" s="14">
        <v>200.88</v>
      </c>
      <c r="V34" s="15"/>
      <c r="W34" s="110"/>
    </row>
    <row r="35" spans="1:99" ht="14.1" customHeight="1">
      <c r="A35" s="145"/>
      <c r="B35" s="148"/>
      <c r="C35" s="146"/>
      <c r="D35" s="147"/>
      <c r="E35" s="148"/>
      <c r="F35" s="145"/>
      <c r="G35" s="148"/>
      <c r="H35" s="148"/>
      <c r="I35" s="148"/>
      <c r="J35" s="149"/>
      <c r="K35" s="150"/>
      <c r="L35" s="150"/>
      <c r="M35" s="124"/>
      <c r="N35" s="124"/>
      <c r="O35" s="150"/>
      <c r="P35" s="150"/>
      <c r="Q35" s="96"/>
      <c r="R35" s="145"/>
      <c r="S35" s="58"/>
      <c r="T35" s="13">
        <v>230</v>
      </c>
      <c r="U35" s="14">
        <v>217.05</v>
      </c>
      <c r="V35" s="15"/>
      <c r="W35" s="110"/>
    </row>
    <row r="36" spans="1:99" ht="14.1" customHeight="1">
      <c r="A36" s="145"/>
      <c r="B36" s="139"/>
      <c r="C36" s="146"/>
      <c r="D36" s="147"/>
      <c r="E36" s="148"/>
      <c r="F36" s="145"/>
      <c r="G36" s="148"/>
      <c r="H36" s="148"/>
      <c r="I36" s="148"/>
      <c r="J36" s="149"/>
      <c r="K36" s="150"/>
      <c r="L36" s="150"/>
      <c r="M36" s="124"/>
      <c r="N36" s="124"/>
      <c r="O36" s="150"/>
      <c r="P36" s="150"/>
      <c r="Q36" s="96"/>
      <c r="R36" s="145"/>
      <c r="S36" s="58"/>
      <c r="U36" s="14">
        <v>206.21</v>
      </c>
      <c r="V36" s="15"/>
      <c r="W36" s="110"/>
      <c r="X36"/>
    </row>
    <row r="37" spans="1:99" ht="14.1" customHeight="1">
      <c r="A37" s="145"/>
      <c r="B37" s="139"/>
      <c r="C37" s="146"/>
      <c r="D37" s="147"/>
      <c r="E37" s="148"/>
      <c r="F37" s="145"/>
      <c r="G37" s="148"/>
      <c r="H37" s="148"/>
      <c r="I37" s="148"/>
      <c r="J37" s="149"/>
      <c r="K37" s="150"/>
      <c r="L37" s="150"/>
      <c r="M37" s="124"/>
      <c r="N37" s="124"/>
      <c r="O37" s="150"/>
      <c r="P37" s="150"/>
      <c r="Q37" s="96"/>
      <c r="R37" s="96"/>
      <c r="S37" s="58"/>
      <c r="T37" s="13">
        <v>235</v>
      </c>
      <c r="U37" s="14">
        <v>202.92</v>
      </c>
      <c r="V37" s="15"/>
      <c r="W37" s="15"/>
      <c r="X37" s="6"/>
    </row>
    <row r="38" spans="1:99" s="156" customFormat="1" ht="14.1" customHeight="1">
      <c r="A38" s="154"/>
      <c r="B38" s="139"/>
      <c r="C38" s="155"/>
      <c r="D38" s="139"/>
      <c r="E38" s="139"/>
      <c r="F38" s="139"/>
      <c r="G38" s="139"/>
      <c r="H38" s="139"/>
      <c r="I38" s="139"/>
      <c r="J38" s="124"/>
      <c r="K38" s="124"/>
      <c r="L38" s="124"/>
      <c r="M38" s="124"/>
      <c r="N38" s="124"/>
      <c r="O38" s="124"/>
      <c r="P38" s="124"/>
      <c r="Q38" s="155"/>
      <c r="R38" s="145"/>
      <c r="S38" s="58"/>
      <c r="T38" s="13"/>
      <c r="U38" s="14">
        <v>181.68</v>
      </c>
      <c r="V38" s="15"/>
      <c r="W38" s="15"/>
      <c r="X38" s="6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</row>
    <row r="39" spans="1:99" s="3" customFormat="1" ht="14.1" customHeight="1">
      <c r="A39" s="157"/>
      <c r="B39" s="158"/>
      <c r="C39" s="159"/>
      <c r="D39" s="160"/>
      <c r="E39" s="160"/>
      <c r="F39" s="161"/>
      <c r="G39" s="160"/>
      <c r="H39" s="148"/>
      <c r="I39" s="162"/>
      <c r="J39" s="163"/>
      <c r="K39" s="150"/>
      <c r="L39" s="155"/>
      <c r="M39" s="134"/>
      <c r="N39" s="155"/>
      <c r="O39" s="155"/>
      <c r="P39" s="155"/>
      <c r="Q39" s="58"/>
      <c r="R39" s="58"/>
      <c r="S39" s="58"/>
      <c r="T39" s="13">
        <v>240</v>
      </c>
      <c r="U39" s="14">
        <v>194.31</v>
      </c>
      <c r="V39" s="15"/>
      <c r="W39" s="15"/>
      <c r="X39" s="6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</row>
    <row r="40" spans="1:99" ht="14.1" customHeight="1">
      <c r="A40" s="164"/>
      <c r="B40" s="165"/>
      <c r="C40" s="164"/>
      <c r="D40" s="148"/>
      <c r="E40" s="164"/>
      <c r="F40" s="164"/>
      <c r="G40" s="96"/>
      <c r="H40" s="101"/>
      <c r="I40" s="58"/>
      <c r="J40" s="155"/>
      <c r="K40" s="166"/>
      <c r="L40" s="167"/>
      <c r="M40" s="168"/>
      <c r="N40" s="134"/>
      <c r="O40" s="169"/>
      <c r="P40" s="169"/>
      <c r="Q40" s="58"/>
      <c r="R40" s="58"/>
      <c r="S40" s="58"/>
      <c r="U40" s="14">
        <v>210.41</v>
      </c>
      <c r="V40" s="15"/>
      <c r="W40" s="15"/>
    </row>
    <row r="41" spans="1:99" ht="14.1" customHeight="1">
      <c r="A41" s="164"/>
      <c r="B41" s="170"/>
      <c r="C41" s="164"/>
      <c r="D41" s="171"/>
      <c r="E41" s="164"/>
      <c r="F41" s="164"/>
      <c r="G41" s="124"/>
      <c r="H41" s="58"/>
      <c r="I41" s="58"/>
      <c r="J41" s="170"/>
      <c r="K41" s="170"/>
      <c r="L41" s="96"/>
      <c r="M41" s="172"/>
      <c r="N41" s="160"/>
      <c r="O41" s="58"/>
      <c r="P41" s="58"/>
      <c r="Q41" s="58"/>
      <c r="R41" s="58"/>
      <c r="S41" s="58"/>
      <c r="U41" s="173"/>
      <c r="V41" s="174"/>
      <c r="W41" s="175"/>
    </row>
    <row r="42" spans="1:99" ht="14.1" customHeight="1">
      <c r="A42" s="3"/>
      <c r="B42" s="3"/>
      <c r="C42" s="3"/>
      <c r="D42" s="33"/>
      <c r="E42" s="3"/>
      <c r="F42" s="3"/>
      <c r="G42" s="19"/>
      <c r="H42" s="40"/>
      <c r="I42" s="40"/>
      <c r="J42" s="30"/>
      <c r="K42" s="30"/>
      <c r="L42" s="30"/>
      <c r="M42" s="30"/>
      <c r="N42" s="33"/>
      <c r="O42" s="33"/>
      <c r="P42" s="33"/>
      <c r="Q42" s="40"/>
      <c r="R42" s="40"/>
      <c r="U42" s="173"/>
      <c r="V42" s="174"/>
      <c r="W42" s="175"/>
    </row>
    <row r="43" spans="1:99" ht="14.1" customHeight="1">
      <c r="A43" s="30"/>
      <c r="B43" s="176"/>
      <c r="C43" s="3"/>
      <c r="D43" s="33"/>
      <c r="E43" s="177"/>
      <c r="F43" s="177"/>
      <c r="G43" s="33"/>
      <c r="H43" s="174"/>
      <c r="I43" s="40"/>
      <c r="J43" s="30"/>
      <c r="K43" s="30"/>
      <c r="L43" s="30"/>
      <c r="M43" s="33"/>
      <c r="N43" s="178"/>
      <c r="O43" s="33"/>
      <c r="P43" s="33"/>
      <c r="Q43" s="40"/>
      <c r="R43" s="40"/>
      <c r="U43" s="173"/>
      <c r="V43" s="174"/>
      <c r="W43" s="175"/>
    </row>
    <row r="44" spans="1:99" ht="14.1" customHeight="1">
      <c r="A44" s="3"/>
      <c r="B44" s="30"/>
      <c r="C44" s="3"/>
      <c r="D44" s="41"/>
      <c r="E44" s="42"/>
      <c r="F44" s="42"/>
      <c r="G44" s="19"/>
      <c r="H44" s="19"/>
      <c r="I44" s="30"/>
      <c r="J44" s="179"/>
      <c r="K44" s="179"/>
      <c r="L44" s="180"/>
      <c r="M44" s="39"/>
      <c r="N44" s="179"/>
      <c r="O44" s="180"/>
      <c r="P44" s="180"/>
      <c r="Q44" s="46"/>
      <c r="R44" s="46"/>
      <c r="U44" s="173"/>
      <c r="V44" s="174"/>
      <c r="W44" s="175"/>
    </row>
    <row r="45" spans="1:99" s="1" customFormat="1" ht="14.1" customHeight="1">
      <c r="A45" s="3"/>
      <c r="B45" s="181"/>
      <c r="C45" s="181"/>
      <c r="D45" s="25"/>
      <c r="E45" s="181"/>
      <c r="F45" s="181"/>
      <c r="G45" s="181"/>
      <c r="H45" s="95"/>
      <c r="I45" s="95"/>
      <c r="J45" s="182"/>
      <c r="K45" s="182"/>
      <c r="L45" s="182"/>
      <c r="M45" s="182"/>
      <c r="N45" s="182"/>
      <c r="O45" s="54"/>
      <c r="P45" s="54"/>
      <c r="Q45" s="55"/>
      <c r="R45" s="55"/>
      <c r="S45" s="13"/>
      <c r="T45" s="13"/>
      <c r="U45" s="173"/>
      <c r="V45" s="40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</row>
    <row r="46" spans="1:99" ht="14.1" customHeight="1">
      <c r="A46" s="70"/>
      <c r="B46" s="33"/>
      <c r="C46" s="36"/>
      <c r="D46" s="33"/>
      <c r="E46" s="33"/>
      <c r="F46" s="33"/>
      <c r="G46" s="33"/>
      <c r="H46" s="33"/>
      <c r="I46" s="33"/>
      <c r="J46" s="74"/>
      <c r="K46" s="74"/>
      <c r="L46" s="74"/>
      <c r="M46" s="30"/>
      <c r="N46" s="19"/>
      <c r="O46" s="74"/>
      <c r="P46" s="74"/>
      <c r="Q46" s="30"/>
      <c r="R46" s="30"/>
      <c r="U46" s="173"/>
    </row>
    <row r="47" spans="1:99" ht="14.1" customHeight="1">
      <c r="A47" s="70"/>
      <c r="B47" s="33"/>
      <c r="C47" s="36"/>
      <c r="D47" s="33"/>
      <c r="E47" s="33"/>
      <c r="F47" s="33"/>
      <c r="G47" s="33"/>
      <c r="H47" s="33"/>
      <c r="I47" s="33"/>
      <c r="J47" s="74"/>
      <c r="K47" s="74"/>
      <c r="L47" s="74"/>
      <c r="M47" s="30"/>
      <c r="N47" s="19"/>
      <c r="O47" s="74"/>
      <c r="P47" s="74"/>
      <c r="Q47" s="30"/>
      <c r="R47" s="30"/>
      <c r="T47" s="40"/>
      <c r="U47" s="173"/>
    </row>
    <row r="48" spans="1:99" s="80" customFormat="1" ht="14.1" customHeight="1">
      <c r="A48" s="183"/>
      <c r="B48" s="25"/>
      <c r="C48" s="184"/>
      <c r="D48" s="25"/>
      <c r="E48" s="25"/>
      <c r="F48" s="25"/>
      <c r="G48" s="25"/>
      <c r="H48" s="25"/>
      <c r="I48" s="25"/>
      <c r="J48" s="95"/>
      <c r="K48" s="95"/>
      <c r="L48" s="95"/>
      <c r="M48" s="95"/>
      <c r="N48" s="95"/>
      <c r="O48" s="95"/>
      <c r="P48" s="95"/>
      <c r="Q48" s="95"/>
      <c r="R48" s="95"/>
      <c r="S48" s="13"/>
      <c r="T48" s="40"/>
      <c r="U48" s="17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</row>
    <row r="49" spans="1:99" ht="14.1" customHeight="1">
      <c r="A49" s="30"/>
      <c r="B49" s="176"/>
      <c r="C49" s="185"/>
      <c r="D49" s="33"/>
      <c r="E49" s="40"/>
      <c r="F49" s="40"/>
      <c r="G49" s="40"/>
      <c r="H49" s="40"/>
      <c r="I49" s="40"/>
      <c r="J49" s="40"/>
      <c r="K49" s="40"/>
      <c r="L49" s="40"/>
      <c r="M49" s="30"/>
      <c r="N49" s="40"/>
      <c r="O49" s="40"/>
      <c r="P49" s="40"/>
      <c r="Q49" s="30"/>
      <c r="R49" s="30"/>
      <c r="T49" s="40"/>
      <c r="U49" s="173"/>
    </row>
    <row r="50" spans="1:99" ht="14.1" customHeight="1">
      <c r="A50" s="30"/>
      <c r="B50" s="176"/>
      <c r="C50" s="185"/>
      <c r="D50" s="33"/>
      <c r="E50" s="40"/>
      <c r="F50" s="40"/>
      <c r="G50" s="40"/>
      <c r="H50" s="40"/>
      <c r="I50" s="40"/>
      <c r="J50" s="40"/>
      <c r="K50" s="40"/>
      <c r="L50" s="40"/>
      <c r="M50" s="30"/>
      <c r="N50" s="40"/>
      <c r="O50" s="40"/>
      <c r="P50" s="40"/>
      <c r="Q50" s="30"/>
      <c r="R50" s="30"/>
      <c r="T50" s="40"/>
      <c r="U50" s="173"/>
    </row>
    <row r="51" spans="1:99" ht="14.1" customHeight="1">
      <c r="A51" s="30"/>
      <c r="B51" s="176"/>
      <c r="C51" s="185"/>
      <c r="D51" s="33"/>
      <c r="E51" s="40"/>
      <c r="F51" s="40"/>
      <c r="G51" s="40"/>
      <c r="H51" s="40"/>
      <c r="I51" s="40"/>
      <c r="J51" s="40"/>
      <c r="K51" s="40"/>
      <c r="L51" s="40"/>
      <c r="M51" s="19"/>
      <c r="N51" s="40"/>
      <c r="O51" s="40"/>
      <c r="P51" s="40"/>
      <c r="Q51" s="30"/>
      <c r="R51" s="30"/>
      <c r="T51" s="40"/>
      <c r="U51" s="173"/>
    </row>
    <row r="52" spans="1:99" ht="14.1" customHeight="1">
      <c r="A52" s="30"/>
      <c r="B52" s="176"/>
      <c r="C52" s="185"/>
      <c r="D52" s="33"/>
      <c r="E52" s="40"/>
      <c r="F52" s="40"/>
      <c r="G52" s="40"/>
      <c r="H52" s="40"/>
      <c r="I52" s="40"/>
      <c r="J52" s="40"/>
      <c r="K52" s="40"/>
      <c r="L52" s="40"/>
      <c r="M52" s="19"/>
      <c r="N52" s="40"/>
      <c r="O52" s="40"/>
      <c r="P52" s="40"/>
      <c r="Q52" s="30"/>
      <c r="R52" s="30"/>
      <c r="U52" s="173"/>
    </row>
    <row r="53" spans="1:99" ht="14.1" customHeight="1">
      <c r="A53" s="30"/>
      <c r="B53" s="176"/>
      <c r="C53" s="186"/>
      <c r="D53" s="33"/>
      <c r="E53" s="33"/>
      <c r="F53" s="33"/>
      <c r="G53" s="33"/>
      <c r="H53" s="33"/>
      <c r="I53" s="33"/>
      <c r="J53" s="187"/>
      <c r="K53" s="188"/>
      <c r="L53" s="40"/>
      <c r="M53" s="19"/>
      <c r="N53" s="40"/>
      <c r="O53" s="40"/>
      <c r="P53" s="40"/>
      <c r="Q53" s="30"/>
      <c r="R53" s="30"/>
      <c r="U53" s="173"/>
    </row>
    <row r="54" spans="1:99" ht="14.1" customHeight="1">
      <c r="A54" s="70"/>
      <c r="B54" s="189"/>
      <c r="C54" s="36"/>
      <c r="D54" s="33"/>
      <c r="E54" s="33"/>
      <c r="F54" s="33"/>
      <c r="G54" s="33"/>
      <c r="H54" s="33"/>
      <c r="I54" s="33"/>
      <c r="J54" s="132"/>
      <c r="K54" s="74"/>
      <c r="L54" s="74"/>
      <c r="M54" s="19"/>
      <c r="N54" s="19"/>
      <c r="O54" s="74"/>
      <c r="P54" s="74"/>
      <c r="Q54" s="30"/>
      <c r="R54" s="30"/>
      <c r="U54" s="173"/>
    </row>
    <row r="55" spans="1:99" ht="14.1" customHeight="1">
      <c r="A55" s="70"/>
      <c r="B55" s="189"/>
      <c r="C55" s="36"/>
      <c r="D55" s="33"/>
      <c r="E55" s="33"/>
      <c r="F55" s="33"/>
      <c r="G55" s="33"/>
      <c r="H55" s="33"/>
      <c r="I55" s="33"/>
      <c r="J55" s="132"/>
      <c r="K55" s="74"/>
      <c r="L55" s="74"/>
      <c r="M55" s="19"/>
      <c r="N55" s="19"/>
      <c r="O55" s="74"/>
      <c r="P55" s="74"/>
      <c r="Q55" s="30"/>
      <c r="R55" s="30"/>
      <c r="U55" s="173"/>
    </row>
    <row r="56" spans="1:99" s="30" customFormat="1" ht="14.1" customHeight="1">
      <c r="A56" s="70"/>
      <c r="B56" s="189"/>
      <c r="C56" s="36"/>
      <c r="D56" s="33"/>
      <c r="E56" s="33"/>
      <c r="F56" s="33"/>
      <c r="G56" s="33"/>
      <c r="H56" s="33"/>
      <c r="I56" s="33"/>
      <c r="J56" s="132"/>
      <c r="K56" s="74"/>
      <c r="L56" s="74"/>
      <c r="M56" s="19"/>
      <c r="N56" s="19"/>
      <c r="O56" s="74"/>
      <c r="P56" s="74"/>
      <c r="S56" s="13"/>
      <c r="T56" s="13"/>
      <c r="U56" s="17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</row>
    <row r="57" spans="1:99" ht="14.1" customHeight="1">
      <c r="A57" s="70"/>
      <c r="B57" s="189"/>
      <c r="C57" s="36"/>
      <c r="D57" s="33"/>
      <c r="E57" s="33"/>
      <c r="F57" s="33"/>
      <c r="G57" s="33"/>
      <c r="H57" s="33"/>
      <c r="I57" s="33"/>
      <c r="J57" s="132"/>
      <c r="K57" s="74"/>
      <c r="L57" s="74"/>
      <c r="M57" s="19"/>
      <c r="N57" s="19"/>
      <c r="O57" s="74"/>
      <c r="P57" s="74"/>
      <c r="Q57" s="30"/>
      <c r="R57" s="30"/>
      <c r="U57" s="173"/>
    </row>
    <row r="58" spans="1:99" ht="14.1" customHeight="1">
      <c r="A58" s="183"/>
      <c r="B58" s="25"/>
      <c r="C58" s="184"/>
      <c r="D58" s="25"/>
      <c r="E58" s="25"/>
      <c r="F58" s="25"/>
      <c r="G58" s="25"/>
      <c r="H58" s="25"/>
      <c r="I58" s="25"/>
      <c r="J58" s="95"/>
      <c r="K58" s="95"/>
      <c r="L58" s="95"/>
      <c r="M58" s="95"/>
      <c r="N58" s="95"/>
      <c r="O58" s="95"/>
      <c r="P58" s="95"/>
      <c r="Q58" s="95"/>
      <c r="R58" s="95"/>
      <c r="U58" s="173"/>
    </row>
    <row r="59" spans="1:99" s="115" customFormat="1" ht="14.1" customHeight="1">
      <c r="A59" s="40"/>
      <c r="B59" s="40"/>
      <c r="C59" s="40"/>
      <c r="D59" s="19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13"/>
      <c r="T59" s="13"/>
      <c r="U59" s="17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</row>
    <row r="60" spans="1:99" s="30" customFormat="1" ht="14.1" customHeight="1">
      <c r="A60" s="191"/>
      <c r="B60" s="40"/>
      <c r="C60" s="40"/>
      <c r="D60" s="19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13"/>
      <c r="T60" s="13"/>
      <c r="U60" s="17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</row>
    <row r="61" spans="1:99" ht="14.1" customHeight="1">
      <c r="A61" s="40"/>
      <c r="B61" s="40"/>
      <c r="C61" s="40"/>
      <c r="D61" s="19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U61" s="173"/>
    </row>
    <row r="62" spans="1:99" ht="14.1" customHeight="1">
      <c r="A62" s="40"/>
      <c r="B62" s="40"/>
      <c r="C62" s="40"/>
      <c r="D62" s="19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U62" s="173"/>
    </row>
    <row r="63" spans="1:99" ht="14.1" customHeight="1">
      <c r="A63" s="40"/>
      <c r="B63" s="40"/>
      <c r="C63" s="40"/>
      <c r="D63" s="19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U63" s="173"/>
    </row>
    <row r="64" spans="1:99" s="156" customFormat="1" ht="14.1" customHeight="1">
      <c r="A64" s="30"/>
      <c r="B64" s="189"/>
      <c r="C64" s="36"/>
      <c r="D64" s="33"/>
      <c r="E64" s="189"/>
      <c r="F64" s="189"/>
      <c r="G64" s="19"/>
      <c r="H64" s="30"/>
      <c r="I64" s="30"/>
      <c r="J64" s="30"/>
      <c r="K64" s="30"/>
      <c r="L64" s="30"/>
      <c r="M64" s="30"/>
      <c r="N64" s="19"/>
      <c r="O64" s="30"/>
      <c r="P64" s="30"/>
      <c r="Q64" s="40"/>
      <c r="R64" s="40"/>
      <c r="S64" s="13"/>
      <c r="T64" s="13"/>
      <c r="U64" s="17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</row>
    <row r="65" spans="1:21" s="13" customFormat="1" ht="14.1" customHeight="1">
      <c r="A65" s="30"/>
      <c r="B65" s="189"/>
      <c r="C65" s="36"/>
      <c r="D65" s="33"/>
      <c r="E65" s="189"/>
      <c r="F65" s="189"/>
      <c r="G65" s="19"/>
      <c r="H65" s="30"/>
      <c r="I65" s="30"/>
      <c r="J65" s="30"/>
      <c r="K65" s="30"/>
      <c r="L65" s="30"/>
      <c r="M65" s="30"/>
      <c r="N65" s="19"/>
      <c r="O65" s="30"/>
      <c r="P65" s="30"/>
      <c r="Q65" s="40"/>
      <c r="R65" s="40"/>
      <c r="U65" s="173"/>
    </row>
    <row r="66" spans="1:21" s="13" customFormat="1" ht="14.1" customHeight="1">
      <c r="A66" s="12"/>
      <c r="B66" s="192"/>
      <c r="C66" s="65"/>
      <c r="D66" s="66"/>
      <c r="E66" s="192"/>
      <c r="F66" s="192"/>
      <c r="G66" s="68"/>
      <c r="H66" s="12"/>
      <c r="I66" s="12"/>
      <c r="J66" s="12"/>
      <c r="K66" s="12"/>
      <c r="L66" s="12"/>
      <c r="M66" s="12"/>
      <c r="N66" s="68"/>
      <c r="O66" s="12"/>
      <c r="P66" s="12"/>
      <c r="U66" s="173"/>
    </row>
    <row r="67" spans="1:21" ht="14.1" customHeight="1">
      <c r="C67" s="65"/>
      <c r="U67" s="173"/>
    </row>
    <row r="68" spans="1:21" ht="14.1" customHeight="1">
      <c r="A68" s="13"/>
      <c r="B68" s="13"/>
      <c r="C68" s="13"/>
      <c r="D68" s="97"/>
      <c r="E68" s="13"/>
      <c r="F68" s="13"/>
      <c r="G68" s="13"/>
      <c r="H68" s="13"/>
      <c r="I68" s="13"/>
      <c r="J68" s="13"/>
      <c r="M68" s="13"/>
      <c r="N68" s="13"/>
      <c r="O68" s="13"/>
      <c r="P68" s="13"/>
      <c r="U68" s="173"/>
    </row>
    <row r="69" spans="1:21" ht="14.1" customHeight="1">
      <c r="A69" s="13"/>
      <c r="B69" s="13"/>
      <c r="C69" s="13"/>
      <c r="D69" s="97"/>
      <c r="E69" s="13"/>
      <c r="F69" s="13"/>
      <c r="G69" s="13"/>
      <c r="H69" s="13"/>
      <c r="I69" s="13"/>
      <c r="J69" s="13"/>
      <c r="M69" s="13"/>
      <c r="N69" s="13"/>
      <c r="O69" s="13"/>
      <c r="P69" s="13"/>
      <c r="U69" s="173"/>
    </row>
    <row r="70" spans="1:21" ht="14.1" customHeight="1">
      <c r="C70" s="65"/>
      <c r="U70" s="173"/>
    </row>
    <row r="71" spans="1:21" ht="14.1" customHeight="1">
      <c r="C71" s="65"/>
      <c r="Q71" s="13"/>
      <c r="R71" s="13"/>
    </row>
    <row r="72" spans="1:21" ht="14.1" customHeight="1">
      <c r="C72" s="65"/>
      <c r="Q72" s="13"/>
      <c r="R72" s="13"/>
    </row>
    <row r="73" spans="1:21" ht="14.1" customHeight="1">
      <c r="C73" s="65"/>
    </row>
    <row r="74" spans="1:21" ht="14.1" customHeight="1">
      <c r="C74" s="65"/>
    </row>
  </sheetData>
  <pageMargins left="0.75" right="0.5" top="1" bottom="0.5" header="0.5" footer="0.5"/>
  <pageSetup scale="70" orientation="landscape" r:id="rId1"/>
  <headerFooter alignWithMargins="0">
    <oddHeader>&amp;R&amp;D</oddHead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U74"/>
  <sheetViews>
    <sheetView topLeftCell="P1" zoomScale="87" zoomScaleNormal="87" workbookViewId="0">
      <selection activeCell="AB11" sqref="AB11:CQ11"/>
    </sheetView>
  </sheetViews>
  <sheetFormatPr defaultColWidth="13.7109375" defaultRowHeight="14.1" customHeight="1"/>
  <cols>
    <col min="1" max="1" width="6.28515625" style="12" customWidth="1"/>
    <col min="2" max="2" width="16.5703125" style="192" customWidth="1"/>
    <col min="3" max="3" width="8.28515625" style="12" customWidth="1"/>
    <col min="4" max="4" width="11.140625" style="66" customWidth="1"/>
    <col min="5" max="5" width="12.85546875" style="192" customWidth="1"/>
    <col min="6" max="6" width="9.28515625" style="192" customWidth="1"/>
    <col min="7" max="7" width="9.140625" style="68" customWidth="1"/>
    <col min="8" max="8" width="10.85546875" style="12" customWidth="1"/>
    <col min="9" max="9" width="13.140625" style="12" customWidth="1"/>
    <col min="10" max="10" width="12.28515625" style="12" customWidth="1"/>
    <col min="11" max="11" width="10.140625" style="12" customWidth="1"/>
    <col min="12" max="12" width="14.42578125" style="12" customWidth="1"/>
    <col min="13" max="13" width="8.85546875" style="12" customWidth="1"/>
    <col min="14" max="14" width="17.140625" style="68" customWidth="1"/>
    <col min="15" max="15" width="15.7109375" style="12" customWidth="1"/>
    <col min="16" max="16" width="10.85546875" style="12" customWidth="1"/>
    <col min="17" max="17" width="6.140625" style="12" customWidth="1"/>
    <col min="18" max="18" width="7.28515625" style="12" customWidth="1"/>
    <col min="19" max="19" width="12" style="13" customWidth="1"/>
    <col min="20" max="20" width="10.42578125" style="13" customWidth="1"/>
    <col min="21" max="21" width="13.7109375" style="13" customWidth="1"/>
    <col min="22" max="22" width="2.5703125" style="13" customWidth="1"/>
    <col min="23" max="29" width="13.7109375" style="13" customWidth="1"/>
    <col min="30" max="31" width="25" style="13" customWidth="1"/>
    <col min="32" max="34" width="13.7109375" style="13" customWidth="1"/>
    <col min="35" max="35" width="19.85546875" style="13" customWidth="1"/>
    <col min="36" max="36" width="19.5703125" style="13" customWidth="1"/>
    <col min="37" max="37" width="27.42578125" style="13" customWidth="1"/>
    <col min="38" max="38" width="31.42578125" style="13" customWidth="1"/>
    <col min="39" max="39" width="31.28515625" style="13" customWidth="1"/>
    <col min="40" max="45" width="27.42578125" style="13" customWidth="1"/>
    <col min="46" max="46" width="31.28515625" style="13" customWidth="1"/>
    <col min="47" max="47" width="35.42578125" style="13" customWidth="1"/>
    <col min="48" max="50" width="13.7109375" style="13" customWidth="1"/>
    <col min="51" max="52" width="17.28515625" style="13" customWidth="1"/>
    <col min="53" max="60" width="17.5703125" style="13" customWidth="1"/>
    <col min="61" max="65" width="20.42578125" style="13" customWidth="1"/>
    <col min="66" max="68" width="13.7109375" style="13" customWidth="1"/>
    <col min="69" max="69" width="18.7109375" style="13" customWidth="1"/>
    <col min="70" max="72" width="13.7109375" style="13" customWidth="1"/>
    <col min="73" max="73" width="17.28515625" style="13" customWidth="1"/>
    <col min="74" max="74" width="16.85546875" style="13" customWidth="1"/>
    <col min="75" max="75" width="13.7109375" style="13" customWidth="1"/>
    <col min="76" max="76" width="17" style="13" customWidth="1"/>
    <col min="77" max="81" width="17.85546875" style="13" customWidth="1"/>
    <col min="82" max="92" width="13.7109375" style="13" customWidth="1"/>
    <col min="93" max="93" width="26.140625" style="13" customWidth="1"/>
    <col min="94" max="94" width="25.7109375" style="13" customWidth="1"/>
    <col min="95" max="95" width="22.85546875" style="13" customWidth="1"/>
    <col min="96" max="99" width="13.7109375" style="13" customWidth="1"/>
    <col min="100" max="16384" width="13.7109375" style="12"/>
  </cols>
  <sheetData>
    <row r="1" spans="1:99" ht="14.1" customHeight="1">
      <c r="A1" s="1" t="s">
        <v>0</v>
      </c>
      <c r="B1" s="2" t="s">
        <v>131</v>
      </c>
      <c r="C1" s="3" t="s">
        <v>1</v>
      </c>
      <c r="D1" s="4" t="s">
        <v>165</v>
      </c>
      <c r="E1" s="1" t="s">
        <v>2</v>
      </c>
      <c r="F1" s="1"/>
      <c r="G1" s="5">
        <v>62</v>
      </c>
      <c r="H1" s="6"/>
      <c r="I1" s="6" t="s">
        <v>3</v>
      </c>
      <c r="J1" s="5">
        <v>178</v>
      </c>
      <c r="K1" s="7"/>
      <c r="L1" s="7"/>
      <c r="M1" s="8" t="s">
        <v>4</v>
      </c>
      <c r="N1" s="9">
        <f>((AVERAGE(W7:W8))*20)</f>
        <v>7955442</v>
      </c>
      <c r="O1" s="10">
        <f>(O3*20)</f>
        <v>8106266.1794399982</v>
      </c>
      <c r="P1" s="10"/>
      <c r="Q1" s="11" t="s">
        <v>5</v>
      </c>
      <c r="S1" s="13">
        <v>-120</v>
      </c>
      <c r="T1" s="13" t="s">
        <v>6</v>
      </c>
      <c r="U1" s="14">
        <v>42.63</v>
      </c>
      <c r="V1" s="15"/>
      <c r="W1" s="15" t="s">
        <v>7</v>
      </c>
    </row>
    <row r="2" spans="1:99" ht="14.1" customHeight="1" thickBot="1">
      <c r="A2" s="16" t="s">
        <v>8</v>
      </c>
      <c r="B2" s="17">
        <v>42376</v>
      </c>
      <c r="C2" s="3" t="s">
        <v>9</v>
      </c>
      <c r="D2" s="18">
        <v>97.2</v>
      </c>
      <c r="E2" s="3" t="s">
        <v>10</v>
      </c>
      <c r="F2" s="3"/>
      <c r="G2" s="19">
        <f>D2/(D3/100*D3/100)</f>
        <v>32.589792085843932</v>
      </c>
      <c r="H2" s="13"/>
      <c r="I2" s="20" t="s">
        <v>11</v>
      </c>
      <c r="J2" s="21"/>
      <c r="K2" s="22"/>
      <c r="L2" s="23"/>
      <c r="M2" s="24" t="s">
        <v>12</v>
      </c>
      <c r="N2" s="25">
        <f>(O1*0.068)</f>
        <v>551226.10020191991</v>
      </c>
      <c r="O2" s="13"/>
      <c r="P2" s="13"/>
      <c r="Q2" s="11"/>
      <c r="R2" s="26"/>
      <c r="T2" s="13" t="s">
        <v>6</v>
      </c>
      <c r="U2" s="14">
        <v>36.65</v>
      </c>
      <c r="V2" s="15"/>
      <c r="W2" s="27">
        <v>140954.1</v>
      </c>
    </row>
    <row r="3" spans="1:99" ht="14.1" customHeight="1" thickTop="1" thickBot="1">
      <c r="A3" s="16" t="s">
        <v>13</v>
      </c>
      <c r="B3" s="28" t="s">
        <v>167</v>
      </c>
      <c r="C3" s="3" t="s">
        <v>15</v>
      </c>
      <c r="D3" s="29">
        <v>172.7</v>
      </c>
      <c r="E3" s="3" t="s">
        <v>16</v>
      </c>
      <c r="F3" s="3"/>
      <c r="G3" s="19">
        <f>SQRT(((D2*D3)/3600))</f>
        <v>2.159374909551373</v>
      </c>
      <c r="H3" s="13"/>
      <c r="I3" s="20"/>
      <c r="J3" s="30"/>
      <c r="K3" s="30"/>
      <c r="L3" s="30"/>
      <c r="M3" s="31" t="s">
        <v>17</v>
      </c>
      <c r="N3" s="32">
        <f>($O$1/$N$1)*100</f>
        <v>101.89586171880831</v>
      </c>
      <c r="O3" s="33">
        <f>((AVERAGE(W2:W5))*2.85714)</f>
        <v>405313.30897199991</v>
      </c>
      <c r="P3" s="33"/>
      <c r="Q3" s="34" t="s">
        <v>18</v>
      </c>
      <c r="R3" s="13"/>
      <c r="T3" s="13">
        <v>-30</v>
      </c>
      <c r="U3" s="14">
        <v>501.92</v>
      </c>
      <c r="V3" s="15"/>
      <c r="W3" s="27">
        <v>141523</v>
      </c>
    </row>
    <row r="4" spans="1:99" ht="14.1" customHeight="1" thickTop="1">
      <c r="B4" s="35"/>
      <c r="C4" s="3" t="s">
        <v>19</v>
      </c>
      <c r="D4" s="19">
        <v>63.970999999999997</v>
      </c>
      <c r="E4" s="37" t="s">
        <v>20</v>
      </c>
      <c r="F4" s="37"/>
      <c r="G4" s="38">
        <v>0.314</v>
      </c>
      <c r="H4" s="13"/>
      <c r="I4" s="20"/>
      <c r="J4" s="30"/>
      <c r="K4" s="30"/>
      <c r="L4" s="30"/>
      <c r="M4" s="33"/>
      <c r="N4" s="39"/>
      <c r="O4" s="30"/>
      <c r="P4" s="30"/>
      <c r="Q4" s="30"/>
      <c r="R4" s="30"/>
      <c r="U4" s="14">
        <v>500.9</v>
      </c>
      <c r="V4" s="15"/>
      <c r="W4" s="27">
        <v>142812.4</v>
      </c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</row>
    <row r="5" spans="1:99" ht="14.1" customHeight="1" thickBot="1">
      <c r="A5" s="16"/>
      <c r="B5" s="30"/>
      <c r="C5" s="3"/>
      <c r="D5" s="41" t="s">
        <v>21</v>
      </c>
      <c r="E5" s="42">
        <f>AVERAGE(U1:U2)</f>
        <v>39.64</v>
      </c>
      <c r="F5" s="42"/>
      <c r="G5" s="19"/>
      <c r="H5" s="30"/>
      <c r="I5" s="30"/>
      <c r="J5" s="43" t="s">
        <v>22</v>
      </c>
      <c r="K5" s="43"/>
      <c r="L5" s="44" t="s">
        <v>23</v>
      </c>
      <c r="M5" s="45"/>
      <c r="N5" s="43" t="s">
        <v>22</v>
      </c>
      <c r="O5" s="44" t="s">
        <v>23</v>
      </c>
      <c r="P5" s="44" t="s">
        <v>24</v>
      </c>
      <c r="Q5" s="46"/>
      <c r="R5" s="46"/>
      <c r="T5" s="13">
        <v>-20</v>
      </c>
      <c r="U5" s="14">
        <v>458.56</v>
      </c>
      <c r="V5" s="15"/>
      <c r="W5" s="27">
        <v>142149.70000000001</v>
      </c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</row>
    <row r="6" spans="1:99" s="1" customFormat="1" ht="14.1" customHeight="1">
      <c r="A6" s="47" t="s">
        <v>25</v>
      </c>
      <c r="B6" s="48" t="s">
        <v>26</v>
      </c>
      <c r="C6" s="48"/>
      <c r="D6" s="49" t="s">
        <v>27</v>
      </c>
      <c r="E6" s="48" t="s">
        <v>28</v>
      </c>
      <c r="F6" s="48"/>
      <c r="G6" s="48" t="s">
        <v>29</v>
      </c>
      <c r="H6" s="50" t="s">
        <v>30</v>
      </c>
      <c r="I6" s="50"/>
      <c r="J6" s="51" t="s">
        <v>31</v>
      </c>
      <c r="K6" s="52"/>
      <c r="L6" s="52" t="s">
        <v>31</v>
      </c>
      <c r="M6" s="52" t="s">
        <v>32</v>
      </c>
      <c r="N6" s="52" t="s">
        <v>33</v>
      </c>
      <c r="O6" s="53" t="s">
        <v>34</v>
      </c>
      <c r="P6" s="54"/>
      <c r="Q6" s="55"/>
      <c r="R6" s="55"/>
      <c r="S6" s="13"/>
      <c r="T6" s="13"/>
      <c r="U6" s="14">
        <v>480.83</v>
      </c>
      <c r="V6" s="15"/>
      <c r="W6" s="56" t="s">
        <v>35</v>
      </c>
      <c r="X6" s="13" t="s">
        <v>36</v>
      </c>
      <c r="Y6" s="57" t="s">
        <v>37</v>
      </c>
      <c r="Z6" s="58" t="s">
        <v>38</v>
      </c>
      <c r="AA6" s="40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60"/>
      <c r="AY6" s="60"/>
      <c r="AZ6" s="60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60"/>
      <c r="BO6" s="60"/>
      <c r="BP6" s="60"/>
      <c r="BQ6" s="59"/>
      <c r="BR6" s="59"/>
      <c r="BS6" s="59"/>
      <c r="BT6" s="59"/>
      <c r="BU6" s="59"/>
      <c r="BV6" s="59"/>
      <c r="BW6" s="59"/>
      <c r="BX6" s="59"/>
      <c r="BY6" s="59"/>
      <c r="BZ6" s="61"/>
      <c r="CA6" s="61"/>
      <c r="CB6" s="61"/>
      <c r="CC6" s="61"/>
      <c r="CD6" s="40"/>
      <c r="CE6" s="61"/>
      <c r="CF6" s="61"/>
      <c r="CG6" s="33"/>
      <c r="CH6" s="40"/>
      <c r="CI6" s="30"/>
      <c r="CJ6" s="30"/>
      <c r="CK6" s="30"/>
      <c r="CL6" s="30"/>
      <c r="CM6" s="30"/>
      <c r="CN6" s="30"/>
      <c r="CO6" s="30"/>
      <c r="CP6" s="62"/>
      <c r="CQ6" s="62"/>
      <c r="CR6" s="13"/>
      <c r="CS6" s="13"/>
      <c r="CT6" s="13"/>
      <c r="CU6" s="13"/>
    </row>
    <row r="7" spans="1:99" ht="14.1" customHeight="1">
      <c r="A7" s="63">
        <v>-30</v>
      </c>
      <c r="B7" s="64">
        <v>90</v>
      </c>
      <c r="C7" s="65"/>
      <c r="D7" s="42">
        <f>AVERAGE(U3:U4)</f>
        <v>501.40999999999997</v>
      </c>
      <c r="E7" s="66">
        <f>D7-$E$5</f>
        <v>461.77</v>
      </c>
      <c r="F7" s="66"/>
      <c r="G7" s="66">
        <f>($E7*7.1425)</f>
        <v>3298.1922249999998</v>
      </c>
      <c r="H7" s="66">
        <f>($G7/($B7*0.01))</f>
        <v>3664.6580277777775</v>
      </c>
      <c r="I7" s="66"/>
      <c r="J7" s="67">
        <f>$N$2/$H7/$D$2</f>
        <v>1.5474978485342827</v>
      </c>
      <c r="K7" s="67"/>
      <c r="L7" s="67">
        <f>J7/($D$4/$D$2)</f>
        <v>2.3513278028721185</v>
      </c>
      <c r="N7" s="68">
        <f>J7-M7</f>
        <v>1.5474978485342827</v>
      </c>
      <c r="O7" s="67">
        <f>N7/($D$4/$D$2)</f>
        <v>2.3513278028721185</v>
      </c>
      <c r="P7" s="67"/>
      <c r="Q7" s="30"/>
      <c r="R7" s="30"/>
      <c r="T7" s="13">
        <v>-10</v>
      </c>
      <c r="U7" s="14">
        <v>454.05</v>
      </c>
      <c r="V7" s="15"/>
      <c r="W7" s="27">
        <v>399517.6</v>
      </c>
      <c r="X7" s="69">
        <v>0.35299999999999998</v>
      </c>
      <c r="Y7" s="70">
        <v>-30</v>
      </c>
      <c r="Z7" s="71">
        <v>24.803999999999998</v>
      </c>
      <c r="AA7" s="40"/>
      <c r="AB7" s="72"/>
      <c r="AC7" s="72"/>
      <c r="AD7" s="72"/>
      <c r="AE7" s="72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19"/>
      <c r="AY7" s="74"/>
      <c r="AZ7" s="74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</row>
    <row r="8" spans="1:99" ht="14.1" customHeight="1">
      <c r="A8" s="63">
        <v>-20</v>
      </c>
      <c r="B8" s="64">
        <v>89</v>
      </c>
      <c r="C8" s="65"/>
      <c r="D8" s="66">
        <f>AVERAGE(U5:U6)</f>
        <v>469.69499999999999</v>
      </c>
      <c r="E8" s="66">
        <f>D8-$E$5</f>
        <v>430.05500000000001</v>
      </c>
      <c r="F8" s="66"/>
      <c r="G8" s="66">
        <f>($E8*7.1425)</f>
        <v>3071.6678375000001</v>
      </c>
      <c r="H8" s="66">
        <f>($G8/($B8*0.01))</f>
        <v>3451.3121769662921</v>
      </c>
      <c r="I8" s="66"/>
      <c r="J8" s="67">
        <f>$N$2/H8/$D$2</f>
        <v>1.6431577680651477</v>
      </c>
      <c r="K8" s="67"/>
      <c r="L8" s="67">
        <f>J8/($D$4/$D$2)</f>
        <v>2.4966771670902812</v>
      </c>
      <c r="N8" s="68">
        <f>J8-M8</f>
        <v>1.6431577680651477</v>
      </c>
      <c r="O8" s="67">
        <f>N8/($D$4/$D$2)</f>
        <v>2.4966771670902812</v>
      </c>
      <c r="P8" s="67"/>
      <c r="Q8" s="30"/>
      <c r="R8" s="30"/>
      <c r="U8" s="14">
        <v>489.19</v>
      </c>
      <c r="V8" s="15"/>
      <c r="W8" s="27">
        <v>396026.6</v>
      </c>
      <c r="X8" s="69">
        <v>0.35299999999999998</v>
      </c>
      <c r="Y8" s="70">
        <v>-20</v>
      </c>
      <c r="Z8" s="71">
        <v>16.928999999999998</v>
      </c>
      <c r="AA8" s="40"/>
      <c r="AB8" s="72"/>
      <c r="AC8" s="72"/>
      <c r="AD8" s="72"/>
      <c r="AE8" s="72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19"/>
      <c r="AY8" s="74"/>
      <c r="AZ8" s="74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</row>
    <row r="9" spans="1:99" ht="14.1" customHeight="1" thickBot="1">
      <c r="A9" s="63">
        <v>-10</v>
      </c>
      <c r="B9" s="75">
        <v>88</v>
      </c>
      <c r="C9" s="65"/>
      <c r="D9" s="66">
        <f>AVERAGE(U7:U8)</f>
        <v>471.62</v>
      </c>
      <c r="E9" s="66">
        <f>D9-$E$5</f>
        <v>431.98</v>
      </c>
      <c r="F9" s="66"/>
      <c r="G9" s="66">
        <f>($E9*7.1425)</f>
        <v>3085.4171500000002</v>
      </c>
      <c r="H9" s="66">
        <f>($G9/($B9*0.01))</f>
        <v>3506.1558522727273</v>
      </c>
      <c r="I9" s="66"/>
      <c r="J9" s="67">
        <f>$N$2/H9/$D$2</f>
        <v>1.6174553136090526</v>
      </c>
      <c r="K9" s="67"/>
      <c r="L9" s="67">
        <f>J9/($D$4/$D$2)</f>
        <v>2.4576238683590992</v>
      </c>
      <c r="N9" s="68">
        <f>J9-M9</f>
        <v>1.6174553136090526</v>
      </c>
      <c r="O9" s="67">
        <f>N9/($D$4/$D$2)</f>
        <v>2.4576238683590992</v>
      </c>
      <c r="P9" s="67"/>
      <c r="Q9" s="30"/>
      <c r="R9" s="30"/>
      <c r="T9" s="13">
        <v>-5</v>
      </c>
      <c r="U9" s="14">
        <v>494.84</v>
      </c>
      <c r="V9" s="15"/>
      <c r="W9" s="76">
        <v>394840</v>
      </c>
      <c r="X9" s="69">
        <v>0.39</v>
      </c>
      <c r="Y9" s="70">
        <v>-10</v>
      </c>
      <c r="Z9" s="71">
        <v>16.677</v>
      </c>
      <c r="AA9" s="40"/>
      <c r="AB9" s="72"/>
      <c r="AC9" s="72"/>
      <c r="AD9" s="72"/>
      <c r="AE9" s="72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19"/>
      <c r="AY9" s="74"/>
      <c r="AZ9" s="74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</row>
    <row r="10" spans="1:99" s="80" customFormat="1" ht="14.1" customHeight="1">
      <c r="A10" s="77">
        <v>0</v>
      </c>
      <c r="B10" s="75">
        <v>90</v>
      </c>
      <c r="C10" s="65"/>
      <c r="D10" s="66">
        <f>AVERAGE(U11:U12)</f>
        <v>516.505</v>
      </c>
      <c r="E10" s="66">
        <f>D10-$E$5</f>
        <v>476.86500000000001</v>
      </c>
      <c r="F10" s="66"/>
      <c r="G10" s="78">
        <f>($E10*7.1425)</f>
        <v>3406.0082625</v>
      </c>
      <c r="H10" s="78">
        <f>($G10/($B10*0.01))</f>
        <v>3784.4536250000001</v>
      </c>
      <c r="I10" s="78"/>
      <c r="J10" s="79">
        <f>$N$2/H10/$D$2</f>
        <v>1.498512328473836</v>
      </c>
      <c r="K10" s="79"/>
      <c r="L10" s="67">
        <f>J10/($D$4/$D$2)</f>
        <v>2.2768973179668421</v>
      </c>
      <c r="N10" s="81">
        <f>J10-M10</f>
        <v>1.498512328473836</v>
      </c>
      <c r="O10" s="67">
        <f>N10/($D$4/$D$2)</f>
        <v>2.2768973179668421</v>
      </c>
      <c r="P10" s="67"/>
      <c r="Q10" s="30"/>
      <c r="R10" s="30"/>
      <c r="S10" s="13"/>
      <c r="T10" s="13" t="s">
        <v>39</v>
      </c>
      <c r="U10" s="14">
        <v>469.17</v>
      </c>
      <c r="V10" s="15"/>
      <c r="W10" s="15"/>
      <c r="X10" s="69">
        <v>0.52300000000000002</v>
      </c>
      <c r="Y10" s="70">
        <v>0</v>
      </c>
      <c r="Z10" s="82">
        <v>19.315000000000001</v>
      </c>
      <c r="AA10" s="30"/>
      <c r="AB10" s="83" t="s">
        <v>40</v>
      </c>
      <c r="AC10" s="83" t="s">
        <v>41</v>
      </c>
      <c r="AD10" s="83" t="s">
        <v>42</v>
      </c>
      <c r="AE10" s="83" t="s">
        <v>43</v>
      </c>
      <c r="AF10" s="83" t="s">
        <v>44</v>
      </c>
      <c r="AG10" s="83" t="s">
        <v>45</v>
      </c>
      <c r="AH10" s="83" t="s">
        <v>46</v>
      </c>
      <c r="AI10" s="83" t="s">
        <v>47</v>
      </c>
      <c r="AJ10" s="83" t="s">
        <v>48</v>
      </c>
      <c r="AK10" s="83" t="s">
        <v>49</v>
      </c>
      <c r="AL10" s="83" t="s">
        <v>50</v>
      </c>
      <c r="AM10" s="83" t="s">
        <v>51</v>
      </c>
      <c r="AN10" s="83" t="s">
        <v>52</v>
      </c>
      <c r="AO10" s="83" t="s">
        <v>53</v>
      </c>
      <c r="AP10" s="83" t="s">
        <v>54</v>
      </c>
      <c r="AQ10" s="83" t="s">
        <v>55</v>
      </c>
      <c r="AR10" s="83" t="s">
        <v>56</v>
      </c>
      <c r="AS10" s="83" t="s">
        <v>57</v>
      </c>
      <c r="AT10" s="83" t="s">
        <v>58</v>
      </c>
      <c r="AU10" s="83" t="s">
        <v>59</v>
      </c>
      <c r="AV10" s="84" t="s">
        <v>60</v>
      </c>
      <c r="AW10" s="84" t="s">
        <v>61</v>
      </c>
      <c r="AX10" s="85" t="s">
        <v>62</v>
      </c>
      <c r="AY10" s="85" t="s">
        <v>63</v>
      </c>
      <c r="AZ10" s="85" t="s">
        <v>64</v>
      </c>
      <c r="BA10" s="86" t="s">
        <v>65</v>
      </c>
      <c r="BB10" s="86" t="s">
        <v>66</v>
      </c>
      <c r="BC10" s="86" t="s">
        <v>67</v>
      </c>
      <c r="BD10" s="86" t="s">
        <v>68</v>
      </c>
      <c r="BE10" s="86" t="s">
        <v>69</v>
      </c>
      <c r="BF10" s="86" t="s">
        <v>70</v>
      </c>
      <c r="BG10" s="86" t="s">
        <v>71</v>
      </c>
      <c r="BH10" s="86" t="s">
        <v>72</v>
      </c>
      <c r="BI10" s="86" t="s">
        <v>73</v>
      </c>
      <c r="BJ10" s="86" t="s">
        <v>74</v>
      </c>
      <c r="BK10" s="86" t="s">
        <v>75</v>
      </c>
      <c r="BL10" s="86" t="s">
        <v>76</v>
      </c>
      <c r="BM10" s="86" t="s">
        <v>77</v>
      </c>
      <c r="BN10" s="87" t="s">
        <v>78</v>
      </c>
      <c r="BO10" s="87" t="s">
        <v>79</v>
      </c>
      <c r="BP10" s="87" t="s">
        <v>80</v>
      </c>
      <c r="BQ10" s="88" t="s">
        <v>81</v>
      </c>
      <c r="BR10" s="88" t="s">
        <v>82</v>
      </c>
      <c r="BS10" s="88" t="s">
        <v>83</v>
      </c>
      <c r="BT10" s="88" t="s">
        <v>84</v>
      </c>
      <c r="BU10" s="88" t="s">
        <v>85</v>
      </c>
      <c r="BV10" s="88" t="s">
        <v>86</v>
      </c>
      <c r="BW10" s="88" t="s">
        <v>87</v>
      </c>
      <c r="BX10" s="88" t="s">
        <v>88</v>
      </c>
      <c r="BY10" s="88" t="s">
        <v>89</v>
      </c>
      <c r="BZ10" s="88" t="s">
        <v>90</v>
      </c>
      <c r="CA10" s="88" t="s">
        <v>91</v>
      </c>
      <c r="CB10" s="88" t="s">
        <v>92</v>
      </c>
      <c r="CC10" s="88" t="s">
        <v>93</v>
      </c>
      <c r="CD10" s="40"/>
      <c r="CE10" s="89" t="s">
        <v>94</v>
      </c>
      <c r="CF10" s="89" t="s">
        <v>95</v>
      </c>
      <c r="CG10" s="90" t="s">
        <v>96</v>
      </c>
      <c r="CH10" s="40"/>
      <c r="CI10" s="91" t="s">
        <v>97</v>
      </c>
      <c r="CJ10" s="91" t="s">
        <v>98</v>
      </c>
      <c r="CK10" s="91" t="s">
        <v>99</v>
      </c>
      <c r="CL10" s="91" t="s">
        <v>100</v>
      </c>
      <c r="CM10" s="91" t="s">
        <v>101</v>
      </c>
      <c r="CN10" s="91" t="s">
        <v>102</v>
      </c>
      <c r="CO10" s="91" t="s">
        <v>103</v>
      </c>
      <c r="CP10" s="92" t="s">
        <v>104</v>
      </c>
      <c r="CQ10" s="92" t="s">
        <v>105</v>
      </c>
      <c r="CR10" s="13"/>
      <c r="CS10" s="13"/>
      <c r="CT10" s="13"/>
      <c r="CU10" s="13"/>
    </row>
    <row r="11" spans="1:99" s="49" customFormat="1" ht="14.1" customHeight="1">
      <c r="A11" s="93" t="s">
        <v>106</v>
      </c>
      <c r="B11" s="49">
        <f>AVERAGE(B7:B10)</f>
        <v>89.25</v>
      </c>
      <c r="E11" s="50">
        <f>AVERAGE(E7:E10)</f>
        <v>450.16750000000002</v>
      </c>
      <c r="G11" s="50">
        <f>AVERAGE(G7:G10)</f>
        <v>3215.3213687500001</v>
      </c>
      <c r="H11" s="50">
        <f>AVERAGE(H7:H10)</f>
        <v>3601.6449205041995</v>
      </c>
      <c r="J11" s="94">
        <f>AVERAGE(J7:J10)</f>
        <v>1.57665581467058</v>
      </c>
      <c r="K11" s="50" t="s">
        <v>39</v>
      </c>
      <c r="L11" s="50">
        <f>AVERAGE(L7:L10)</f>
        <v>2.3956315390720855</v>
      </c>
      <c r="M11" s="50"/>
      <c r="N11" s="94">
        <f>AVERAGE(N7:N10)</f>
        <v>1.57665581467058</v>
      </c>
      <c r="O11" s="50">
        <f>AVERAGE(O7:O10)</f>
        <v>2.3956315390720855</v>
      </c>
      <c r="P11" s="95"/>
      <c r="Q11" s="95"/>
      <c r="R11" s="95"/>
      <c r="S11" s="6"/>
      <c r="T11" s="13">
        <v>0</v>
      </c>
      <c r="U11" s="14">
        <v>508.61</v>
      </c>
      <c r="V11" s="15"/>
      <c r="W11" s="15"/>
      <c r="X11" s="96">
        <f>AVERAGE(X7:X10)</f>
        <v>0.40475000000000005</v>
      </c>
      <c r="Y11" s="70" t="s">
        <v>107</v>
      </c>
      <c r="Z11" s="96">
        <f>AVERAGE(Z7:Z10)</f>
        <v>19.431249999999999</v>
      </c>
      <c r="AA11" s="30"/>
      <c r="AB11" s="72">
        <f>J11</f>
        <v>1.57665581467058</v>
      </c>
      <c r="AC11" s="73">
        <f>AB11/($D$4/$D$2)</f>
        <v>2.3956315390720855</v>
      </c>
      <c r="AD11" s="73">
        <f>AB11/Z11</f>
        <v>8.1140215615082931E-2</v>
      </c>
      <c r="AE11" s="73">
        <f>AC11/Z11</f>
        <v>0.12328756714426944</v>
      </c>
      <c r="AF11" s="72">
        <f>N20</f>
        <v>0.53818876288119522</v>
      </c>
      <c r="AG11" s="72">
        <f>AF11/($D$4/$D$2)</f>
        <v>0.81774472420397026</v>
      </c>
      <c r="AH11" s="72">
        <f>AF11/Z18</f>
        <v>5.7032062700675583E-3</v>
      </c>
      <c r="AI11" s="72">
        <f>AG11/Z18</f>
        <v>8.6656711549071719E-3</v>
      </c>
      <c r="AJ11" s="73">
        <f>((AB11-AF11)/AB11)*100</f>
        <v>65.865171214071083</v>
      </c>
      <c r="AK11" s="73">
        <f>((AC11-AG11)/AC11)*100</f>
        <v>65.865171214071069</v>
      </c>
      <c r="AL11" s="73">
        <f>((AD11-AH11)/AD11)*100</f>
        <v>92.971171906761114</v>
      </c>
      <c r="AM11" s="73">
        <f>((AE11-AI11)/AE11)*100</f>
        <v>92.971171906761114</v>
      </c>
      <c r="AN11" s="72">
        <f>N29</f>
        <v>-0.89366826522768461</v>
      </c>
      <c r="AO11" s="72">
        <f>AN11/($D$4/$D$2)</f>
        <v>-1.3578739644546898</v>
      </c>
      <c r="AP11" s="72">
        <f>AN11/Z25</f>
        <v>-2.797941982917091E-3</v>
      </c>
      <c r="AQ11" s="72">
        <f>AO11/Z25</f>
        <v>-4.2513007572109436E-3</v>
      </c>
      <c r="AR11" s="73">
        <f>((AB11-AN11)/AB11)*100</f>
        <v>156.68125261786471</v>
      </c>
      <c r="AS11" s="73">
        <f>((AC11-AO11)/AC11)*100</f>
        <v>156.68125261786474</v>
      </c>
      <c r="AT11" s="73">
        <f>((AD11-AP11)/AD11)*100</f>
        <v>103.44828019214307</v>
      </c>
      <c r="AU11" s="73">
        <f>((AE11-AQ11)/AE11)*100</f>
        <v>103.44828019214307</v>
      </c>
      <c r="AV11" s="72">
        <f>J11</f>
        <v>1.57665581467058</v>
      </c>
      <c r="AW11" s="72">
        <f>AV11/($D$4/$D$2)</f>
        <v>2.3956315390720855</v>
      </c>
      <c r="AX11" s="95">
        <f>M20</f>
        <v>0.90342935528120716</v>
      </c>
      <c r="AY11" s="95">
        <f>AX11/($D$4/$D$2)</f>
        <v>1.3727053404407208</v>
      </c>
      <c r="AZ11" s="95">
        <f>AX11/Z11</f>
        <v>4.6493630377932825E-2</v>
      </c>
      <c r="BA11" s="73">
        <f>AY11/Z11</f>
        <v>7.0644211794955086E-2</v>
      </c>
      <c r="BB11" s="72">
        <f>P21</f>
        <v>0.60009602194787381</v>
      </c>
      <c r="BC11" s="73">
        <f>BB11/($D$4/$D$2)</f>
        <v>0.9118089967850016</v>
      </c>
      <c r="BD11" s="73">
        <f>BB11/Z18</f>
        <v>6.3592397892024014E-3</v>
      </c>
      <c r="BE11" s="73">
        <f>BC11/Z18</f>
        <v>9.6624737382637986E-3</v>
      </c>
      <c r="BF11" s="72">
        <f>K20</f>
        <v>1.5453904089717305</v>
      </c>
      <c r="BG11" s="73">
        <f>BF11/($D$4/$D$2)</f>
        <v>2.3481256780736932</v>
      </c>
      <c r="BH11" s="73">
        <f>BF11/Z18</f>
        <v>1.6376559449078381E-2</v>
      </c>
      <c r="BI11" s="73">
        <f>BG11/Z18</f>
        <v>2.4883174851892557E-2</v>
      </c>
      <c r="BJ11" s="72">
        <f>J21</f>
        <v>1.8850411946170123</v>
      </c>
      <c r="BK11" s="73">
        <f>BJ11/($D$4/$D$2)</f>
        <v>2.8642041568331527</v>
      </c>
      <c r="BL11" s="73">
        <f>BJ11/Z18</f>
        <v>1.9975851414884727E-2</v>
      </c>
      <c r="BM11" s="73">
        <f>BK11/Z18</f>
        <v>3.0352077621528438E-2</v>
      </c>
      <c r="BN11" s="95">
        <f>M29</f>
        <v>3.8029492455418379</v>
      </c>
      <c r="BO11" s="95">
        <f>BN11/($D$4/$D$2)</f>
        <v>5.7783474803687094</v>
      </c>
      <c r="BP11" s="95">
        <f>BN11/Z25</f>
        <v>1.1906466601780321E-2</v>
      </c>
      <c r="BQ11" s="73">
        <f>BO11/Z25</f>
        <v>1.8091143700943356E-2</v>
      </c>
      <c r="BR11" s="72">
        <f>P30</f>
        <v>3.7596159122085044</v>
      </c>
      <c r="BS11" s="73">
        <f>BR11/($D$4/$D$2)</f>
        <v>5.7125051455607485</v>
      </c>
      <c r="BT11" s="73">
        <f>BR11/Z25</f>
        <v>1.1770796401426743E-2</v>
      </c>
      <c r="BU11" s="73">
        <f>BS11/Z25</f>
        <v>1.7885001175824661E-2</v>
      </c>
      <c r="BV11" s="72">
        <f>K29</f>
        <v>2.982532009120737</v>
      </c>
      <c r="BW11" s="73">
        <f>BV11/($D$4/$D$2)</f>
        <v>4.5317739489227256</v>
      </c>
      <c r="BX11" s="73">
        <f>BV11/Z25</f>
        <v>9.3378626593469578E-3</v>
      </c>
      <c r="BY11" s="73">
        <f>BW11/Z25</f>
        <v>1.418830799094159E-2</v>
      </c>
      <c r="BZ11" s="72">
        <f>J30</f>
        <v>2.1501356566654675</v>
      </c>
      <c r="CA11" s="73">
        <f>BZ11/($D$4/$D$2)</f>
        <v>3.2669988874315465</v>
      </c>
      <c r="CB11" s="73">
        <f>BZ11/Z25</f>
        <v>6.7317538921655706E-3</v>
      </c>
      <c r="CC11" s="73">
        <f>CA11/Z25</f>
        <v>1.0228486006448134E-2</v>
      </c>
      <c r="CD11" s="13"/>
      <c r="CE11" s="97">
        <f>B11</f>
        <v>89.25</v>
      </c>
      <c r="CF11" s="13">
        <f>Z11</f>
        <v>19.431249999999999</v>
      </c>
      <c r="CG11" s="40">
        <f>((CE11/18)*CF11)/22.5</f>
        <v>4.2820717592592583</v>
      </c>
      <c r="CH11" s="40"/>
      <c r="CI11" s="40">
        <f>X28</f>
        <v>0</v>
      </c>
      <c r="CJ11" s="40">
        <f>X29</f>
        <v>0</v>
      </c>
      <c r="CK11" s="40">
        <f>X30</f>
        <v>0</v>
      </c>
      <c r="CL11" s="40">
        <f>X31</f>
        <v>0</v>
      </c>
      <c r="CM11" s="40">
        <f>X32</f>
        <v>0</v>
      </c>
      <c r="CN11" s="40">
        <f>X33</f>
        <v>0</v>
      </c>
      <c r="CO11" s="13">
        <f>X11</f>
        <v>0.40475000000000005</v>
      </c>
      <c r="CP11" s="13">
        <f>X18</f>
        <v>0.1658</v>
      </c>
      <c r="CQ11" s="13">
        <f>X25</f>
        <v>6.3399999999999998E-2</v>
      </c>
      <c r="CR11" s="13"/>
      <c r="CS11" s="13"/>
      <c r="CT11" s="13"/>
      <c r="CU11" s="13"/>
    </row>
    <row r="12" spans="1:99" ht="14.1" customHeight="1" thickBot="1">
      <c r="B12" s="98"/>
      <c r="C12" s="65"/>
      <c r="D12" s="99"/>
      <c r="E12" s="13"/>
      <c r="F12" s="13"/>
      <c r="G12" s="13"/>
      <c r="H12" s="13"/>
      <c r="I12" s="13"/>
      <c r="J12" s="6" t="s">
        <v>108</v>
      </c>
      <c r="K12" s="13"/>
      <c r="L12" s="13"/>
      <c r="M12" s="12" t="s">
        <v>39</v>
      </c>
      <c r="N12" s="13"/>
      <c r="O12" s="13"/>
      <c r="P12" s="13"/>
      <c r="Q12" s="30"/>
      <c r="R12" s="30"/>
      <c r="U12" s="14">
        <v>524.4</v>
      </c>
      <c r="V12" s="15"/>
      <c r="W12" s="15"/>
      <c r="Y12" s="70"/>
      <c r="Z12" s="96"/>
      <c r="AA12" s="30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30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40"/>
      <c r="CG12" s="40"/>
      <c r="CH12" s="40"/>
      <c r="CI12" s="40"/>
      <c r="CJ12" s="40"/>
      <c r="CK12" s="40"/>
      <c r="CL12" s="40"/>
      <c r="CM12" s="40"/>
      <c r="CN12" s="40"/>
    </row>
    <row r="13" spans="1:99" ht="14.1" customHeight="1" thickBot="1">
      <c r="B13" s="98"/>
      <c r="C13" s="65"/>
      <c r="D13" s="99"/>
      <c r="E13" s="13"/>
      <c r="F13" s="13"/>
      <c r="G13" s="13"/>
      <c r="H13" s="13"/>
      <c r="I13" s="13"/>
      <c r="J13" s="6"/>
      <c r="K13" s="13"/>
      <c r="L13" s="13"/>
      <c r="M13" s="100" t="s">
        <v>32</v>
      </c>
      <c r="N13" s="101"/>
      <c r="O13" s="101"/>
      <c r="P13" s="101"/>
      <c r="Q13" s="30"/>
      <c r="R13" s="102" t="s">
        <v>25</v>
      </c>
      <c r="S13" s="103" t="s">
        <v>109</v>
      </c>
      <c r="T13" s="13">
        <v>30</v>
      </c>
      <c r="U13" s="14">
        <v>581.62</v>
      </c>
      <c r="V13" s="15"/>
      <c r="W13" s="15"/>
      <c r="X13" s="69">
        <v>0.19</v>
      </c>
      <c r="Y13" s="30">
        <v>90</v>
      </c>
      <c r="Z13" s="71">
        <v>89.974000000000004</v>
      </c>
      <c r="AA13" s="40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19"/>
      <c r="AY13" s="74"/>
      <c r="AZ13" s="74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40"/>
      <c r="CG13" s="40"/>
      <c r="CH13" s="40"/>
      <c r="CI13" s="40"/>
      <c r="CJ13" s="40"/>
      <c r="CK13" s="40"/>
      <c r="CL13" s="40"/>
      <c r="CM13" s="40"/>
      <c r="CN13" s="40"/>
    </row>
    <row r="14" spans="1:99" ht="14.1" customHeight="1">
      <c r="A14" s="12">
        <v>90</v>
      </c>
      <c r="B14" s="75">
        <v>93</v>
      </c>
      <c r="C14" s="65"/>
      <c r="D14" s="104">
        <f>AVERAGE(U17:U18)</f>
        <v>538.54999999999995</v>
      </c>
      <c r="E14" s="78">
        <f>D14-$E$5</f>
        <v>498.90999999999997</v>
      </c>
      <c r="F14" s="78"/>
      <c r="G14" s="78">
        <f t="shared" ref="G14:G27" si="0">($E14*7.1425)</f>
        <v>3563.4646749999997</v>
      </c>
      <c r="H14" s="78">
        <f t="shared" ref="H14:H27" si="1">($G14/($B14*0.01))</f>
        <v>3831.6824462365585</v>
      </c>
      <c r="I14" s="33">
        <f>$C$15*A14+$C$16</f>
        <v>3771.9532296428574</v>
      </c>
      <c r="J14" s="105" t="s">
        <v>110</v>
      </c>
      <c r="K14" s="106" t="s">
        <v>111</v>
      </c>
      <c r="L14" s="13"/>
      <c r="M14" s="107">
        <f>(((S14/60)*$J$1)/$D$2)</f>
        <v>0.48834019204389573</v>
      </c>
      <c r="N14" s="101"/>
      <c r="O14" s="101"/>
      <c r="P14" s="101"/>
      <c r="Q14" s="30"/>
      <c r="R14" s="108">
        <v>90</v>
      </c>
      <c r="S14" s="109">
        <v>16</v>
      </c>
      <c r="U14" s="14">
        <v>595.66999999999996</v>
      </c>
      <c r="V14" s="15"/>
      <c r="W14" s="110"/>
      <c r="X14" s="69">
        <v>0.17599999999999999</v>
      </c>
      <c r="Y14" s="30">
        <v>100</v>
      </c>
      <c r="Z14" s="71">
        <v>99.838999999999999</v>
      </c>
      <c r="AA14" s="40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19"/>
      <c r="AY14" s="74"/>
      <c r="AZ14" s="74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40"/>
      <c r="CG14" s="40"/>
      <c r="CH14" s="40"/>
      <c r="CI14" s="40"/>
      <c r="CJ14" s="40"/>
      <c r="CK14" s="40"/>
      <c r="CL14" s="40"/>
      <c r="CM14" s="40"/>
      <c r="CN14" s="40"/>
    </row>
    <row r="15" spans="1:99" s="115" customFormat="1" ht="14.1" customHeight="1">
      <c r="A15" s="12">
        <v>100</v>
      </c>
      <c r="B15" s="75">
        <v>105</v>
      </c>
      <c r="C15" s="65">
        <f>SLOPE(G15:G18,A15:A18)</f>
        <v>0.83403992857142706</v>
      </c>
      <c r="D15" s="104">
        <f>AVERAGE(U19:U20)</f>
        <v>561.26</v>
      </c>
      <c r="E15" s="66">
        <f>D15-$E$5</f>
        <v>521.62</v>
      </c>
      <c r="F15" s="111">
        <v>180</v>
      </c>
      <c r="G15" s="112">
        <f t="shared" si="0"/>
        <v>3725.67085</v>
      </c>
      <c r="H15" s="78">
        <f t="shared" si="1"/>
        <v>3548.2579523809522</v>
      </c>
      <c r="I15" s="33">
        <f>$C$15*A15+$C$16</f>
        <v>3780.2936289285717</v>
      </c>
      <c r="J15" s="113">
        <f>((($N$2-(130*$D$2*(((B15+B14)*0.01)/2))*((I15-I14)/(A15-A14))))/((I15+I14)/2))/$D$2</f>
        <v>1.4733918472165191</v>
      </c>
      <c r="K15" s="114">
        <f>$N$2/H15/$D$2</f>
        <v>1.5982632857328229</v>
      </c>
      <c r="L15" s="114">
        <f>J15/($D$4/$D$2)</f>
        <v>2.2387282917172731</v>
      </c>
      <c r="M15" s="107">
        <f>(((S15/60)*$J$1)/$D$2)</f>
        <v>1.0072016460905351</v>
      </c>
      <c r="N15" s="19">
        <f>K15-M15</f>
        <v>0.59106163964228786</v>
      </c>
      <c r="O15" s="74">
        <f>N15/($D$4/$D$2)</f>
        <v>0.89808180852621322</v>
      </c>
      <c r="P15" s="74"/>
      <c r="Q15" s="30"/>
      <c r="R15" s="108">
        <v>100</v>
      </c>
      <c r="S15" s="109">
        <v>33</v>
      </c>
      <c r="T15" s="13">
        <v>60</v>
      </c>
      <c r="U15" s="14">
        <v>576.66999999999996</v>
      </c>
      <c r="V15" s="15"/>
      <c r="W15" s="110"/>
      <c r="X15" s="69">
        <v>0.16500000000000001</v>
      </c>
      <c r="Y15" s="30">
        <v>110</v>
      </c>
      <c r="Z15" s="71">
        <v>101.98</v>
      </c>
      <c r="AA15" s="40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19"/>
      <c r="AY15" s="74"/>
      <c r="AZ15" s="74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40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40"/>
      <c r="CH15" s="40"/>
      <c r="CI15" s="40"/>
      <c r="CJ15" s="40"/>
      <c r="CK15" s="40"/>
      <c r="CL15" s="40"/>
      <c r="CM15" s="40"/>
      <c r="CN15" s="40"/>
      <c r="CO15" s="13"/>
      <c r="CP15" s="13"/>
      <c r="CQ15" s="13"/>
      <c r="CR15" s="13"/>
      <c r="CS15" s="13"/>
      <c r="CT15" s="13"/>
      <c r="CU15" s="13"/>
    </row>
    <row r="16" spans="1:99" ht="14.1" customHeight="1">
      <c r="A16" s="12">
        <v>110</v>
      </c>
      <c r="B16" s="75">
        <v>104</v>
      </c>
      <c r="C16" s="65">
        <f>INTERCEPT(G15:G18,A15:A18)</f>
        <v>3696.8896360714289</v>
      </c>
      <c r="D16" s="104">
        <f>AVERAGE(U21:U22)</f>
        <v>580.76</v>
      </c>
      <c r="E16" s="66">
        <f>D16-$E$5</f>
        <v>541.12</v>
      </c>
      <c r="F16" s="116">
        <v>210</v>
      </c>
      <c r="G16" s="66">
        <f t="shared" si="0"/>
        <v>3864.9495999999999</v>
      </c>
      <c r="H16" s="78">
        <f t="shared" si="1"/>
        <v>3716.2976923076922</v>
      </c>
      <c r="I16" s="33">
        <f>$C$15*A16+$C$16</f>
        <v>3788.634028214286</v>
      </c>
      <c r="J16" s="113">
        <f>((($N$2-(130*$D$2*(((B16+B15)*0.01)/2))*((I16-I15)/(A16-A15))))/((I16+I15)/2))/$D$2</f>
        <v>1.4685689548264291</v>
      </c>
      <c r="K16" s="67">
        <f>$N$2/H16/$D$2</f>
        <v>1.525994654663543</v>
      </c>
      <c r="L16" s="67">
        <f>J16/($D$4/$D$2)</f>
        <v>2.2314002033597871</v>
      </c>
      <c r="M16" s="107">
        <f>(((S16/60)*$J$1)/$D$2)</f>
        <v>1.0072016460905351</v>
      </c>
      <c r="N16" s="19">
        <f>K16-M16</f>
        <v>0.51879300857300792</v>
      </c>
      <c r="O16" s="67">
        <f>N16/($D$4/$D$2)</f>
        <v>0.78827406845752568</v>
      </c>
      <c r="P16" s="67"/>
      <c r="Q16" s="30"/>
      <c r="R16" s="108">
        <v>110</v>
      </c>
      <c r="S16" s="109">
        <v>33</v>
      </c>
      <c r="U16" s="14">
        <v>523.72</v>
      </c>
      <c r="V16" s="15"/>
      <c r="W16" s="110"/>
      <c r="X16" s="69">
        <v>0.159</v>
      </c>
      <c r="Y16" s="30">
        <v>115</v>
      </c>
      <c r="Z16" s="71">
        <v>94.19</v>
      </c>
      <c r="AA16" s="40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19"/>
      <c r="AY16" s="74"/>
      <c r="AZ16" s="74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40"/>
    </row>
    <row r="17" spans="1:67" ht="14.1" customHeight="1">
      <c r="A17" s="12">
        <v>115</v>
      </c>
      <c r="B17" s="75">
        <v>104</v>
      </c>
      <c r="C17" s="65"/>
      <c r="D17" s="104">
        <f>AVERAGE(U23:U24)</f>
        <v>579.88000000000011</v>
      </c>
      <c r="E17" s="66">
        <f>D17-$E$5</f>
        <v>540.24000000000012</v>
      </c>
      <c r="F17" s="116">
        <v>220</v>
      </c>
      <c r="G17" s="66">
        <f t="shared" si="0"/>
        <v>3858.6642000000011</v>
      </c>
      <c r="H17" s="78">
        <f t="shared" si="1"/>
        <v>3710.2540384615395</v>
      </c>
      <c r="I17" s="33">
        <f>$C$15*A17+$C$16</f>
        <v>3792.8042278571429</v>
      </c>
      <c r="J17" s="113">
        <f>((($N$2-(130*$D$2*(((B17+B16)*0.01)/2))*((I17-I16)/(A17-A16))))/((I17+I16)/2))/$D$2</f>
        <v>1.4662885926178757</v>
      </c>
      <c r="K17" s="67">
        <f>$N$2/H17/$D$2</f>
        <v>1.5284803560112843</v>
      </c>
      <c r="L17" s="67">
        <f>J17/($D$4/$D$2)</f>
        <v>2.2279353332362715</v>
      </c>
      <c r="M17" s="107">
        <f>(((S17/60)*$J$1)/$D$2)</f>
        <v>1.0072016460905351</v>
      </c>
      <c r="N17" s="19">
        <f>K17-M17</f>
        <v>0.52127870992074921</v>
      </c>
      <c r="O17" s="67">
        <f>N17/($D$4/$D$2)</f>
        <v>0.79205093877376975</v>
      </c>
      <c r="P17" s="67"/>
      <c r="Q17" s="30"/>
      <c r="R17" s="108">
        <v>115</v>
      </c>
      <c r="S17" s="117">
        <v>33</v>
      </c>
      <c r="T17" s="40">
        <v>90</v>
      </c>
      <c r="U17" s="14">
        <v>515.30999999999995</v>
      </c>
      <c r="V17" s="15"/>
      <c r="W17" s="110"/>
      <c r="X17" s="69">
        <v>0.13900000000000001</v>
      </c>
      <c r="Y17" s="30">
        <v>120</v>
      </c>
      <c r="Z17" s="71">
        <v>85.846999999999994</v>
      </c>
      <c r="AA17" s="40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19"/>
      <c r="AY17" s="74"/>
      <c r="AZ17" s="74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40"/>
    </row>
    <row r="18" spans="1:67" ht="14.1" customHeight="1">
      <c r="A18" s="12">
        <v>120</v>
      </c>
      <c r="B18" s="118">
        <v>100</v>
      </c>
      <c r="C18" s="65"/>
      <c r="D18" s="104">
        <f>AVERAGE(U25:U26)</f>
        <v>558.9849999999999</v>
      </c>
      <c r="E18" s="66">
        <f>D18-$E$5</f>
        <v>519.34499999999991</v>
      </c>
      <c r="F18" s="116">
        <v>225</v>
      </c>
      <c r="G18" s="66">
        <f t="shared" si="0"/>
        <v>3709.4216624999995</v>
      </c>
      <c r="H18" s="78">
        <f t="shared" si="1"/>
        <v>3709.4216624999995</v>
      </c>
      <c r="I18" s="33">
        <f>$C$15*A18+$C$16</f>
        <v>3796.9744275000003</v>
      </c>
      <c r="J18" s="113">
        <f>((($N$2-(130*$D$2*(((B18+B17)*0.01)/2))*((I18-I17)/(A18-A17))))/((I18+I17)/2))/$D$2</f>
        <v>1.4652487171405579</v>
      </c>
      <c r="K18" s="67">
        <f>$N$2/H18/$D$2</f>
        <v>1.528823339479271</v>
      </c>
      <c r="L18" s="67">
        <f>J18/($D$4/$D$2)</f>
        <v>2.2263553064054373</v>
      </c>
      <c r="M18" s="107">
        <f>(((S18/60)*$J$1)/$D$2)</f>
        <v>1.0072016460905351</v>
      </c>
      <c r="N18" s="19">
        <f>K18-M18</f>
        <v>0.52162169338873587</v>
      </c>
      <c r="O18" s="67">
        <f>N18/($D$4/$D$2)</f>
        <v>0.79257208105837229</v>
      </c>
      <c r="P18" s="67"/>
      <c r="Q18" s="30"/>
      <c r="R18" s="108">
        <v>120</v>
      </c>
      <c r="S18" s="117">
        <v>33</v>
      </c>
      <c r="T18" s="30"/>
      <c r="U18" s="14">
        <v>561.79</v>
      </c>
      <c r="V18" s="15"/>
      <c r="W18" s="110"/>
      <c r="X18" s="96">
        <f>AVERAGE(X13:X17)</f>
        <v>0.1658</v>
      </c>
      <c r="Y18" s="30" t="s">
        <v>107</v>
      </c>
      <c r="Z18" s="96">
        <f>AVERAGE(Z13:Z17)</f>
        <v>94.366</v>
      </c>
      <c r="AA18" s="30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5"/>
      <c r="AY18" s="95"/>
      <c r="AZ18" s="95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2"/>
      <c r="BO18" s="40"/>
    </row>
    <row r="19" spans="1:67" ht="14.1" customHeight="1" thickBot="1">
      <c r="A19" s="63"/>
      <c r="B19" s="98"/>
      <c r="C19" s="65"/>
      <c r="D19" s="99"/>
      <c r="E19" s="66"/>
      <c r="F19" s="63"/>
      <c r="G19" s="66"/>
      <c r="H19" s="66"/>
      <c r="I19" s="33"/>
      <c r="J19" s="113"/>
      <c r="K19" s="67"/>
      <c r="L19" s="67"/>
      <c r="M19" s="107"/>
      <c r="O19" s="67"/>
      <c r="P19" s="67"/>
      <c r="Q19" s="30"/>
      <c r="R19" s="108"/>
      <c r="S19" s="117"/>
      <c r="T19" s="41">
        <v>100</v>
      </c>
      <c r="U19" s="14">
        <v>550.35</v>
      </c>
      <c r="V19" s="15"/>
      <c r="W19" s="110"/>
      <c r="Y19" s="30"/>
      <c r="Z19" s="96"/>
      <c r="AA19" s="30"/>
      <c r="AB19" s="96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30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40"/>
    </row>
    <row r="20" spans="1:67" ht="14.1" customHeight="1" thickBot="1">
      <c r="A20" s="119" t="s">
        <v>112</v>
      </c>
      <c r="B20" s="120">
        <f>AVERAGE(B14:B19)</f>
        <v>101.2</v>
      </c>
      <c r="C20" s="121"/>
      <c r="D20" s="122">
        <f>AVERAGE(D14:D18)</f>
        <v>563.88699999999994</v>
      </c>
      <c r="E20" s="122">
        <f>AVERAGE(E14:E18)</f>
        <v>524.24700000000007</v>
      </c>
      <c r="F20" s="122"/>
      <c r="G20" s="122">
        <f>AVERAGE(G14:G18)</f>
        <v>3744.4341975000002</v>
      </c>
      <c r="H20" s="122">
        <f>AVERAGE(H14:H18)</f>
        <v>3703.1827583773484</v>
      </c>
      <c r="I20" s="122"/>
      <c r="J20" s="122">
        <f t="shared" ref="J20:O20" si="2">AVERAGE(J14:J18)</f>
        <v>1.4683745279503455</v>
      </c>
      <c r="K20" s="123">
        <f t="shared" si="2"/>
        <v>1.5453904089717305</v>
      </c>
      <c r="L20" s="122">
        <f t="shared" si="2"/>
        <v>2.2311047836796924</v>
      </c>
      <c r="M20" s="122">
        <f t="shared" si="2"/>
        <v>0.90342935528120716</v>
      </c>
      <c r="N20" s="123">
        <f t="shared" si="2"/>
        <v>0.53818876288119522</v>
      </c>
      <c r="O20" s="122">
        <f t="shared" si="2"/>
        <v>0.81774472420397015</v>
      </c>
      <c r="P20" s="124"/>
      <c r="Q20" s="30"/>
      <c r="R20" s="108"/>
      <c r="S20" s="117"/>
      <c r="T20" s="41"/>
      <c r="U20" s="14">
        <v>572.16999999999996</v>
      </c>
      <c r="V20" s="15"/>
      <c r="W20" s="110"/>
      <c r="X20" s="69">
        <v>5.5E-2</v>
      </c>
      <c r="Y20" s="70">
        <v>210</v>
      </c>
      <c r="Z20" s="71">
        <v>329.24</v>
      </c>
      <c r="AA20" s="40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4"/>
      <c r="AY20" s="74"/>
      <c r="AZ20" s="74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40"/>
    </row>
    <row r="21" spans="1:67" ht="14.1" customHeight="1" thickBot="1">
      <c r="A21" s="70"/>
      <c r="B21" s="118"/>
      <c r="C21" s="36"/>
      <c r="D21" s="99"/>
      <c r="E21" s="33"/>
      <c r="F21" s="125" t="s">
        <v>113</v>
      </c>
      <c r="G21" s="33"/>
      <c r="H21" s="33"/>
      <c r="I21" s="126" t="s">
        <v>114</v>
      </c>
      <c r="J21" s="127">
        <f>J20-((B18-B15)*0.25*$D$2*10)/(30*$D$2)</f>
        <v>1.8850411946170123</v>
      </c>
      <c r="K21" s="74"/>
      <c r="L21" s="128" t="s">
        <v>33</v>
      </c>
      <c r="M21" s="129">
        <f>J21-M20</f>
        <v>0.98161183933580509</v>
      </c>
      <c r="N21" s="19"/>
      <c r="O21" s="74"/>
      <c r="P21" s="130">
        <f>$M$20-(((B18-B14)*1.3)/(A18-A14))</f>
        <v>0.60009602194787381</v>
      </c>
      <c r="Q21" s="30"/>
      <c r="R21" s="131"/>
      <c r="S21" s="117"/>
      <c r="T21" s="41">
        <v>110</v>
      </c>
      <c r="U21" s="14">
        <v>580.03</v>
      </c>
      <c r="V21" s="15"/>
      <c r="W21" s="110"/>
      <c r="X21" s="69">
        <v>6.4000000000000001E-2</v>
      </c>
      <c r="Y21" s="70">
        <v>220</v>
      </c>
      <c r="Z21" s="71">
        <v>295.43</v>
      </c>
      <c r="AA21" s="40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4"/>
      <c r="AY21" s="74"/>
      <c r="AZ21" s="74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40"/>
    </row>
    <row r="22" spans="1:67" ht="14.1" customHeight="1" thickBot="1">
      <c r="A22" s="63"/>
      <c r="B22" s="98"/>
      <c r="C22" s="65"/>
      <c r="D22" s="99"/>
      <c r="E22" s="66"/>
      <c r="F22" s="63"/>
      <c r="G22" s="66"/>
      <c r="H22" s="66"/>
      <c r="I22" s="33"/>
      <c r="J22" s="132"/>
      <c r="K22" s="67"/>
      <c r="L22" s="133"/>
      <c r="M22" s="134"/>
      <c r="N22" s="101"/>
      <c r="O22" s="133"/>
      <c r="P22" s="133"/>
      <c r="Q22" s="30"/>
      <c r="R22" s="102" t="s">
        <v>25</v>
      </c>
      <c r="S22" s="103" t="s">
        <v>109</v>
      </c>
      <c r="T22" s="30"/>
      <c r="U22" s="14">
        <v>581.49</v>
      </c>
      <c r="V22" s="15"/>
      <c r="W22" s="110"/>
      <c r="X22" s="69">
        <v>6.4000000000000001E-2</v>
      </c>
      <c r="Y22" s="70">
        <v>230</v>
      </c>
      <c r="Z22" s="71">
        <v>324.82</v>
      </c>
      <c r="AA22" s="40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4"/>
      <c r="AY22" s="74"/>
      <c r="AZ22" s="74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40"/>
    </row>
    <row r="23" spans="1:67" ht="14.1" customHeight="1">
      <c r="A23" s="63">
        <v>210</v>
      </c>
      <c r="B23" s="75">
        <v>105</v>
      </c>
      <c r="C23" s="65"/>
      <c r="D23" s="104">
        <f>AVERAGE(U31:U32)</f>
        <v>365.62</v>
      </c>
      <c r="E23" s="78">
        <f>D23-$E$5</f>
        <v>325.98</v>
      </c>
      <c r="F23" s="78"/>
      <c r="G23" s="78">
        <f t="shared" si="0"/>
        <v>2328.3121500000002</v>
      </c>
      <c r="H23" s="78">
        <f t="shared" si="1"/>
        <v>2217.4401428571427</v>
      </c>
      <c r="I23" s="33">
        <f>$C$24*A23+$C$25</f>
        <v>2135.6044389285717</v>
      </c>
      <c r="J23" s="105" t="s">
        <v>110</v>
      </c>
      <c r="K23" s="106" t="s">
        <v>111</v>
      </c>
      <c r="L23" s="67"/>
      <c r="M23" s="19">
        <f>(((S23/60)*$J$1)/$D$2)</f>
        <v>3.5099451303155007</v>
      </c>
      <c r="N23" s="101"/>
      <c r="O23" s="133"/>
      <c r="P23" s="133"/>
      <c r="Q23" s="30"/>
      <c r="R23" s="131">
        <v>210</v>
      </c>
      <c r="S23" s="117">
        <v>115</v>
      </c>
      <c r="T23" s="13">
        <v>115</v>
      </c>
      <c r="U23" s="14">
        <v>574.82000000000005</v>
      </c>
      <c r="V23" s="15"/>
      <c r="W23" s="110"/>
      <c r="X23" s="69">
        <v>6.6000000000000003E-2</v>
      </c>
      <c r="Y23" s="70">
        <v>235</v>
      </c>
      <c r="Z23" s="71">
        <v>303.94</v>
      </c>
      <c r="AA23" s="40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4"/>
      <c r="AY23" s="74"/>
      <c r="AZ23" s="74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40"/>
    </row>
    <row r="24" spans="1:67" ht="14.1" customHeight="1">
      <c r="A24" s="63">
        <v>220</v>
      </c>
      <c r="B24" s="75">
        <v>94</v>
      </c>
      <c r="C24" s="65">
        <f>SLOPE(G24:G27,A24:A27)</f>
        <v>-10.897210214285712</v>
      </c>
      <c r="D24" s="104">
        <f>AVERAGE(U33:U34)</f>
        <v>320.79500000000002</v>
      </c>
      <c r="E24" s="66">
        <f>D24-$E$5</f>
        <v>281.15500000000003</v>
      </c>
      <c r="F24" s="111">
        <v>180</v>
      </c>
      <c r="G24" s="112">
        <f t="shared" si="0"/>
        <v>2008.1495875000003</v>
      </c>
      <c r="H24" s="112">
        <f t="shared" si="1"/>
        <v>2136.3293484042556</v>
      </c>
      <c r="I24" s="33">
        <f>$C$24*A24+$C$25</f>
        <v>2026.6323367857149</v>
      </c>
      <c r="J24" s="113">
        <f>((($N$2-(130*$D$2*(((B24+B23)*0.01)/2))*((I24-I23)/(A24-A23))))/((I24+I23)/2))/$D$2</f>
        <v>3.4023074305294609</v>
      </c>
      <c r="K24" s="114">
        <f>$N$2/H24/$D$2</f>
        <v>2.6545768412702961</v>
      </c>
      <c r="L24" s="114">
        <f>J24/($D$4/$D$2)</f>
        <v>5.1695968837045481</v>
      </c>
      <c r="M24" s="107">
        <f>(((S24/60)*$J$1)/$D$2)</f>
        <v>3.5099451303155007</v>
      </c>
      <c r="N24" s="19">
        <f>K24-M24</f>
        <v>-0.85536828904520457</v>
      </c>
      <c r="O24" s="74">
        <f>N24/($D$4/$D$2)</f>
        <v>-1.2996795062636803</v>
      </c>
      <c r="P24" s="74"/>
      <c r="Q24" s="30"/>
      <c r="R24" s="131">
        <v>220</v>
      </c>
      <c r="S24" s="117">
        <v>115</v>
      </c>
      <c r="U24" s="14">
        <v>584.94000000000005</v>
      </c>
      <c r="V24" s="15"/>
      <c r="W24" s="110"/>
      <c r="X24" s="69">
        <v>6.8000000000000005E-2</v>
      </c>
      <c r="Y24" s="70">
        <v>240</v>
      </c>
      <c r="Z24" s="71">
        <v>343.58</v>
      </c>
      <c r="AA24" s="40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4"/>
      <c r="AY24" s="74"/>
      <c r="AZ24" s="74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40"/>
    </row>
    <row r="25" spans="1:67" ht="14.1" customHeight="1">
      <c r="A25" s="63">
        <v>230</v>
      </c>
      <c r="B25" s="75">
        <v>98</v>
      </c>
      <c r="C25" s="65">
        <f>INTERCEPT(G24:G27,A24:A27)</f>
        <v>4424.0185839285714</v>
      </c>
      <c r="D25" s="104">
        <f>AVERAGE(U35:U36)</f>
        <v>312.87</v>
      </c>
      <c r="E25" s="66">
        <f>D25-$E$5</f>
        <v>273.23</v>
      </c>
      <c r="F25" s="111">
        <v>180</v>
      </c>
      <c r="G25" s="112">
        <f t="shared" si="0"/>
        <v>1951.5452750000002</v>
      </c>
      <c r="H25" s="112">
        <f t="shared" si="1"/>
        <v>1991.372729591837</v>
      </c>
      <c r="I25" s="33">
        <f>$C$24*A25+$C$25</f>
        <v>1917.6602346428576</v>
      </c>
      <c r="J25" s="113">
        <f>((($N$2-(130*$D$2*(((B25+B24)*0.01)/2))*((I25-I24)/(A25-A24))))/((I25+I24)/2))/$D$2</f>
        <v>3.5651626348784315</v>
      </c>
      <c r="K25" s="114">
        <f>$N$2/H25/$D$2</f>
        <v>2.8478096186254236</v>
      </c>
      <c r="L25" s="114">
        <f>J25/($D$4/$D$2)</f>
        <v>5.417045350396017</v>
      </c>
      <c r="M25" s="107">
        <f>(((S25/60)*$J$1)/$D$2)</f>
        <v>3.9982853223593957</v>
      </c>
      <c r="N25" s="19">
        <f>K25-M25</f>
        <v>-1.1504757037339721</v>
      </c>
      <c r="O25" s="114">
        <f>N25/($D$4/$D$2)</f>
        <v>-1.748077072469433</v>
      </c>
      <c r="P25" s="74"/>
      <c r="Q25" s="30"/>
      <c r="R25" s="131">
        <v>230</v>
      </c>
      <c r="S25" s="117">
        <v>131</v>
      </c>
      <c r="T25" s="13">
        <v>120</v>
      </c>
      <c r="U25" s="14">
        <v>531.54</v>
      </c>
      <c r="V25" s="15"/>
      <c r="W25" s="110"/>
      <c r="X25" s="96">
        <f>AVERAGE(X20:X24)</f>
        <v>6.3399999999999998E-2</v>
      </c>
      <c r="Y25" s="57" t="s">
        <v>107</v>
      </c>
      <c r="Z25" s="96">
        <f>AVERAGE(Z20:Z24)</f>
        <v>319.40199999999999</v>
      </c>
      <c r="AA25" s="30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5"/>
      <c r="AY25" s="95"/>
      <c r="AZ25" s="95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40"/>
    </row>
    <row r="26" spans="1:67" ht="14.1" customHeight="1">
      <c r="A26" s="63">
        <v>235</v>
      </c>
      <c r="B26" s="75">
        <v>101</v>
      </c>
      <c r="C26" s="65"/>
      <c r="D26" s="104">
        <f>AVERAGE(U37:U38)</f>
        <v>301.36</v>
      </c>
      <c r="E26" s="66">
        <f>D26-$E$5</f>
        <v>261.72000000000003</v>
      </c>
      <c r="F26" s="111">
        <v>180</v>
      </c>
      <c r="G26" s="112">
        <f t="shared" si="0"/>
        <v>1869.3351000000002</v>
      </c>
      <c r="H26" s="112">
        <f t="shared" si="1"/>
        <v>1850.8268316831686</v>
      </c>
      <c r="I26" s="33">
        <f>$C$24*A26+$C$25</f>
        <v>1863.1741835714292</v>
      </c>
      <c r="J26" s="113">
        <f>((($N$2-(130*$D$2*(((B26+B25)*0.01)/2))*((I26-I25)/(A26-A25))))/((I26+I25)/2))/$D$2</f>
        <v>3.7455248083369215</v>
      </c>
      <c r="K26" s="114">
        <f>$N$2/H26/$D$2</f>
        <v>3.0640632157048771</v>
      </c>
      <c r="L26" s="114">
        <f>J26/($D$4/$D$2)</f>
        <v>5.691094579893214</v>
      </c>
      <c r="M26" s="107">
        <f>(((S26/60)*$J$1)/$D$2)</f>
        <v>3.9982853223593957</v>
      </c>
      <c r="N26" s="19">
        <f>K26-M26</f>
        <v>-0.93422210665451866</v>
      </c>
      <c r="O26" s="114">
        <f>N26/($D$4/$D$2)</f>
        <v>-1.419493032261794</v>
      </c>
      <c r="P26" s="74"/>
      <c r="Q26" s="30"/>
      <c r="R26" s="131">
        <v>235</v>
      </c>
      <c r="S26" s="117">
        <v>131</v>
      </c>
      <c r="U26" s="14">
        <v>586.42999999999995</v>
      </c>
      <c r="V26" s="15"/>
      <c r="W26" s="11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</row>
    <row r="27" spans="1:67" ht="14.1" customHeight="1">
      <c r="A27" s="63">
        <v>240</v>
      </c>
      <c r="B27" s="118">
        <v>106</v>
      </c>
      <c r="C27" s="65"/>
      <c r="D27" s="104">
        <f>AVERAGE(U39:U40)</f>
        <v>289.85000000000002</v>
      </c>
      <c r="E27" s="66">
        <f>D27-$E$5</f>
        <v>250.21000000000004</v>
      </c>
      <c r="F27" s="111">
        <v>180</v>
      </c>
      <c r="G27" s="112">
        <f t="shared" si="0"/>
        <v>1787.1249250000003</v>
      </c>
      <c r="H27" s="112">
        <f t="shared" si="1"/>
        <v>1685.9669103773588</v>
      </c>
      <c r="I27" s="33">
        <f>$C$24*A27+$C$25</f>
        <v>1808.6881325000004</v>
      </c>
      <c r="J27" s="113">
        <f>((($N$2-(130*$D$2*(((B27+B26)*0.01)/2))*((I27-I26)/(A27-A26))))/((I27+I26)/2))/$D$2</f>
        <v>3.8875477529170541</v>
      </c>
      <c r="K27" s="114">
        <f>$N$2/H27/$D$2</f>
        <v>3.3636783608823526</v>
      </c>
      <c r="L27" s="114">
        <f>J27/($D$4/$D$2)</f>
        <v>5.9068897091422317</v>
      </c>
      <c r="M27" s="107">
        <f>(((S27/60)*$J$1)/$D$2)</f>
        <v>3.9982853223593957</v>
      </c>
      <c r="N27" s="19">
        <f>K27-M27</f>
        <v>-0.6346069614770431</v>
      </c>
      <c r="O27" s="114">
        <f>N27/($D$4/$D$2)</f>
        <v>-0.96424624682385141</v>
      </c>
      <c r="P27" s="74"/>
      <c r="Q27" s="30"/>
      <c r="R27" s="131">
        <v>240</v>
      </c>
      <c r="S27" s="117">
        <v>131</v>
      </c>
      <c r="T27" s="13">
        <v>150</v>
      </c>
      <c r="U27" s="14">
        <v>449.27</v>
      </c>
      <c r="V27" s="15"/>
      <c r="W27" s="11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</row>
    <row r="28" spans="1:67" ht="14.1" customHeight="1" thickBot="1">
      <c r="A28" s="63"/>
      <c r="B28" s="118"/>
      <c r="C28" s="65"/>
      <c r="D28" s="99"/>
      <c r="E28" s="66"/>
      <c r="F28" s="135"/>
      <c r="G28" s="112"/>
      <c r="H28" s="112"/>
      <c r="I28" s="33"/>
      <c r="J28" s="113"/>
      <c r="K28" s="114"/>
      <c r="L28" s="114"/>
      <c r="M28" s="107"/>
      <c r="N28" s="107"/>
      <c r="O28" s="114"/>
      <c r="P28" s="74"/>
      <c r="Q28" s="30"/>
      <c r="R28" s="108"/>
      <c r="S28" s="117"/>
      <c r="U28" s="14">
        <v>435.87</v>
      </c>
      <c r="V28" s="15"/>
      <c r="W28" s="110"/>
      <c r="X28" s="69"/>
      <c r="Y28" s="13" t="s">
        <v>115</v>
      </c>
    </row>
    <row r="29" spans="1:67" ht="14.1" customHeight="1" thickBot="1">
      <c r="A29" s="119" t="s">
        <v>112</v>
      </c>
      <c r="B29" s="122">
        <f>AVERAGE(B23:B28)</f>
        <v>100.8</v>
      </c>
      <c r="C29" s="121"/>
      <c r="D29" s="122">
        <f>AVERAGE(D23:D28)</f>
        <v>318.09899999999999</v>
      </c>
      <c r="E29" s="122">
        <f>AVERAGE(E23:E28)</f>
        <v>278.459</v>
      </c>
      <c r="F29" s="122">
        <f>AVERAGE(F24:F28)</f>
        <v>180</v>
      </c>
      <c r="G29" s="122">
        <f>AVERAGE(G23:G28)</f>
        <v>1988.8934075000004</v>
      </c>
      <c r="H29" s="122">
        <f>AVERAGE(H23:H28)</f>
        <v>1976.3871925827527</v>
      </c>
      <c r="I29" s="122"/>
      <c r="J29" s="122">
        <f t="shared" ref="J29:O29" si="3">AVERAGE(J23:J28)</f>
        <v>3.6501356566654675</v>
      </c>
      <c r="K29" s="123">
        <f t="shared" si="3"/>
        <v>2.982532009120737</v>
      </c>
      <c r="L29" s="122">
        <f t="shared" si="3"/>
        <v>5.5461566307840027</v>
      </c>
      <c r="M29" s="122">
        <f t="shared" si="3"/>
        <v>3.8029492455418379</v>
      </c>
      <c r="N29" s="123">
        <f t="shared" si="3"/>
        <v>-0.89366826522768461</v>
      </c>
      <c r="O29" s="122">
        <f t="shared" si="3"/>
        <v>-1.3578739644546898</v>
      </c>
      <c r="P29" s="122"/>
      <c r="Q29" s="136"/>
      <c r="R29" s="137"/>
      <c r="S29" s="138"/>
      <c r="T29" s="13">
        <v>180</v>
      </c>
      <c r="U29" s="14">
        <v>404.06</v>
      </c>
      <c r="V29" s="15"/>
      <c r="W29" s="110"/>
      <c r="X29" s="69"/>
      <c r="Y29" s="13" t="s">
        <v>116</v>
      </c>
    </row>
    <row r="30" spans="1:67" ht="14.1" customHeight="1">
      <c r="A30" s="70"/>
      <c r="B30" s="139"/>
      <c r="C30" s="36"/>
      <c r="D30" s="99"/>
      <c r="E30" s="33"/>
      <c r="F30" s="125" t="s">
        <v>117</v>
      </c>
      <c r="G30" s="33"/>
      <c r="H30" s="33"/>
      <c r="I30" s="140" t="s">
        <v>114</v>
      </c>
      <c r="J30" s="141">
        <f>J29-((B27-B24)*0.25*$D$2*10)/(20*$D$2)</f>
        <v>2.1501356566654675</v>
      </c>
      <c r="K30" s="74"/>
      <c r="L30" s="142" t="s">
        <v>33</v>
      </c>
      <c r="M30" s="143">
        <f>J30-M29</f>
        <v>-1.6528135888763704</v>
      </c>
      <c r="N30" s="19">
        <f>AVERAGE(J24:J25)-M29</f>
        <v>-0.31921421283789142</v>
      </c>
      <c r="O30" s="74"/>
      <c r="P30" s="130">
        <f>$M$29-(((B27-B23)*1.3)/(A27-A23))</f>
        <v>3.7596159122085044</v>
      </c>
      <c r="Q30" s="30"/>
      <c r="R30" s="63"/>
      <c r="S30" s="144"/>
      <c r="U30" s="14">
        <v>401.53</v>
      </c>
      <c r="V30" s="15"/>
      <c r="W30" s="110"/>
      <c r="X30" s="69"/>
      <c r="Y30" s="13" t="s">
        <v>118</v>
      </c>
    </row>
    <row r="31" spans="1:67" ht="14.1" customHeight="1">
      <c r="A31" s="145"/>
      <c r="B31" s="139"/>
      <c r="C31" s="146"/>
      <c r="D31" s="147"/>
      <c r="E31" s="148"/>
      <c r="F31" s="145"/>
      <c r="G31" s="148"/>
      <c r="H31" s="148"/>
      <c r="I31" s="148"/>
      <c r="J31" s="149"/>
      <c r="K31" s="150"/>
      <c r="L31" s="133"/>
      <c r="M31" s="134"/>
      <c r="N31" s="101"/>
      <c r="O31" s="150"/>
      <c r="P31" s="150"/>
      <c r="Q31" s="96"/>
      <c r="R31" s="151"/>
      <c r="S31" s="101" t="s">
        <v>32</v>
      </c>
      <c r="T31" s="13">
        <v>210</v>
      </c>
      <c r="U31" s="14">
        <v>354.99</v>
      </c>
      <c r="V31" s="15"/>
      <c r="W31" s="110"/>
      <c r="X31" s="69"/>
      <c r="Y31" s="13" t="s">
        <v>119</v>
      </c>
    </row>
    <row r="32" spans="1:67" ht="14.1" customHeight="1">
      <c r="A32" s="145"/>
      <c r="B32" s="148"/>
      <c r="C32" s="146"/>
      <c r="D32" s="147"/>
      <c r="E32" s="148"/>
      <c r="F32" s="148"/>
      <c r="G32" s="148"/>
      <c r="H32" s="148"/>
      <c r="I32" s="148"/>
      <c r="J32" s="152"/>
      <c r="K32" s="153"/>
      <c r="L32" s="58"/>
      <c r="M32" s="124"/>
      <c r="N32" s="101"/>
      <c r="O32" s="150"/>
      <c r="P32" s="150"/>
      <c r="Q32" s="96"/>
      <c r="R32" s="145"/>
      <c r="S32" s="58"/>
      <c r="U32" s="14">
        <v>376.25</v>
      </c>
      <c r="V32" s="15"/>
      <c r="W32" s="110"/>
      <c r="X32" s="69"/>
      <c r="Y32" s="13" t="s">
        <v>120</v>
      </c>
    </row>
    <row r="33" spans="1:99" ht="14.1" customHeight="1">
      <c r="A33" s="145"/>
      <c r="B33" s="148"/>
      <c r="C33" s="146"/>
      <c r="D33" s="147"/>
      <c r="E33" s="148"/>
      <c r="F33" s="145"/>
      <c r="G33" s="148"/>
      <c r="H33" s="148"/>
      <c r="I33" s="148"/>
      <c r="J33" s="149"/>
      <c r="K33" s="150"/>
      <c r="L33" s="150"/>
      <c r="M33" s="124"/>
      <c r="N33" s="124"/>
      <c r="O33" s="150"/>
      <c r="P33" s="150"/>
      <c r="Q33" s="96"/>
      <c r="R33" s="145"/>
      <c r="S33" s="58"/>
      <c r="T33" s="13">
        <v>220</v>
      </c>
      <c r="U33" s="14">
        <v>346.42</v>
      </c>
      <c r="V33" s="15"/>
      <c r="W33" s="110"/>
      <c r="X33" s="69"/>
      <c r="Y33" s="20" t="s">
        <v>121</v>
      </c>
    </row>
    <row r="34" spans="1:99" ht="14.1" customHeight="1">
      <c r="A34" s="145"/>
      <c r="B34" s="148"/>
      <c r="C34" s="146"/>
      <c r="D34" s="147"/>
      <c r="E34" s="148"/>
      <c r="F34" s="145"/>
      <c r="G34" s="148"/>
      <c r="H34" s="148"/>
      <c r="I34" s="148"/>
      <c r="J34" s="149"/>
      <c r="K34" s="150"/>
      <c r="L34" s="150"/>
      <c r="M34" s="124"/>
      <c r="N34" s="124"/>
      <c r="O34" s="150"/>
      <c r="P34" s="150"/>
      <c r="Q34" s="96"/>
      <c r="R34" s="145"/>
      <c r="S34" s="58"/>
      <c r="U34" s="14">
        <v>295.17</v>
      </c>
      <c r="V34" s="15"/>
      <c r="W34" s="110"/>
    </row>
    <row r="35" spans="1:99" ht="14.1" customHeight="1">
      <c r="A35" s="145"/>
      <c r="B35" s="148"/>
      <c r="C35" s="146"/>
      <c r="D35" s="147"/>
      <c r="E35" s="148"/>
      <c r="F35" s="145"/>
      <c r="G35" s="148"/>
      <c r="H35" s="148"/>
      <c r="I35" s="148"/>
      <c r="J35" s="149"/>
      <c r="K35" s="150"/>
      <c r="L35" s="150"/>
      <c r="M35" s="124"/>
      <c r="N35" s="124"/>
      <c r="O35" s="150"/>
      <c r="P35" s="150"/>
      <c r="Q35" s="96"/>
      <c r="R35" s="145"/>
      <c r="S35" s="58"/>
      <c r="T35" s="13">
        <v>230</v>
      </c>
      <c r="U35" s="14">
        <v>324.99</v>
      </c>
      <c r="V35" s="15"/>
      <c r="W35" s="110"/>
    </row>
    <row r="36" spans="1:99" ht="14.1" customHeight="1">
      <c r="A36" s="145"/>
      <c r="B36" s="139"/>
      <c r="C36" s="146"/>
      <c r="D36" s="147"/>
      <c r="E36" s="148"/>
      <c r="F36" s="145"/>
      <c r="G36" s="148"/>
      <c r="H36" s="148"/>
      <c r="I36" s="148"/>
      <c r="J36" s="149"/>
      <c r="K36" s="150"/>
      <c r="L36" s="150"/>
      <c r="M36" s="124"/>
      <c r="N36" s="124"/>
      <c r="O36" s="150"/>
      <c r="P36" s="150"/>
      <c r="Q36" s="96"/>
      <c r="R36" s="145"/>
      <c r="S36" s="58"/>
      <c r="U36" s="14">
        <v>300.75</v>
      </c>
      <c r="V36" s="15"/>
      <c r="W36" s="110"/>
      <c r="X36"/>
    </row>
    <row r="37" spans="1:99" ht="14.1" customHeight="1">
      <c r="A37" s="145"/>
      <c r="B37" s="139"/>
      <c r="C37" s="146"/>
      <c r="D37" s="147"/>
      <c r="E37" s="148"/>
      <c r="F37" s="145"/>
      <c r="G37" s="148"/>
      <c r="H37" s="148"/>
      <c r="I37" s="148"/>
      <c r="J37" s="149"/>
      <c r="K37" s="150"/>
      <c r="L37" s="150"/>
      <c r="M37" s="124"/>
      <c r="N37" s="124"/>
      <c r="O37" s="150"/>
      <c r="P37" s="150"/>
      <c r="Q37" s="96"/>
      <c r="R37" s="96"/>
      <c r="S37" s="58"/>
      <c r="T37" s="13">
        <v>235</v>
      </c>
      <c r="U37" s="196">
        <v>312.87</v>
      </c>
      <c r="V37" s="15"/>
      <c r="W37" s="15"/>
      <c r="X37" s="6"/>
    </row>
    <row r="38" spans="1:99" s="156" customFormat="1" ht="14.1" customHeight="1">
      <c r="A38" s="154"/>
      <c r="B38" s="139"/>
      <c r="C38" s="155"/>
      <c r="D38" s="139"/>
      <c r="E38" s="139"/>
      <c r="F38" s="139"/>
      <c r="G38" s="139"/>
      <c r="H38" s="139"/>
      <c r="I38" s="139"/>
      <c r="J38" s="124"/>
      <c r="K38" s="124"/>
      <c r="L38" s="124"/>
      <c r="M38" s="124"/>
      <c r="N38" s="124"/>
      <c r="O38" s="124"/>
      <c r="P38" s="124"/>
      <c r="Q38" s="155"/>
      <c r="R38" s="145"/>
      <c r="S38" s="58"/>
      <c r="T38" s="13"/>
      <c r="U38" s="196">
        <v>289.85000000000002</v>
      </c>
      <c r="V38" s="15"/>
      <c r="W38" s="15"/>
      <c r="X38" s="6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</row>
    <row r="39" spans="1:99" s="3" customFormat="1" ht="14.1" customHeight="1">
      <c r="A39" s="157"/>
      <c r="B39" s="158"/>
      <c r="C39" s="159"/>
      <c r="D39" s="160"/>
      <c r="E39" s="160"/>
      <c r="F39" s="161"/>
      <c r="G39" s="160"/>
      <c r="H39" s="148"/>
      <c r="I39" s="162"/>
      <c r="J39" s="163"/>
      <c r="K39" s="150"/>
      <c r="L39" s="155"/>
      <c r="M39" s="134"/>
      <c r="N39" s="155"/>
      <c r="O39" s="155"/>
      <c r="P39" s="155"/>
      <c r="Q39" s="58"/>
      <c r="R39" s="58"/>
      <c r="S39" s="58"/>
      <c r="T39" s="13">
        <v>240</v>
      </c>
      <c r="U39" s="14">
        <v>276.17</v>
      </c>
      <c r="V39" s="15"/>
      <c r="W39" s="15"/>
      <c r="X39" s="6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</row>
    <row r="40" spans="1:99" ht="14.1" customHeight="1">
      <c r="A40" s="164"/>
      <c r="B40" s="165"/>
      <c r="C40" s="164"/>
      <c r="D40" s="148"/>
      <c r="E40" s="164"/>
      <c r="F40" s="164"/>
      <c r="G40" s="96"/>
      <c r="H40" s="101"/>
      <c r="I40" s="58"/>
      <c r="J40" s="155"/>
      <c r="K40" s="166"/>
      <c r="L40" s="167"/>
      <c r="M40" s="168"/>
      <c r="N40" s="134"/>
      <c r="O40" s="169"/>
      <c r="P40" s="169"/>
      <c r="Q40" s="58"/>
      <c r="R40" s="58"/>
      <c r="S40" s="58"/>
      <c r="U40" s="14">
        <v>303.52999999999997</v>
      </c>
      <c r="V40" s="15"/>
      <c r="W40" s="15"/>
    </row>
    <row r="41" spans="1:99" ht="14.1" customHeight="1">
      <c r="A41" s="164"/>
      <c r="B41" s="170"/>
      <c r="C41" s="164"/>
      <c r="D41" s="171"/>
      <c r="E41" s="164"/>
      <c r="F41" s="164"/>
      <c r="G41" s="124"/>
      <c r="H41" s="58"/>
      <c r="I41" s="58"/>
      <c r="J41" s="170"/>
      <c r="K41" s="170"/>
      <c r="L41" s="96"/>
      <c r="M41" s="172"/>
      <c r="N41" s="160"/>
      <c r="O41" s="58"/>
      <c r="P41" s="58"/>
      <c r="Q41" s="58"/>
      <c r="R41" s="58"/>
      <c r="S41" s="58"/>
      <c r="U41" s="173"/>
      <c r="V41" s="174"/>
      <c r="W41" s="175"/>
    </row>
    <row r="42" spans="1:99" ht="14.1" customHeight="1">
      <c r="A42" s="3"/>
      <c r="B42" s="3"/>
      <c r="C42" s="3"/>
      <c r="D42" s="33"/>
      <c r="E42" s="3"/>
      <c r="F42" s="3"/>
      <c r="G42" s="19"/>
      <c r="H42" s="40"/>
      <c r="I42" s="40"/>
      <c r="J42" s="30"/>
      <c r="K42" s="30"/>
      <c r="L42" s="30"/>
      <c r="M42" s="30"/>
      <c r="N42" s="33"/>
      <c r="O42" s="33"/>
      <c r="P42" s="33"/>
      <c r="Q42" s="40"/>
      <c r="R42" s="40"/>
      <c r="U42" s="173"/>
      <c r="V42" s="174"/>
      <c r="W42" s="175"/>
    </row>
    <row r="43" spans="1:99" ht="14.1" customHeight="1">
      <c r="A43" s="30"/>
      <c r="B43" s="176"/>
      <c r="C43" s="3"/>
      <c r="D43" s="33"/>
      <c r="E43" s="177"/>
      <c r="F43" s="177"/>
      <c r="G43" s="33"/>
      <c r="H43" s="174"/>
      <c r="I43" s="40"/>
      <c r="J43" s="30"/>
      <c r="K43" s="30"/>
      <c r="L43" s="30"/>
      <c r="M43" s="33"/>
      <c r="N43" s="178"/>
      <c r="O43" s="33"/>
      <c r="P43" s="33"/>
      <c r="Q43" s="40"/>
      <c r="R43" s="40"/>
      <c r="U43" s="173"/>
      <c r="V43" s="174"/>
      <c r="W43" s="175"/>
    </row>
    <row r="44" spans="1:99" ht="14.1" customHeight="1">
      <c r="A44" s="3"/>
      <c r="B44" s="30"/>
      <c r="C44" s="3"/>
      <c r="D44" s="41"/>
      <c r="E44" s="42"/>
      <c r="F44" s="42"/>
      <c r="G44" s="19"/>
      <c r="H44" s="19"/>
      <c r="I44" s="30"/>
      <c r="J44" s="179"/>
      <c r="K44" s="179"/>
      <c r="L44" s="180"/>
      <c r="M44" s="39"/>
      <c r="N44" s="179"/>
      <c r="O44" s="180"/>
      <c r="P44" s="180"/>
      <c r="Q44" s="46"/>
      <c r="R44" s="46"/>
      <c r="U44" s="173"/>
      <c r="V44" s="174"/>
      <c r="W44" s="175"/>
    </row>
    <row r="45" spans="1:99" s="1" customFormat="1" ht="14.1" customHeight="1">
      <c r="A45" s="3"/>
      <c r="B45" s="181"/>
      <c r="C45" s="181"/>
      <c r="D45" s="25"/>
      <c r="E45" s="181"/>
      <c r="F45" s="181"/>
      <c r="G45" s="181"/>
      <c r="H45" s="95"/>
      <c r="I45" s="95"/>
      <c r="J45" s="182"/>
      <c r="K45" s="182"/>
      <c r="L45" s="182"/>
      <c r="M45" s="182"/>
      <c r="N45" s="182"/>
      <c r="O45" s="54"/>
      <c r="P45" s="54"/>
      <c r="Q45" s="55"/>
      <c r="R45" s="55"/>
      <c r="S45" s="13"/>
      <c r="T45" s="13"/>
      <c r="U45" s="173"/>
      <c r="V45" s="40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</row>
    <row r="46" spans="1:99" ht="14.1" customHeight="1">
      <c r="A46" s="70"/>
      <c r="B46" s="33"/>
      <c r="C46" s="36"/>
      <c r="D46" s="33"/>
      <c r="E46" s="33"/>
      <c r="F46" s="33"/>
      <c r="G46" s="33"/>
      <c r="H46" s="33"/>
      <c r="I46" s="33"/>
      <c r="J46" s="74"/>
      <c r="K46" s="74"/>
      <c r="L46" s="74"/>
      <c r="M46" s="30"/>
      <c r="N46" s="19"/>
      <c r="O46" s="74"/>
      <c r="P46" s="74"/>
      <c r="Q46" s="30"/>
      <c r="R46" s="30"/>
      <c r="U46" s="173"/>
    </row>
    <row r="47" spans="1:99" ht="14.1" customHeight="1">
      <c r="A47" s="70"/>
      <c r="B47" s="33"/>
      <c r="C47" s="36"/>
      <c r="D47" s="33"/>
      <c r="E47" s="33"/>
      <c r="F47" s="33"/>
      <c r="G47" s="33"/>
      <c r="H47" s="33"/>
      <c r="I47" s="33"/>
      <c r="J47" s="74"/>
      <c r="K47" s="74"/>
      <c r="L47" s="74"/>
      <c r="M47" s="30"/>
      <c r="N47" s="19"/>
      <c r="O47" s="74"/>
      <c r="P47" s="74"/>
      <c r="Q47" s="30"/>
      <c r="R47" s="30"/>
      <c r="T47" s="40"/>
      <c r="U47" s="173"/>
    </row>
    <row r="48" spans="1:99" s="80" customFormat="1" ht="14.1" customHeight="1">
      <c r="A48" s="183"/>
      <c r="B48" s="25"/>
      <c r="C48" s="184"/>
      <c r="D48" s="25"/>
      <c r="E48" s="25"/>
      <c r="F48" s="25"/>
      <c r="G48" s="25"/>
      <c r="H48" s="25"/>
      <c r="I48" s="25"/>
      <c r="J48" s="95"/>
      <c r="K48" s="95"/>
      <c r="L48" s="95"/>
      <c r="M48" s="95"/>
      <c r="N48" s="95"/>
      <c r="O48" s="95"/>
      <c r="P48" s="95"/>
      <c r="Q48" s="95"/>
      <c r="R48" s="95"/>
      <c r="S48" s="13"/>
      <c r="T48" s="40"/>
      <c r="U48" s="17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</row>
    <row r="49" spans="1:99" ht="14.1" customHeight="1">
      <c r="A49" s="30"/>
      <c r="B49" s="176"/>
      <c r="C49" s="185"/>
      <c r="D49" s="33"/>
      <c r="E49" s="40"/>
      <c r="F49" s="40"/>
      <c r="G49" s="40"/>
      <c r="H49" s="40"/>
      <c r="I49" s="40"/>
      <c r="J49" s="40"/>
      <c r="K49" s="40"/>
      <c r="L49" s="40"/>
      <c r="M49" s="30"/>
      <c r="N49" s="40"/>
      <c r="O49" s="40"/>
      <c r="P49" s="40"/>
      <c r="Q49" s="30"/>
      <c r="R49" s="30"/>
      <c r="T49" s="40"/>
      <c r="U49" s="173"/>
    </row>
    <row r="50" spans="1:99" ht="14.1" customHeight="1">
      <c r="A50" s="30"/>
      <c r="B50" s="176"/>
      <c r="C50" s="185"/>
      <c r="D50" s="33"/>
      <c r="E50" s="40"/>
      <c r="F50" s="40"/>
      <c r="G50" s="40"/>
      <c r="H50" s="40"/>
      <c r="I50" s="40"/>
      <c r="J50" s="40"/>
      <c r="K50" s="40"/>
      <c r="L50" s="40"/>
      <c r="M50" s="30"/>
      <c r="N50" s="40"/>
      <c r="O50" s="40"/>
      <c r="P50" s="40"/>
      <c r="Q50" s="30"/>
      <c r="R50" s="30"/>
      <c r="T50" s="40"/>
      <c r="U50" s="173"/>
    </row>
    <row r="51" spans="1:99" ht="14.1" customHeight="1">
      <c r="A51" s="30"/>
      <c r="B51" s="176"/>
      <c r="C51" s="185"/>
      <c r="D51" s="33"/>
      <c r="E51" s="40"/>
      <c r="F51" s="40"/>
      <c r="G51" s="40"/>
      <c r="H51" s="40"/>
      <c r="I51" s="40"/>
      <c r="J51" s="40"/>
      <c r="K51" s="40"/>
      <c r="L51" s="40"/>
      <c r="M51" s="19"/>
      <c r="N51" s="40"/>
      <c r="O51" s="40"/>
      <c r="P51" s="40"/>
      <c r="Q51" s="30"/>
      <c r="R51" s="30"/>
      <c r="T51" s="40"/>
      <c r="U51" s="173"/>
    </row>
    <row r="52" spans="1:99" ht="14.1" customHeight="1">
      <c r="A52" s="30"/>
      <c r="B52" s="176"/>
      <c r="C52" s="185"/>
      <c r="D52" s="33"/>
      <c r="E52" s="40"/>
      <c r="F52" s="40"/>
      <c r="G52" s="40"/>
      <c r="H52" s="40"/>
      <c r="I52" s="40"/>
      <c r="J52" s="40"/>
      <c r="K52" s="40"/>
      <c r="L52" s="40"/>
      <c r="M52" s="19"/>
      <c r="N52" s="40"/>
      <c r="O52" s="40"/>
      <c r="P52" s="40"/>
      <c r="Q52" s="30"/>
      <c r="R52" s="30"/>
      <c r="U52" s="173"/>
    </row>
    <row r="53" spans="1:99" ht="14.1" customHeight="1">
      <c r="A53" s="30"/>
      <c r="B53" s="176"/>
      <c r="C53" s="186"/>
      <c r="D53" s="33"/>
      <c r="E53" s="33"/>
      <c r="F53" s="33"/>
      <c r="G53" s="33"/>
      <c r="H53" s="33"/>
      <c r="I53" s="33"/>
      <c r="J53" s="187"/>
      <c r="K53" s="188"/>
      <c r="L53" s="40"/>
      <c r="M53" s="19"/>
      <c r="N53" s="40"/>
      <c r="O53" s="40"/>
      <c r="P53" s="40"/>
      <c r="Q53" s="30"/>
      <c r="R53" s="30"/>
      <c r="U53" s="173"/>
    </row>
    <row r="54" spans="1:99" ht="14.1" customHeight="1">
      <c r="A54" s="70"/>
      <c r="B54" s="189"/>
      <c r="C54" s="36"/>
      <c r="D54" s="33"/>
      <c r="E54" s="33"/>
      <c r="F54" s="33"/>
      <c r="G54" s="33"/>
      <c r="H54" s="33"/>
      <c r="I54" s="33"/>
      <c r="J54" s="132"/>
      <c r="K54" s="74"/>
      <c r="L54" s="74"/>
      <c r="M54" s="19"/>
      <c r="N54" s="19"/>
      <c r="O54" s="74"/>
      <c r="P54" s="74"/>
      <c r="Q54" s="30"/>
      <c r="R54" s="30"/>
      <c r="U54" s="173"/>
    </row>
    <row r="55" spans="1:99" ht="14.1" customHeight="1">
      <c r="A55" s="70"/>
      <c r="B55" s="189"/>
      <c r="C55" s="36"/>
      <c r="D55" s="33"/>
      <c r="E55" s="33"/>
      <c r="F55" s="33"/>
      <c r="G55" s="33"/>
      <c r="H55" s="33"/>
      <c r="I55" s="33"/>
      <c r="J55" s="132"/>
      <c r="K55" s="74"/>
      <c r="L55" s="74"/>
      <c r="M55" s="19"/>
      <c r="N55" s="19"/>
      <c r="O55" s="74"/>
      <c r="P55" s="74"/>
      <c r="Q55" s="30"/>
      <c r="R55" s="30"/>
      <c r="U55" s="173"/>
    </row>
    <row r="56" spans="1:99" s="30" customFormat="1" ht="14.1" customHeight="1">
      <c r="A56" s="70"/>
      <c r="B56" s="189"/>
      <c r="C56" s="36"/>
      <c r="D56" s="33"/>
      <c r="E56" s="33"/>
      <c r="F56" s="33"/>
      <c r="G56" s="33"/>
      <c r="H56" s="33"/>
      <c r="I56" s="33"/>
      <c r="J56" s="132"/>
      <c r="K56" s="74"/>
      <c r="L56" s="74"/>
      <c r="M56" s="19"/>
      <c r="N56" s="19"/>
      <c r="O56" s="74"/>
      <c r="P56" s="74"/>
      <c r="S56" s="13"/>
      <c r="T56" s="13"/>
      <c r="U56" s="17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</row>
    <row r="57" spans="1:99" ht="14.1" customHeight="1">
      <c r="A57" s="70"/>
      <c r="B57" s="189"/>
      <c r="C57" s="36"/>
      <c r="D57" s="33"/>
      <c r="E57" s="33"/>
      <c r="F57" s="33"/>
      <c r="G57" s="33"/>
      <c r="H57" s="33"/>
      <c r="I57" s="33"/>
      <c r="J57" s="132"/>
      <c r="K57" s="74"/>
      <c r="L57" s="74"/>
      <c r="M57" s="19"/>
      <c r="N57" s="19"/>
      <c r="O57" s="74"/>
      <c r="P57" s="74"/>
      <c r="Q57" s="30"/>
      <c r="R57" s="30"/>
      <c r="U57" s="173"/>
    </row>
    <row r="58" spans="1:99" ht="14.1" customHeight="1">
      <c r="A58" s="183"/>
      <c r="B58" s="25"/>
      <c r="C58" s="184"/>
      <c r="D58" s="25"/>
      <c r="E58" s="25"/>
      <c r="F58" s="25"/>
      <c r="G58" s="25"/>
      <c r="H58" s="25"/>
      <c r="I58" s="25"/>
      <c r="J58" s="95"/>
      <c r="K58" s="95"/>
      <c r="L58" s="95"/>
      <c r="M58" s="95"/>
      <c r="N58" s="95"/>
      <c r="O58" s="95"/>
      <c r="P58" s="95"/>
      <c r="Q58" s="95"/>
      <c r="R58" s="95"/>
      <c r="U58" s="173"/>
    </row>
    <row r="59" spans="1:99" s="115" customFormat="1" ht="14.1" customHeight="1">
      <c r="A59" s="40"/>
      <c r="B59" s="40"/>
      <c r="C59" s="40"/>
      <c r="D59" s="19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13"/>
      <c r="T59" s="13"/>
      <c r="U59" s="17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</row>
    <row r="60" spans="1:99" s="30" customFormat="1" ht="14.1" customHeight="1">
      <c r="A60" s="191"/>
      <c r="B60" s="40"/>
      <c r="C60" s="40"/>
      <c r="D60" s="19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13"/>
      <c r="T60" s="13"/>
      <c r="U60" s="17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</row>
    <row r="61" spans="1:99" ht="14.1" customHeight="1">
      <c r="A61" s="40"/>
      <c r="B61" s="40"/>
      <c r="C61" s="40"/>
      <c r="D61" s="19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U61" s="173"/>
    </row>
    <row r="62" spans="1:99" ht="14.1" customHeight="1">
      <c r="A62" s="40"/>
      <c r="B62" s="40"/>
      <c r="C62" s="40"/>
      <c r="D62" s="19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U62" s="173"/>
    </row>
    <row r="63" spans="1:99" ht="14.1" customHeight="1">
      <c r="A63" s="40"/>
      <c r="B63" s="40"/>
      <c r="C63" s="40"/>
      <c r="D63" s="19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U63" s="173"/>
    </row>
    <row r="64" spans="1:99" s="156" customFormat="1" ht="14.1" customHeight="1">
      <c r="A64" s="30"/>
      <c r="B64" s="189"/>
      <c r="C64" s="36"/>
      <c r="D64" s="33"/>
      <c r="E64" s="189"/>
      <c r="F64" s="189"/>
      <c r="G64" s="19"/>
      <c r="H64" s="30"/>
      <c r="I64" s="30"/>
      <c r="J64" s="30"/>
      <c r="K64" s="30"/>
      <c r="L64" s="30"/>
      <c r="M64" s="30"/>
      <c r="N64" s="19"/>
      <c r="O64" s="30"/>
      <c r="P64" s="30"/>
      <c r="Q64" s="40"/>
      <c r="R64" s="40"/>
      <c r="S64" s="13"/>
      <c r="T64" s="13"/>
      <c r="U64" s="17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</row>
    <row r="65" spans="1:21" s="13" customFormat="1" ht="14.1" customHeight="1">
      <c r="A65" s="30"/>
      <c r="B65" s="189"/>
      <c r="C65" s="36"/>
      <c r="D65" s="33"/>
      <c r="E65" s="189"/>
      <c r="F65" s="189"/>
      <c r="G65" s="19"/>
      <c r="H65" s="30"/>
      <c r="I65" s="30"/>
      <c r="J65" s="30"/>
      <c r="K65" s="30"/>
      <c r="L65" s="30"/>
      <c r="M65" s="30"/>
      <c r="N65" s="19"/>
      <c r="O65" s="30"/>
      <c r="P65" s="30"/>
      <c r="Q65" s="40"/>
      <c r="R65" s="40"/>
      <c r="U65" s="173"/>
    </row>
    <row r="66" spans="1:21" s="13" customFormat="1" ht="14.1" customHeight="1">
      <c r="A66" s="12"/>
      <c r="B66" s="192"/>
      <c r="C66" s="65"/>
      <c r="D66" s="66"/>
      <c r="E66" s="192"/>
      <c r="F66" s="192"/>
      <c r="G66" s="68"/>
      <c r="H66" s="12"/>
      <c r="I66" s="12"/>
      <c r="J66" s="12"/>
      <c r="K66" s="12"/>
      <c r="L66" s="12"/>
      <c r="M66" s="12"/>
      <c r="N66" s="68"/>
      <c r="O66" s="12"/>
      <c r="P66" s="12"/>
      <c r="U66" s="173"/>
    </row>
    <row r="67" spans="1:21" ht="14.1" customHeight="1">
      <c r="C67" s="65"/>
      <c r="U67" s="173"/>
    </row>
    <row r="68" spans="1:21" ht="14.1" customHeight="1">
      <c r="A68" s="13"/>
      <c r="B68" s="13"/>
      <c r="C68" s="13"/>
      <c r="D68" s="97"/>
      <c r="E68" s="13"/>
      <c r="F68" s="13"/>
      <c r="G68" s="13"/>
      <c r="H68" s="13"/>
      <c r="I68" s="13"/>
      <c r="J68" s="13"/>
      <c r="M68" s="13"/>
      <c r="N68" s="13"/>
      <c r="O68" s="13"/>
      <c r="P68" s="13"/>
      <c r="U68" s="173"/>
    </row>
    <row r="69" spans="1:21" ht="14.1" customHeight="1">
      <c r="A69" s="13"/>
      <c r="B69" s="13"/>
      <c r="C69" s="13"/>
      <c r="D69" s="97"/>
      <c r="E69" s="13"/>
      <c r="F69" s="13"/>
      <c r="G69" s="13"/>
      <c r="H69" s="13"/>
      <c r="I69" s="13"/>
      <c r="J69" s="13"/>
      <c r="M69" s="13"/>
      <c r="N69" s="13"/>
      <c r="O69" s="13"/>
      <c r="P69" s="13"/>
      <c r="U69" s="173"/>
    </row>
    <row r="70" spans="1:21" ht="14.1" customHeight="1">
      <c r="C70" s="65"/>
      <c r="U70" s="173"/>
    </row>
    <row r="71" spans="1:21" ht="14.1" customHeight="1">
      <c r="C71" s="65"/>
      <c r="Q71" s="13"/>
      <c r="R71" s="13"/>
    </row>
    <row r="72" spans="1:21" ht="14.1" customHeight="1">
      <c r="C72" s="65"/>
      <c r="Q72" s="13"/>
      <c r="R72" s="13"/>
    </row>
    <row r="73" spans="1:21" ht="14.1" customHeight="1">
      <c r="C73" s="65"/>
    </row>
    <row r="74" spans="1:21" ht="14.1" customHeight="1">
      <c r="C74" s="65"/>
    </row>
  </sheetData>
  <pageMargins left="0.75" right="0.5" top="1" bottom="0.5" header="0.5" footer="0.5"/>
  <pageSetup scale="70" orientation="landscape" r:id="rId1"/>
  <headerFooter alignWithMargins="0">
    <oddHeader>&amp;R&amp;D</oddHead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U74"/>
  <sheetViews>
    <sheetView topLeftCell="P1" zoomScale="87" zoomScaleNormal="87" workbookViewId="0">
      <selection activeCell="AB11" sqref="AB11:CQ11"/>
    </sheetView>
  </sheetViews>
  <sheetFormatPr defaultColWidth="13.7109375" defaultRowHeight="14.1" customHeight="1"/>
  <cols>
    <col min="1" max="1" width="6.28515625" style="12" customWidth="1"/>
    <col min="2" max="2" width="16.5703125" style="192" customWidth="1"/>
    <col min="3" max="3" width="8.28515625" style="12" customWidth="1"/>
    <col min="4" max="4" width="11.140625" style="66" customWidth="1"/>
    <col min="5" max="5" width="12.85546875" style="192" customWidth="1"/>
    <col min="6" max="6" width="9.28515625" style="192" customWidth="1"/>
    <col min="7" max="7" width="9.140625" style="68" customWidth="1"/>
    <col min="8" max="8" width="10.85546875" style="12" customWidth="1"/>
    <col min="9" max="9" width="13.140625" style="12" customWidth="1"/>
    <col min="10" max="10" width="12.28515625" style="12" customWidth="1"/>
    <col min="11" max="11" width="10.140625" style="12" customWidth="1"/>
    <col min="12" max="12" width="14.42578125" style="12" customWidth="1"/>
    <col min="13" max="13" width="8.85546875" style="12" customWidth="1"/>
    <col min="14" max="14" width="17.140625" style="68" customWidth="1"/>
    <col min="15" max="15" width="15.7109375" style="12" customWidth="1"/>
    <col min="16" max="16" width="10.85546875" style="12" customWidth="1"/>
    <col min="17" max="17" width="6.140625" style="12" customWidth="1"/>
    <col min="18" max="18" width="7.28515625" style="12" customWidth="1"/>
    <col min="19" max="19" width="12" style="13" customWidth="1"/>
    <col min="20" max="20" width="10.42578125" style="13" customWidth="1"/>
    <col min="21" max="21" width="13.7109375" style="13" customWidth="1"/>
    <col min="22" max="22" width="2.5703125" style="13" customWidth="1"/>
    <col min="23" max="29" width="13.7109375" style="13" customWidth="1"/>
    <col min="30" max="31" width="25" style="13" customWidth="1"/>
    <col min="32" max="34" width="13.7109375" style="13" customWidth="1"/>
    <col min="35" max="35" width="19.85546875" style="13" customWidth="1"/>
    <col min="36" max="36" width="19.5703125" style="13" customWidth="1"/>
    <col min="37" max="37" width="27.42578125" style="13" customWidth="1"/>
    <col min="38" max="38" width="31.42578125" style="13" customWidth="1"/>
    <col min="39" max="39" width="31.28515625" style="13" customWidth="1"/>
    <col min="40" max="45" width="27.42578125" style="13" customWidth="1"/>
    <col min="46" max="46" width="31.28515625" style="13" customWidth="1"/>
    <col min="47" max="47" width="35.42578125" style="13" customWidth="1"/>
    <col min="48" max="50" width="13.7109375" style="13" customWidth="1"/>
    <col min="51" max="52" width="17.28515625" style="13" customWidth="1"/>
    <col min="53" max="60" width="17.5703125" style="13" customWidth="1"/>
    <col min="61" max="65" width="20.42578125" style="13" customWidth="1"/>
    <col min="66" max="68" width="13.7109375" style="13" customWidth="1"/>
    <col min="69" max="69" width="18.7109375" style="13" customWidth="1"/>
    <col min="70" max="72" width="13.7109375" style="13" customWidth="1"/>
    <col min="73" max="73" width="17.28515625" style="13" customWidth="1"/>
    <col min="74" max="74" width="16.85546875" style="13" customWidth="1"/>
    <col min="75" max="75" width="13.7109375" style="13" customWidth="1"/>
    <col min="76" max="76" width="17" style="13" customWidth="1"/>
    <col min="77" max="81" width="17.85546875" style="13" customWidth="1"/>
    <col min="82" max="92" width="13.7109375" style="13" customWidth="1"/>
    <col min="93" max="93" width="26.140625" style="13" customWidth="1"/>
    <col min="94" max="94" width="25.7109375" style="13" customWidth="1"/>
    <col min="95" max="95" width="22.85546875" style="13" customWidth="1"/>
    <col min="96" max="99" width="13.7109375" style="13" customWidth="1"/>
    <col min="100" max="16384" width="13.7109375" style="12"/>
  </cols>
  <sheetData>
    <row r="1" spans="1:99" ht="14.1" customHeight="1">
      <c r="A1" s="1" t="s">
        <v>0</v>
      </c>
      <c r="B1" s="2" t="s">
        <v>132</v>
      </c>
      <c r="C1" s="3" t="s">
        <v>1</v>
      </c>
      <c r="D1" s="4" t="s">
        <v>164</v>
      </c>
      <c r="E1" s="1" t="s">
        <v>2</v>
      </c>
      <c r="F1" s="1"/>
      <c r="G1" s="5">
        <v>55</v>
      </c>
      <c r="H1" s="6"/>
      <c r="I1" s="6" t="s">
        <v>3</v>
      </c>
      <c r="J1" s="5">
        <v>178</v>
      </c>
      <c r="K1" s="7"/>
      <c r="L1" s="7"/>
      <c r="M1" s="8" t="s">
        <v>4</v>
      </c>
      <c r="N1" s="9">
        <f>((AVERAGE(W7:W8))*20)</f>
        <v>6368130</v>
      </c>
      <c r="O1" s="10">
        <f>(O3*20)</f>
        <v>5886388.9707479998</v>
      </c>
      <c r="P1" s="10"/>
      <c r="Q1" s="11" t="s">
        <v>5</v>
      </c>
      <c r="S1" s="13">
        <v>-120</v>
      </c>
      <c r="T1" s="13" t="s">
        <v>6</v>
      </c>
      <c r="U1" s="14">
        <v>16.22</v>
      </c>
      <c r="V1" s="15"/>
      <c r="W1" s="15" t="s">
        <v>7</v>
      </c>
    </row>
    <row r="2" spans="1:99" ht="14.1" customHeight="1" thickBot="1">
      <c r="A2" s="16" t="s">
        <v>8</v>
      </c>
      <c r="B2" s="17">
        <v>42419</v>
      </c>
      <c r="C2" s="3" t="s">
        <v>9</v>
      </c>
      <c r="D2" s="18">
        <v>71.3</v>
      </c>
      <c r="E2" s="3" t="s">
        <v>10</v>
      </c>
      <c r="F2" s="3"/>
      <c r="G2" s="19">
        <f>D2/(D3/100*D3/100)</f>
        <v>30.498224644019842</v>
      </c>
      <c r="H2" s="13"/>
      <c r="I2" s="20" t="s">
        <v>11</v>
      </c>
      <c r="J2" s="21"/>
      <c r="K2" s="22"/>
      <c r="L2" s="23"/>
      <c r="M2" s="24" t="s">
        <v>12</v>
      </c>
      <c r="N2" s="25">
        <f>(O1*0.068)</f>
        <v>400274.45001086401</v>
      </c>
      <c r="O2" s="13"/>
      <c r="P2" s="13"/>
      <c r="Q2" s="11"/>
      <c r="R2" s="26"/>
      <c r="T2" s="13" t="s">
        <v>6</v>
      </c>
      <c r="U2" s="14">
        <v>9.93</v>
      </c>
      <c r="V2" s="15"/>
      <c r="W2" s="27">
        <v>106084</v>
      </c>
    </row>
    <row r="3" spans="1:99" ht="14.1" customHeight="1" thickTop="1" thickBot="1">
      <c r="A3" s="16" t="s">
        <v>13</v>
      </c>
      <c r="B3" s="28" t="s">
        <v>167</v>
      </c>
      <c r="C3" s="3" t="s">
        <v>15</v>
      </c>
      <c r="D3" s="29">
        <v>152.9</v>
      </c>
      <c r="E3" s="3" t="s">
        <v>16</v>
      </c>
      <c r="F3" s="3"/>
      <c r="G3" s="19">
        <f>SQRT(((D2*D3)/3600))</f>
        <v>1.7401923584605365</v>
      </c>
      <c r="H3" s="13"/>
      <c r="I3" s="20"/>
      <c r="J3" s="30"/>
      <c r="K3" s="30"/>
      <c r="L3" s="30"/>
      <c r="M3" s="31" t="s">
        <v>17</v>
      </c>
      <c r="N3" s="32">
        <f>($O$1/$N$1)*100</f>
        <v>92.435125707986487</v>
      </c>
      <c r="O3" s="33">
        <f>((AVERAGE(W2:W5))*2.85714)</f>
        <v>294319.44853739999</v>
      </c>
      <c r="P3" s="33"/>
      <c r="Q3" s="34" t="s">
        <v>18</v>
      </c>
      <c r="R3" s="13"/>
      <c r="T3" s="13">
        <v>-30</v>
      </c>
      <c r="U3" s="14">
        <v>508.18</v>
      </c>
      <c r="V3" s="15"/>
      <c r="W3" s="27">
        <v>107108</v>
      </c>
    </row>
    <row r="4" spans="1:99" ht="14.1" customHeight="1" thickTop="1">
      <c r="B4" s="35"/>
      <c r="C4" s="3" t="s">
        <v>19</v>
      </c>
      <c r="D4" s="19">
        <v>40.844000000000001</v>
      </c>
      <c r="E4" s="37" t="s">
        <v>20</v>
      </c>
      <c r="F4" s="37"/>
      <c r="G4" s="38">
        <v>0.4</v>
      </c>
      <c r="H4" s="13"/>
      <c r="I4" s="20"/>
      <c r="J4" s="30"/>
      <c r="K4" s="30"/>
      <c r="L4" s="30"/>
      <c r="M4" s="33"/>
      <c r="N4" s="39"/>
      <c r="O4" s="30"/>
      <c r="P4" s="30"/>
      <c r="Q4" s="30"/>
      <c r="R4" s="30"/>
      <c r="U4" s="14">
        <v>503.74</v>
      </c>
      <c r="V4" s="15"/>
      <c r="W4" s="27">
        <v>99427.82</v>
      </c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</row>
    <row r="5" spans="1:99" ht="14.1" customHeight="1" thickBot="1">
      <c r="A5" s="16"/>
      <c r="B5" s="30"/>
      <c r="C5" s="3"/>
      <c r="D5" s="41" t="s">
        <v>21</v>
      </c>
      <c r="E5" s="42">
        <f>AVERAGE(U1:U2)</f>
        <v>13.074999999999999</v>
      </c>
      <c r="F5" s="42"/>
      <c r="G5" s="19"/>
      <c r="H5" s="30"/>
      <c r="I5" s="30"/>
      <c r="J5" s="43" t="s">
        <v>22</v>
      </c>
      <c r="K5" s="43"/>
      <c r="L5" s="44" t="s">
        <v>23</v>
      </c>
      <c r="M5" s="45"/>
      <c r="N5" s="43" t="s">
        <v>22</v>
      </c>
      <c r="O5" s="44" t="s">
        <v>23</v>
      </c>
      <c r="P5" s="44" t="s">
        <v>24</v>
      </c>
      <c r="Q5" s="46"/>
      <c r="R5" s="46"/>
      <c r="T5" s="13">
        <v>-20</v>
      </c>
      <c r="U5" s="14">
        <v>460.21</v>
      </c>
      <c r="V5" s="15"/>
      <c r="W5" s="27">
        <v>99427.82</v>
      </c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</row>
    <row r="6" spans="1:99" s="1" customFormat="1" ht="14.1" customHeight="1">
      <c r="A6" s="47" t="s">
        <v>25</v>
      </c>
      <c r="B6" s="48" t="s">
        <v>26</v>
      </c>
      <c r="C6" s="48"/>
      <c r="D6" s="49" t="s">
        <v>27</v>
      </c>
      <c r="E6" s="48" t="s">
        <v>28</v>
      </c>
      <c r="F6" s="48"/>
      <c r="G6" s="48" t="s">
        <v>29</v>
      </c>
      <c r="H6" s="50" t="s">
        <v>30</v>
      </c>
      <c r="I6" s="50"/>
      <c r="J6" s="51" t="s">
        <v>31</v>
      </c>
      <c r="K6" s="52"/>
      <c r="L6" s="52" t="s">
        <v>31</v>
      </c>
      <c r="M6" s="52" t="s">
        <v>32</v>
      </c>
      <c r="N6" s="52" t="s">
        <v>33</v>
      </c>
      <c r="O6" s="53" t="s">
        <v>34</v>
      </c>
      <c r="P6" s="54"/>
      <c r="Q6" s="55"/>
      <c r="R6" s="55"/>
      <c r="S6" s="13"/>
      <c r="T6" s="13"/>
      <c r="U6" s="14">
        <v>452.46</v>
      </c>
      <c r="V6" s="15"/>
      <c r="W6" s="56" t="s">
        <v>35</v>
      </c>
      <c r="X6" s="13" t="s">
        <v>36</v>
      </c>
      <c r="Y6" s="57" t="s">
        <v>37</v>
      </c>
      <c r="Z6" s="58" t="s">
        <v>38</v>
      </c>
      <c r="AA6" s="40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60"/>
      <c r="AY6" s="60"/>
      <c r="AZ6" s="60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60"/>
      <c r="BO6" s="60"/>
      <c r="BP6" s="60"/>
      <c r="BQ6" s="59"/>
      <c r="BR6" s="59"/>
      <c r="BS6" s="59"/>
      <c r="BT6" s="59"/>
      <c r="BU6" s="59"/>
      <c r="BV6" s="59"/>
      <c r="BW6" s="59"/>
      <c r="BX6" s="59"/>
      <c r="BY6" s="59"/>
      <c r="BZ6" s="61"/>
      <c r="CA6" s="61"/>
      <c r="CB6" s="61"/>
      <c r="CC6" s="61"/>
      <c r="CD6" s="40"/>
      <c r="CE6" s="61"/>
      <c r="CF6" s="61"/>
      <c r="CG6" s="33"/>
      <c r="CH6" s="40"/>
      <c r="CI6" s="30"/>
      <c r="CJ6" s="30"/>
      <c r="CK6" s="30"/>
      <c r="CL6" s="30"/>
      <c r="CM6" s="30"/>
      <c r="CN6" s="30"/>
      <c r="CO6" s="30"/>
      <c r="CP6" s="62"/>
      <c r="CQ6" s="62"/>
      <c r="CR6" s="13"/>
      <c r="CS6" s="13"/>
      <c r="CT6" s="13"/>
      <c r="CU6" s="13"/>
    </row>
    <row r="7" spans="1:99" ht="14.1" customHeight="1">
      <c r="A7" s="63">
        <v>-30</v>
      </c>
      <c r="B7" s="64">
        <v>100</v>
      </c>
      <c r="C7" s="65"/>
      <c r="D7" s="42">
        <f>AVERAGE(U3:U4)</f>
        <v>505.96000000000004</v>
      </c>
      <c r="E7" s="66">
        <f>D7-$E$5</f>
        <v>492.88500000000005</v>
      </c>
      <c r="F7" s="66"/>
      <c r="G7" s="66">
        <f>($E7*7.1425)</f>
        <v>3520.4311125000004</v>
      </c>
      <c r="H7" s="66">
        <f>($G7/($B7*0.01))</f>
        <v>3520.4311125000004</v>
      </c>
      <c r="I7" s="66"/>
      <c r="J7" s="67">
        <f>$N$2/$H7/$D$2</f>
        <v>1.5946761138283638</v>
      </c>
      <c r="K7" s="67"/>
      <c r="L7" s="67">
        <f>J7/($D$4/$D$2)</f>
        <v>2.783772571637507</v>
      </c>
      <c r="N7" s="68">
        <f>J7-M7</f>
        <v>1.5946761138283638</v>
      </c>
      <c r="O7" s="67">
        <f>N7/($D$4/$D$2)</f>
        <v>2.783772571637507</v>
      </c>
      <c r="P7" s="67"/>
      <c r="Q7" s="30"/>
      <c r="R7" s="30"/>
      <c r="T7" s="13">
        <v>-10</v>
      </c>
      <c r="U7" s="14">
        <v>494.53</v>
      </c>
      <c r="V7" s="15"/>
      <c r="W7" s="27">
        <v>317938</v>
      </c>
      <c r="X7" s="69">
        <v>0.71399999999999997</v>
      </c>
      <c r="Y7" s="70">
        <v>-30</v>
      </c>
      <c r="Z7" s="71">
        <v>17.210999999999999</v>
      </c>
      <c r="AA7" s="40"/>
      <c r="AB7" s="72"/>
      <c r="AC7" s="72"/>
      <c r="AD7" s="72"/>
      <c r="AE7" s="72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19"/>
      <c r="AY7" s="74"/>
      <c r="AZ7" s="74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</row>
    <row r="8" spans="1:99" ht="14.1" customHeight="1">
      <c r="A8" s="63">
        <v>-20</v>
      </c>
      <c r="B8" s="64">
        <v>98</v>
      </c>
      <c r="C8" s="65"/>
      <c r="D8" s="66">
        <f>AVERAGE(U5:U6)</f>
        <v>456.33499999999998</v>
      </c>
      <c r="E8" s="66">
        <f>D8-$E$5</f>
        <v>443.26</v>
      </c>
      <c r="F8" s="66"/>
      <c r="G8" s="66">
        <f>($E8*7.1425)</f>
        <v>3165.9845500000001</v>
      </c>
      <c r="H8" s="66">
        <f>($G8/($B8*0.01))</f>
        <v>3230.5964795918371</v>
      </c>
      <c r="I8" s="66"/>
      <c r="J8" s="67">
        <f>$N$2/H8/$D$2</f>
        <v>1.7377433055926708</v>
      </c>
      <c r="K8" s="67"/>
      <c r="L8" s="67">
        <f>J8/($D$4/$D$2)</f>
        <v>3.0335201667015332</v>
      </c>
      <c r="N8" s="68">
        <f>J8-M8</f>
        <v>1.7377433055926708</v>
      </c>
      <c r="O8" s="67">
        <f>N8/($D$4/$D$2)</f>
        <v>3.0335201667015332</v>
      </c>
      <c r="P8" s="67"/>
      <c r="Q8" s="30"/>
      <c r="R8" s="30"/>
      <c r="U8" s="14">
        <v>468.43</v>
      </c>
      <c r="V8" s="15"/>
      <c r="W8" s="27">
        <v>318875</v>
      </c>
      <c r="X8" s="69">
        <v>0.77</v>
      </c>
      <c r="Y8" s="70">
        <v>-20</v>
      </c>
      <c r="Z8" s="71">
        <v>17.140999999999998</v>
      </c>
      <c r="AA8" s="40"/>
      <c r="AB8" s="72"/>
      <c r="AC8" s="72"/>
      <c r="AD8" s="72"/>
      <c r="AE8" s="72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19"/>
      <c r="AY8" s="74"/>
      <c r="AZ8" s="74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</row>
    <row r="9" spans="1:99" ht="14.1" customHeight="1" thickBot="1">
      <c r="A9" s="63">
        <v>-10</v>
      </c>
      <c r="B9" s="75">
        <v>98</v>
      </c>
      <c r="C9" s="65"/>
      <c r="D9" s="66">
        <f>AVERAGE(U7:U8)</f>
        <v>481.48</v>
      </c>
      <c r="E9" s="66">
        <f>D9-$E$5</f>
        <v>468.40500000000003</v>
      </c>
      <c r="F9" s="66"/>
      <c r="G9" s="66">
        <f>($E9*7.1425)</f>
        <v>3345.5827125000001</v>
      </c>
      <c r="H9" s="66">
        <f>($G9/($B9*0.01))</f>
        <v>3413.8599107142859</v>
      </c>
      <c r="I9" s="66"/>
      <c r="J9" s="67">
        <f>$N$2/H9/$D$2</f>
        <v>1.6444574623178814</v>
      </c>
      <c r="K9" s="67"/>
      <c r="L9" s="67">
        <f>J9/($D$4/$D$2)</f>
        <v>2.8706742009417523</v>
      </c>
      <c r="N9" s="68">
        <f>J9-M9</f>
        <v>1.6444574623178814</v>
      </c>
      <c r="O9" s="67">
        <f>N9/($D$4/$D$2)</f>
        <v>2.8706742009417523</v>
      </c>
      <c r="P9" s="67"/>
      <c r="Q9" s="30"/>
      <c r="R9" s="30"/>
      <c r="T9" s="13">
        <v>-5</v>
      </c>
      <c r="U9" s="14">
        <v>523.33000000000004</v>
      </c>
      <c r="V9" s="15"/>
      <c r="W9" s="76">
        <v>322311</v>
      </c>
      <c r="X9" s="69">
        <v>0.73899999999999999</v>
      </c>
      <c r="Y9" s="70">
        <v>-10</v>
      </c>
      <c r="Z9" s="71">
        <v>15.96</v>
      </c>
      <c r="AA9" s="40"/>
      <c r="AB9" s="72"/>
      <c r="AC9" s="72"/>
      <c r="AD9" s="72"/>
      <c r="AE9" s="72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19"/>
      <c r="AY9" s="74"/>
      <c r="AZ9" s="74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</row>
    <row r="10" spans="1:99" s="80" customFormat="1" ht="14.1" customHeight="1">
      <c r="A10" s="77">
        <v>0</v>
      </c>
      <c r="B10" s="75">
        <v>95</v>
      </c>
      <c r="C10" s="65"/>
      <c r="D10" s="66">
        <f>AVERAGE(U11:U12)</f>
        <v>473.67</v>
      </c>
      <c r="E10" s="66">
        <f>D10-$E$5</f>
        <v>460.59500000000003</v>
      </c>
      <c r="F10" s="66"/>
      <c r="G10" s="78">
        <f>($E10*7.1425)</f>
        <v>3289.7997875000001</v>
      </c>
      <c r="H10" s="78">
        <f>($G10/($B10*0.01))</f>
        <v>3462.9471447368419</v>
      </c>
      <c r="I10" s="78"/>
      <c r="J10" s="79">
        <f>$N$2/H10/$D$2</f>
        <v>1.6211472976173831</v>
      </c>
      <c r="K10" s="79"/>
      <c r="L10" s="67">
        <f>J10/($D$4/$D$2)</f>
        <v>2.8299824287562285</v>
      </c>
      <c r="N10" s="81">
        <f>J10-M10</f>
        <v>1.6211472976173831</v>
      </c>
      <c r="O10" s="67">
        <f>N10/($D$4/$D$2)</f>
        <v>2.8299824287562285</v>
      </c>
      <c r="P10" s="67"/>
      <c r="Q10" s="30"/>
      <c r="R10" s="30"/>
      <c r="S10" s="13"/>
      <c r="T10" s="13" t="s">
        <v>39</v>
      </c>
      <c r="U10" s="14">
        <v>487.7</v>
      </c>
      <c r="V10" s="15"/>
      <c r="W10" s="15"/>
      <c r="X10" s="69">
        <v>0.66</v>
      </c>
      <c r="Y10" s="70">
        <v>0</v>
      </c>
      <c r="Z10" s="82">
        <v>15.96</v>
      </c>
      <c r="AA10" s="30"/>
      <c r="AB10" s="83" t="s">
        <v>40</v>
      </c>
      <c r="AC10" s="83" t="s">
        <v>41</v>
      </c>
      <c r="AD10" s="83" t="s">
        <v>42</v>
      </c>
      <c r="AE10" s="83" t="s">
        <v>43</v>
      </c>
      <c r="AF10" s="83" t="s">
        <v>44</v>
      </c>
      <c r="AG10" s="83" t="s">
        <v>45</v>
      </c>
      <c r="AH10" s="83" t="s">
        <v>46</v>
      </c>
      <c r="AI10" s="83" t="s">
        <v>47</v>
      </c>
      <c r="AJ10" s="83" t="s">
        <v>48</v>
      </c>
      <c r="AK10" s="83" t="s">
        <v>49</v>
      </c>
      <c r="AL10" s="83" t="s">
        <v>50</v>
      </c>
      <c r="AM10" s="83" t="s">
        <v>51</v>
      </c>
      <c r="AN10" s="83" t="s">
        <v>52</v>
      </c>
      <c r="AO10" s="83" t="s">
        <v>53</v>
      </c>
      <c r="AP10" s="83" t="s">
        <v>54</v>
      </c>
      <c r="AQ10" s="83" t="s">
        <v>55</v>
      </c>
      <c r="AR10" s="83" t="s">
        <v>56</v>
      </c>
      <c r="AS10" s="83" t="s">
        <v>57</v>
      </c>
      <c r="AT10" s="83" t="s">
        <v>58</v>
      </c>
      <c r="AU10" s="83" t="s">
        <v>59</v>
      </c>
      <c r="AV10" s="84" t="s">
        <v>60</v>
      </c>
      <c r="AW10" s="84" t="s">
        <v>61</v>
      </c>
      <c r="AX10" s="85" t="s">
        <v>62</v>
      </c>
      <c r="AY10" s="85" t="s">
        <v>63</v>
      </c>
      <c r="AZ10" s="85" t="s">
        <v>64</v>
      </c>
      <c r="BA10" s="86" t="s">
        <v>65</v>
      </c>
      <c r="BB10" s="86" t="s">
        <v>66</v>
      </c>
      <c r="BC10" s="86" t="s">
        <v>67</v>
      </c>
      <c r="BD10" s="86" t="s">
        <v>68</v>
      </c>
      <c r="BE10" s="86" t="s">
        <v>69</v>
      </c>
      <c r="BF10" s="86" t="s">
        <v>70</v>
      </c>
      <c r="BG10" s="86" t="s">
        <v>71</v>
      </c>
      <c r="BH10" s="86" t="s">
        <v>72</v>
      </c>
      <c r="BI10" s="86" t="s">
        <v>73</v>
      </c>
      <c r="BJ10" s="86" t="s">
        <v>74</v>
      </c>
      <c r="BK10" s="86" t="s">
        <v>75</v>
      </c>
      <c r="BL10" s="86" t="s">
        <v>76</v>
      </c>
      <c r="BM10" s="86" t="s">
        <v>77</v>
      </c>
      <c r="BN10" s="87" t="s">
        <v>78</v>
      </c>
      <c r="BO10" s="87" t="s">
        <v>79</v>
      </c>
      <c r="BP10" s="87" t="s">
        <v>80</v>
      </c>
      <c r="BQ10" s="88" t="s">
        <v>81</v>
      </c>
      <c r="BR10" s="88" t="s">
        <v>82</v>
      </c>
      <c r="BS10" s="88" t="s">
        <v>83</v>
      </c>
      <c r="BT10" s="88" t="s">
        <v>84</v>
      </c>
      <c r="BU10" s="88" t="s">
        <v>85</v>
      </c>
      <c r="BV10" s="88" t="s">
        <v>86</v>
      </c>
      <c r="BW10" s="88" t="s">
        <v>87</v>
      </c>
      <c r="BX10" s="88" t="s">
        <v>88</v>
      </c>
      <c r="BY10" s="88" t="s">
        <v>89</v>
      </c>
      <c r="BZ10" s="88" t="s">
        <v>90</v>
      </c>
      <c r="CA10" s="88" t="s">
        <v>91</v>
      </c>
      <c r="CB10" s="88" t="s">
        <v>92</v>
      </c>
      <c r="CC10" s="88" t="s">
        <v>93</v>
      </c>
      <c r="CD10" s="40"/>
      <c r="CE10" s="89" t="s">
        <v>94</v>
      </c>
      <c r="CF10" s="89" t="s">
        <v>95</v>
      </c>
      <c r="CG10" s="90" t="s">
        <v>96</v>
      </c>
      <c r="CH10" s="40"/>
      <c r="CI10" s="91" t="s">
        <v>97</v>
      </c>
      <c r="CJ10" s="91" t="s">
        <v>98</v>
      </c>
      <c r="CK10" s="91" t="s">
        <v>99</v>
      </c>
      <c r="CL10" s="91" t="s">
        <v>100</v>
      </c>
      <c r="CM10" s="91" t="s">
        <v>101</v>
      </c>
      <c r="CN10" s="91" t="s">
        <v>102</v>
      </c>
      <c r="CO10" s="91" t="s">
        <v>103</v>
      </c>
      <c r="CP10" s="92" t="s">
        <v>104</v>
      </c>
      <c r="CQ10" s="92" t="s">
        <v>105</v>
      </c>
      <c r="CR10" s="13"/>
      <c r="CS10" s="13"/>
      <c r="CT10" s="13"/>
      <c r="CU10" s="13"/>
    </row>
    <row r="11" spans="1:99" s="49" customFormat="1" ht="14.1" customHeight="1">
      <c r="A11" s="93" t="s">
        <v>106</v>
      </c>
      <c r="B11" s="49">
        <f>AVERAGE(B7:B10)</f>
        <v>97.75</v>
      </c>
      <c r="E11" s="50">
        <f>AVERAGE(E7:E10)</f>
        <v>466.28625</v>
      </c>
      <c r="G11" s="50">
        <f>AVERAGE(G7:G10)</f>
        <v>3330.4495406250003</v>
      </c>
      <c r="H11" s="50">
        <f>AVERAGE(H7:H10)</f>
        <v>3406.9586618857411</v>
      </c>
      <c r="J11" s="94">
        <f>AVERAGE(J7:J10)</f>
        <v>1.6495060448390746</v>
      </c>
      <c r="K11" s="50" t="s">
        <v>39</v>
      </c>
      <c r="L11" s="50">
        <f>AVERAGE(L7:L10)</f>
        <v>2.8794873420092548</v>
      </c>
      <c r="M11" s="50"/>
      <c r="N11" s="94">
        <f>AVERAGE(N7:N10)</f>
        <v>1.6495060448390746</v>
      </c>
      <c r="O11" s="50">
        <f>AVERAGE(O7:O10)</f>
        <v>2.8794873420092548</v>
      </c>
      <c r="P11" s="95"/>
      <c r="Q11" s="95"/>
      <c r="R11" s="95"/>
      <c r="S11" s="6"/>
      <c r="T11" s="13">
        <v>0</v>
      </c>
      <c r="U11" s="14">
        <v>479.93</v>
      </c>
      <c r="V11" s="15"/>
      <c r="W11" s="15"/>
      <c r="X11" s="96">
        <f>AVERAGE(X7:X10)</f>
        <v>0.72075</v>
      </c>
      <c r="Y11" s="70" t="s">
        <v>107</v>
      </c>
      <c r="Z11" s="96">
        <f>AVERAGE(Z7:Z10)</f>
        <v>16.567999999999998</v>
      </c>
      <c r="AA11" s="30"/>
      <c r="AB11" s="72">
        <f>J11</f>
        <v>1.6495060448390746</v>
      </c>
      <c r="AC11" s="73">
        <f>AB11/($D$4/$D$2)</f>
        <v>2.8794873420092548</v>
      </c>
      <c r="AD11" s="73">
        <f>AB11/Z11</f>
        <v>9.9559756448519721E-2</v>
      </c>
      <c r="AE11" s="73">
        <f>AC11/Z11</f>
        <v>0.17379812542305983</v>
      </c>
      <c r="AF11" s="72">
        <f>N20</f>
        <v>-0.55374364543372878</v>
      </c>
      <c r="AG11" s="72">
        <f>AF11/($D$4/$D$2)</f>
        <v>-0.96665169717522426</v>
      </c>
      <c r="AH11" s="72">
        <f>AF11/Z18</f>
        <v>-1.0162708816170388E-2</v>
      </c>
      <c r="AI11" s="72">
        <f>AG11/Z18</f>
        <v>-1.7740699701129875E-2</v>
      </c>
      <c r="AJ11" s="73">
        <f>((AB11-AF11)/AB11)*100</f>
        <v>133.57027075870775</v>
      </c>
      <c r="AK11" s="73">
        <f>((AC11-AG11)/AC11)*100</f>
        <v>133.57027075870778</v>
      </c>
      <c r="AL11" s="73">
        <f>((AD11-AH11)/AD11)*100</f>
        <v>110.20764732527778</v>
      </c>
      <c r="AM11" s="73">
        <f>((AE11-AI11)/AE11)*100</f>
        <v>110.20764732527778</v>
      </c>
      <c r="AN11" s="72">
        <f>N29</f>
        <v>-2.549905957528158</v>
      </c>
      <c r="AO11" s="72">
        <f>AN11/($D$4/$D$2)</f>
        <v>-4.4512852505082181</v>
      </c>
      <c r="AP11" s="72">
        <f>AN11/Z25</f>
        <v>-9.5934700203470259E-3</v>
      </c>
      <c r="AQ11" s="72">
        <f>AO11/Z25</f>
        <v>-1.6746998639965305E-2</v>
      </c>
      <c r="AR11" s="73">
        <f>((AB11-AN11)/AB11)*100</f>
        <v>254.58603292217254</v>
      </c>
      <c r="AS11" s="73">
        <f>((AC11-AO11)/AC11)*100</f>
        <v>254.58603292217256</v>
      </c>
      <c r="AT11" s="73">
        <f>((AD11-AP11)/AD11)*100</f>
        <v>109.63589141091119</v>
      </c>
      <c r="AU11" s="73">
        <f>((AE11-AQ11)/AE11)*100</f>
        <v>109.63589141091121</v>
      </c>
      <c r="AV11" s="72">
        <f>J11</f>
        <v>1.6495060448390746</v>
      </c>
      <c r="AW11" s="72">
        <f>AV11/($D$4/$D$2)</f>
        <v>2.8794873420092548</v>
      </c>
      <c r="AX11" s="95">
        <f>M20</f>
        <v>2.5963534361851335</v>
      </c>
      <c r="AY11" s="95">
        <f>AX11/($D$4/$D$2)</f>
        <v>4.5323670551366178</v>
      </c>
      <c r="AZ11" s="95">
        <f>AX11/Z11</f>
        <v>0.15670892299523984</v>
      </c>
      <c r="BA11" s="73">
        <f>AY11/Z11</f>
        <v>0.27356150743219571</v>
      </c>
      <c r="BB11" s="72">
        <f>P21</f>
        <v>2.7263534361851334</v>
      </c>
      <c r="BC11" s="73">
        <f>BB11/($D$4/$D$2)</f>
        <v>4.7593036920967586</v>
      </c>
      <c r="BD11" s="73">
        <f>BB11/Z18</f>
        <v>5.003603441844108E-2</v>
      </c>
      <c r="BE11" s="73">
        <f>BC11/Z18</f>
        <v>8.7346225982637568E-2</v>
      </c>
      <c r="BF11" s="72">
        <f>K20</f>
        <v>2.1923994120697774</v>
      </c>
      <c r="BG11" s="73">
        <f>BF11/($D$4/$D$2)</f>
        <v>3.8271980726808126</v>
      </c>
      <c r="BH11" s="73">
        <f>BF11/Z18</f>
        <v>4.0236519222097013E-2</v>
      </c>
      <c r="BI11" s="73">
        <f>BG11/Z18</f>
        <v>7.02395411941905E-2</v>
      </c>
      <c r="BJ11" s="72">
        <f>J21</f>
        <v>3.4494945622606381</v>
      </c>
      <c r="BK11" s="73">
        <f>BJ11/($D$4/$D$2)</f>
        <v>6.0216668859363303</v>
      </c>
      <c r="BL11" s="73">
        <f>BJ11/Z18</f>
        <v>6.3307649827312504E-2</v>
      </c>
      <c r="BM11" s="73">
        <f>BK11/Z18</f>
        <v>0.11051403958200424</v>
      </c>
      <c r="BN11" s="95">
        <f>M29</f>
        <v>8.1884992987377281</v>
      </c>
      <c r="BO11" s="95">
        <f>BN11/($D$4/$D$2)</f>
        <v>14.294388404661639</v>
      </c>
      <c r="BP11" s="95">
        <f>BN11/Z25</f>
        <v>3.0807458722997068E-2</v>
      </c>
      <c r="BQ11" s="73">
        <f>BO11/Z25</f>
        <v>5.3779546737579342E-2</v>
      </c>
      <c r="BR11" s="72">
        <f>P30</f>
        <v>8.4484992987377279</v>
      </c>
      <c r="BS11" s="73">
        <f>BR11/($D$4/$D$2)</f>
        <v>14.748261678581921</v>
      </c>
      <c r="BT11" s="73">
        <f>BR11/Z25</f>
        <v>3.1785652525763097E-2</v>
      </c>
      <c r="BU11" s="73">
        <f>BS11/Z25</f>
        <v>5.5487146829079147E-2</v>
      </c>
      <c r="BV11" s="72">
        <f>K29</f>
        <v>5.6885232149823617</v>
      </c>
      <c r="BW11" s="73">
        <f>BV11/($D$4/$D$2)</f>
        <v>9.9302640590598958</v>
      </c>
      <c r="BX11" s="73">
        <f>BV11/Z25</f>
        <v>2.1401839060717097E-2</v>
      </c>
      <c r="BY11" s="73">
        <f>BW11/Z25</f>
        <v>3.7360472163087091E-2</v>
      </c>
      <c r="BZ11" s="72">
        <f>J30</f>
        <v>6.8869258809978389</v>
      </c>
      <c r="CA11" s="73">
        <f>BZ11/($D$4/$D$2)</f>
        <v>12.022275372518507</v>
      </c>
      <c r="CB11" s="73">
        <f>BZ11/Z25</f>
        <v>2.5910570065004135E-2</v>
      </c>
      <c r="CC11" s="73">
        <f>CA11/Z25</f>
        <v>4.5231212555939544E-2</v>
      </c>
      <c r="CD11" s="13"/>
      <c r="CE11" s="97">
        <f>B11</f>
        <v>97.75</v>
      </c>
      <c r="CF11" s="13">
        <f>Z11</f>
        <v>16.567999999999998</v>
      </c>
      <c r="CG11" s="40">
        <f>((CE11/18)*CF11)/22.5</f>
        <v>3.9988197530864187</v>
      </c>
      <c r="CH11" s="40"/>
      <c r="CI11" s="40">
        <f>X28</f>
        <v>0</v>
      </c>
      <c r="CJ11" s="40">
        <f>X29</f>
        <v>0</v>
      </c>
      <c r="CK11" s="40">
        <f>X30</f>
        <v>0</v>
      </c>
      <c r="CL11" s="40">
        <f>X31</f>
        <v>0</v>
      </c>
      <c r="CM11" s="40">
        <f>X32</f>
        <v>0</v>
      </c>
      <c r="CN11" s="40">
        <f>X33</f>
        <v>0</v>
      </c>
      <c r="CO11" s="13">
        <f>X11</f>
        <v>0.72075</v>
      </c>
      <c r="CP11" s="13">
        <f>X18</f>
        <v>8.1000000000000003E-2</v>
      </c>
      <c r="CQ11" s="13">
        <f>X25</f>
        <v>3.3599999999999998E-2</v>
      </c>
      <c r="CR11" s="13"/>
      <c r="CS11" s="13"/>
      <c r="CT11" s="13"/>
      <c r="CU11" s="13"/>
    </row>
    <row r="12" spans="1:99" ht="14.1" customHeight="1" thickBot="1">
      <c r="B12" s="98"/>
      <c r="C12" s="65"/>
      <c r="D12" s="99"/>
      <c r="E12" s="13"/>
      <c r="F12" s="13"/>
      <c r="G12" s="13"/>
      <c r="H12" s="13"/>
      <c r="I12" s="13"/>
      <c r="J12" s="6" t="s">
        <v>108</v>
      </c>
      <c r="K12" s="13"/>
      <c r="L12" s="13"/>
      <c r="M12" s="12" t="s">
        <v>39</v>
      </c>
      <c r="N12" s="13"/>
      <c r="O12" s="13"/>
      <c r="P12" s="13"/>
      <c r="Q12" s="30"/>
      <c r="R12" s="30"/>
      <c r="U12" s="14">
        <v>467.41</v>
      </c>
      <c r="V12" s="15"/>
      <c r="W12" s="15"/>
      <c r="Y12" s="70"/>
      <c r="Z12" s="96"/>
      <c r="AA12" s="30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30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40"/>
      <c r="CG12" s="40"/>
      <c r="CH12" s="40"/>
      <c r="CI12" s="40"/>
      <c r="CJ12" s="40"/>
      <c r="CK12" s="40"/>
      <c r="CL12" s="40"/>
      <c r="CM12" s="40"/>
      <c r="CN12" s="40"/>
    </row>
    <row r="13" spans="1:99" ht="14.1" customHeight="1" thickBot="1">
      <c r="B13" s="98"/>
      <c r="C13" s="65"/>
      <c r="D13" s="99"/>
      <c r="E13" s="13"/>
      <c r="F13" s="13"/>
      <c r="G13" s="13"/>
      <c r="H13" s="13"/>
      <c r="I13" s="13"/>
      <c r="J13" s="6"/>
      <c r="K13" s="13"/>
      <c r="L13" s="13"/>
      <c r="M13" s="100" t="s">
        <v>32</v>
      </c>
      <c r="N13" s="101"/>
      <c r="O13" s="101"/>
      <c r="P13" s="101"/>
      <c r="Q13" s="30"/>
      <c r="R13" s="102" t="s">
        <v>25</v>
      </c>
      <c r="S13" s="103" t="s">
        <v>109</v>
      </c>
      <c r="T13" s="13">
        <v>30</v>
      </c>
      <c r="U13" s="14">
        <v>444.76</v>
      </c>
      <c r="V13" s="15"/>
      <c r="W13" s="15"/>
      <c r="X13" s="69">
        <v>0.122</v>
      </c>
      <c r="Y13" s="30">
        <v>90</v>
      </c>
      <c r="Z13" s="71">
        <v>51.305999999999997</v>
      </c>
      <c r="AA13" s="40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19"/>
      <c r="AY13" s="74"/>
      <c r="AZ13" s="74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40"/>
      <c r="CG13" s="40"/>
      <c r="CH13" s="40"/>
      <c r="CI13" s="40"/>
      <c r="CJ13" s="40"/>
      <c r="CK13" s="40"/>
      <c r="CL13" s="40"/>
      <c r="CM13" s="40"/>
      <c r="CN13" s="40"/>
    </row>
    <row r="14" spans="1:99" ht="14.1" customHeight="1">
      <c r="A14" s="12">
        <v>90</v>
      </c>
      <c r="B14" s="75">
        <v>103</v>
      </c>
      <c r="C14" s="65"/>
      <c r="D14" s="104">
        <f>AVERAGE(U17:U18)</f>
        <v>410.84500000000003</v>
      </c>
      <c r="E14" s="78">
        <f>D14-$E$5</f>
        <v>397.77000000000004</v>
      </c>
      <c r="F14" s="78"/>
      <c r="G14" s="78">
        <f t="shared" ref="G14:G27" si="0">($E14*7.1425)</f>
        <v>2841.0722250000003</v>
      </c>
      <c r="H14" s="78">
        <f t="shared" ref="H14:H27" si="1">($G14/($B14*0.01))</f>
        <v>2758.3225485436897</v>
      </c>
      <c r="I14" s="33">
        <f>$C$15*A14+$C$16</f>
        <v>3035.3523064285714</v>
      </c>
      <c r="J14" s="105" t="s">
        <v>110</v>
      </c>
      <c r="K14" s="106" t="s">
        <v>111</v>
      </c>
      <c r="L14" s="13"/>
      <c r="M14" s="107">
        <f>(((S14/60)*$J$1)/$D$2)</f>
        <v>1.9971949509116411</v>
      </c>
      <c r="N14" s="101"/>
      <c r="O14" s="101"/>
      <c r="P14" s="101"/>
      <c r="Q14" s="30"/>
      <c r="R14" s="108">
        <v>90</v>
      </c>
      <c r="S14" s="109">
        <v>48</v>
      </c>
      <c r="U14" s="14">
        <v>431.64</v>
      </c>
      <c r="V14" s="15"/>
      <c r="W14" s="110"/>
      <c r="X14" s="69">
        <v>0.08</v>
      </c>
      <c r="Y14" s="30">
        <v>100</v>
      </c>
      <c r="Z14" s="71">
        <v>51.640999999999998</v>
      </c>
      <c r="AA14" s="40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19"/>
      <c r="AY14" s="74"/>
      <c r="AZ14" s="74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40"/>
      <c r="CG14" s="40"/>
      <c r="CH14" s="40"/>
      <c r="CI14" s="40"/>
      <c r="CJ14" s="40"/>
      <c r="CK14" s="40"/>
      <c r="CL14" s="40"/>
      <c r="CM14" s="40"/>
      <c r="CN14" s="40"/>
    </row>
    <row r="15" spans="1:99" s="115" customFormat="1" ht="14.1" customHeight="1">
      <c r="A15" s="12">
        <v>100</v>
      </c>
      <c r="B15" s="75">
        <v>102</v>
      </c>
      <c r="C15" s="65">
        <f>SLOPE(G15:G18,A15:A18)</f>
        <v>-23.078029714285705</v>
      </c>
      <c r="D15" s="104">
        <f>AVERAGE(U19:U20)</f>
        <v>407.24</v>
      </c>
      <c r="E15" s="66">
        <f>D15-$E$5</f>
        <v>394.16500000000002</v>
      </c>
      <c r="F15" s="111">
        <v>180</v>
      </c>
      <c r="G15" s="112">
        <f t="shared" si="0"/>
        <v>2815.3235125000001</v>
      </c>
      <c r="H15" s="78">
        <f t="shared" si="1"/>
        <v>2760.1210906862748</v>
      </c>
      <c r="I15" s="33">
        <f>$C$15*A15+$C$16</f>
        <v>2804.5720092857146</v>
      </c>
      <c r="J15" s="113">
        <f>((($N$2-(130*$D$2*(((B15+B14)*0.01)/2))*((I15-I14)/(A15-A14))))/((I15+I14)/2))/$D$2</f>
        <v>2.9757559842101342</v>
      </c>
      <c r="K15" s="114">
        <f>$N$2/H15/$D$2</f>
        <v>2.0339496786664948</v>
      </c>
      <c r="L15" s="114">
        <f>J15/($D$4/$D$2)</f>
        <v>5.1946773497743255</v>
      </c>
      <c r="M15" s="107">
        <f>(((S15/60)*$J$1)/$D$2)</f>
        <v>1.9971949509116411</v>
      </c>
      <c r="N15" s="19">
        <f>K15-M15</f>
        <v>3.6754727754853667E-2</v>
      </c>
      <c r="O15" s="74">
        <f>N15/($D$4/$D$2)</f>
        <v>6.4161494685169573E-2</v>
      </c>
      <c r="P15" s="74"/>
      <c r="Q15" s="30"/>
      <c r="R15" s="108">
        <v>100</v>
      </c>
      <c r="S15" s="109">
        <v>48</v>
      </c>
      <c r="T15" s="13">
        <v>60</v>
      </c>
      <c r="U15" s="14">
        <v>412.54</v>
      </c>
      <c r="V15" s="15"/>
      <c r="W15" s="110"/>
      <c r="X15" s="69">
        <v>6.6000000000000003E-2</v>
      </c>
      <c r="Y15" s="30">
        <v>110</v>
      </c>
      <c r="Z15" s="71">
        <v>61.122999999999998</v>
      </c>
      <c r="AA15" s="40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19"/>
      <c r="AY15" s="74"/>
      <c r="AZ15" s="74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40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40"/>
      <c r="CH15" s="40"/>
      <c r="CI15" s="40"/>
      <c r="CJ15" s="40"/>
      <c r="CK15" s="40"/>
      <c r="CL15" s="40"/>
      <c r="CM15" s="40"/>
      <c r="CN15" s="40"/>
      <c r="CO15" s="13"/>
      <c r="CP15" s="13"/>
      <c r="CQ15" s="13"/>
      <c r="CR15" s="13"/>
      <c r="CS15" s="13"/>
      <c r="CT15" s="13"/>
      <c r="CU15" s="13"/>
    </row>
    <row r="16" spans="1:99" ht="14.1" customHeight="1">
      <c r="A16" s="12">
        <v>110</v>
      </c>
      <c r="B16" s="75">
        <v>96</v>
      </c>
      <c r="C16" s="65">
        <f>INTERCEPT(G15:G18,A15:A18)</f>
        <v>5112.3749807142849</v>
      </c>
      <c r="D16" s="104">
        <f>AVERAGE(U21:U22)</f>
        <v>374.125</v>
      </c>
      <c r="E16" s="66">
        <f>D16-$E$5</f>
        <v>361.05</v>
      </c>
      <c r="F16" s="116">
        <v>210</v>
      </c>
      <c r="G16" s="66">
        <f t="shared" si="0"/>
        <v>2578.7996250000001</v>
      </c>
      <c r="H16" s="78">
        <f t="shared" si="1"/>
        <v>2686.2496093750001</v>
      </c>
      <c r="I16" s="33">
        <f>$C$15*A16+$C$16</f>
        <v>2573.7917121428573</v>
      </c>
      <c r="J16" s="113">
        <f>((($N$2-(130*$D$2*(((B16+B15)*0.01)/2))*((I16-I15)/(A16-A15))))/((I16+I15)/2))/$D$2</f>
        <v>3.1920823039578581</v>
      </c>
      <c r="K16" s="67">
        <f>$N$2/H16/$D$2</f>
        <v>2.0898830048738994</v>
      </c>
      <c r="L16" s="67">
        <f>J16/($D$4/$D$2)</f>
        <v>5.5723109458474998</v>
      </c>
      <c r="M16" s="107">
        <f>(((S16/60)*$J$1)/$D$2)</f>
        <v>2.9957924263674616</v>
      </c>
      <c r="N16" s="19">
        <f>K16-M16</f>
        <v>-0.90590942149356213</v>
      </c>
      <c r="O16" s="67">
        <f>N16/($D$4/$D$2)</f>
        <v>-1.5814156731096605</v>
      </c>
      <c r="P16" s="67"/>
      <c r="Q16" s="30"/>
      <c r="R16" s="108">
        <v>110</v>
      </c>
      <c r="S16" s="109">
        <v>72</v>
      </c>
      <c r="U16" s="14">
        <v>445.85</v>
      </c>
      <c r="V16" s="15"/>
      <c r="W16" s="110"/>
      <c r="X16" s="69">
        <v>6.2E-2</v>
      </c>
      <c r="Y16" s="30">
        <v>115</v>
      </c>
      <c r="Z16" s="71">
        <v>49.753999999999998</v>
      </c>
      <c r="AA16" s="40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19"/>
      <c r="AY16" s="74"/>
      <c r="AZ16" s="74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40"/>
    </row>
    <row r="17" spans="1:67" ht="14.1" customHeight="1">
      <c r="A17" s="12">
        <v>115</v>
      </c>
      <c r="B17" s="75">
        <v>98</v>
      </c>
      <c r="C17" s="65"/>
      <c r="D17" s="104">
        <f>AVERAGE(U23:U24)</f>
        <v>349.84500000000003</v>
      </c>
      <c r="E17" s="66">
        <f>D17-$E$5</f>
        <v>336.77000000000004</v>
      </c>
      <c r="F17" s="116">
        <v>220</v>
      </c>
      <c r="G17" s="66">
        <f t="shared" si="0"/>
        <v>2405.3797250000002</v>
      </c>
      <c r="H17" s="78">
        <f t="shared" si="1"/>
        <v>2454.4691071428574</v>
      </c>
      <c r="I17" s="33">
        <f>$C$15*A17+$C$16</f>
        <v>2458.4015635714286</v>
      </c>
      <c r="J17" s="113">
        <f>((($N$2-(130*$D$2*(((B17+B16)*0.01)/2))*((I17-I16)/(A17-A16))))/((I17+I16)/2))/$D$2</f>
        <v>3.3878217649513704</v>
      </c>
      <c r="K17" s="67">
        <f>$N$2/H17/$D$2</f>
        <v>2.2872349010808777</v>
      </c>
      <c r="L17" s="67">
        <f>J17/($D$4/$D$2)</f>
        <v>5.9140067535264098</v>
      </c>
      <c r="M17" s="107">
        <f>(((S17/60)*$J$1)/$D$2)</f>
        <v>2.9957924263674616</v>
      </c>
      <c r="N17" s="19">
        <f>K17-M17</f>
        <v>-0.70855752528658389</v>
      </c>
      <c r="O17" s="67">
        <f>N17/($D$4/$D$2)</f>
        <v>-1.2369050913949033</v>
      </c>
      <c r="P17" s="67"/>
      <c r="Q17" s="30"/>
      <c r="R17" s="108">
        <v>115</v>
      </c>
      <c r="S17" s="117">
        <v>72</v>
      </c>
      <c r="T17" s="40">
        <v>90</v>
      </c>
      <c r="U17" s="14">
        <v>432.27</v>
      </c>
      <c r="V17" s="15"/>
      <c r="W17" s="110"/>
      <c r="X17" s="69">
        <v>7.4999999999999997E-2</v>
      </c>
      <c r="Y17" s="30">
        <v>120</v>
      </c>
      <c r="Z17" s="71">
        <v>58.615000000000002</v>
      </c>
      <c r="AA17" s="40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19"/>
      <c r="AY17" s="74"/>
      <c r="AZ17" s="74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40"/>
    </row>
    <row r="18" spans="1:67" ht="14.1" customHeight="1">
      <c r="A18" s="12">
        <v>120</v>
      </c>
      <c r="B18" s="118">
        <v>100</v>
      </c>
      <c r="C18" s="65"/>
      <c r="D18" s="104">
        <f>AVERAGE(U25:U26)</f>
        <v>346.33000000000004</v>
      </c>
      <c r="E18" s="66">
        <f>D18-$E$5</f>
        <v>333.25500000000005</v>
      </c>
      <c r="F18" s="116">
        <v>225</v>
      </c>
      <c r="G18" s="66">
        <f t="shared" si="0"/>
        <v>2380.2738375000004</v>
      </c>
      <c r="H18" s="78">
        <f t="shared" si="1"/>
        <v>2380.2738375000004</v>
      </c>
      <c r="I18" s="33">
        <f>$C$15*A18+$C$16</f>
        <v>2343.0114150000004</v>
      </c>
      <c r="J18" s="113">
        <f>((($N$2-(130*$D$2*(((B18+B17)*0.01)/2))*((I18-I17)/(A18-A17))))/((I18+I17)/2))/$D$2</f>
        <v>3.5756515292565245</v>
      </c>
      <c r="K18" s="67">
        <f>$N$2/H18/$D$2</f>
        <v>2.3585300636578386</v>
      </c>
      <c r="L18" s="67">
        <f>J18/($D$4/$D$2)</f>
        <v>6.2418948691604683</v>
      </c>
      <c r="M18" s="107">
        <f>(((S18/60)*$J$1)/$D$2)</f>
        <v>2.9957924263674616</v>
      </c>
      <c r="N18" s="19">
        <f>K18-M18</f>
        <v>-0.637262362709623</v>
      </c>
      <c r="O18" s="67">
        <f>N18/($D$4/$D$2)</f>
        <v>-1.1124475188815033</v>
      </c>
      <c r="P18" s="67"/>
      <c r="Q18" s="30"/>
      <c r="R18" s="108">
        <v>120</v>
      </c>
      <c r="S18" s="117">
        <v>72</v>
      </c>
      <c r="T18" s="30"/>
      <c r="U18" s="14">
        <v>389.42</v>
      </c>
      <c r="V18" s="15"/>
      <c r="W18" s="110"/>
      <c r="X18" s="96">
        <f>AVERAGE(X13:X17)</f>
        <v>8.1000000000000003E-2</v>
      </c>
      <c r="Y18" s="30" t="s">
        <v>107</v>
      </c>
      <c r="Z18" s="96">
        <f>AVERAGE(Z13:Z17)</f>
        <v>54.487799999999993</v>
      </c>
      <c r="AA18" s="30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5"/>
      <c r="AY18" s="95"/>
      <c r="AZ18" s="95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2"/>
      <c r="BO18" s="40"/>
    </row>
    <row r="19" spans="1:67" ht="14.1" customHeight="1" thickBot="1">
      <c r="A19" s="63"/>
      <c r="B19" s="98"/>
      <c r="C19" s="65"/>
      <c r="D19" s="99"/>
      <c r="E19" s="66"/>
      <c r="F19" s="63"/>
      <c r="G19" s="66"/>
      <c r="H19" s="66"/>
      <c r="I19" s="33"/>
      <c r="J19" s="113"/>
      <c r="K19" s="67"/>
      <c r="L19" s="67"/>
      <c r="M19" s="107"/>
      <c r="O19" s="67"/>
      <c r="P19" s="67"/>
      <c r="Q19" s="30"/>
      <c r="R19" s="108"/>
      <c r="S19" s="117"/>
      <c r="T19" s="41">
        <v>100</v>
      </c>
      <c r="U19" s="14">
        <v>408.29</v>
      </c>
      <c r="V19" s="15"/>
      <c r="W19" s="110"/>
      <c r="Y19" s="30"/>
      <c r="Z19" s="96"/>
      <c r="AA19" s="30"/>
      <c r="AB19" s="96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30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40"/>
    </row>
    <row r="20" spans="1:67" ht="14.1" customHeight="1" thickBot="1">
      <c r="A20" s="119" t="s">
        <v>112</v>
      </c>
      <c r="B20" s="120">
        <f>AVERAGE(B14:B19)</f>
        <v>99.8</v>
      </c>
      <c r="C20" s="121"/>
      <c r="D20" s="122">
        <f>AVERAGE(D14:D18)</f>
        <v>377.67700000000002</v>
      </c>
      <c r="E20" s="122">
        <f>AVERAGE(E14:E18)</f>
        <v>364.60200000000003</v>
      </c>
      <c r="F20" s="122"/>
      <c r="G20" s="122">
        <f>AVERAGE(G14:G18)</f>
        <v>2604.1697850000005</v>
      </c>
      <c r="H20" s="122">
        <f>AVERAGE(H14:H18)</f>
        <v>2607.8872386495646</v>
      </c>
      <c r="I20" s="122"/>
      <c r="J20" s="122">
        <f t="shared" ref="J20:O20" si="2">AVERAGE(J14:J18)</f>
        <v>3.2828278955939716</v>
      </c>
      <c r="K20" s="123">
        <f t="shared" si="2"/>
        <v>2.1923994120697774</v>
      </c>
      <c r="L20" s="122">
        <f t="shared" si="2"/>
        <v>5.7307224795771763</v>
      </c>
      <c r="M20" s="122">
        <f t="shared" si="2"/>
        <v>2.5963534361851335</v>
      </c>
      <c r="N20" s="123">
        <f t="shared" si="2"/>
        <v>-0.55374364543372878</v>
      </c>
      <c r="O20" s="122">
        <f t="shared" si="2"/>
        <v>-0.96665169717522437</v>
      </c>
      <c r="P20" s="124"/>
      <c r="Q20" s="30"/>
      <c r="R20" s="108"/>
      <c r="S20" s="117"/>
      <c r="T20" s="41"/>
      <c r="U20" s="14">
        <v>406.19</v>
      </c>
      <c r="V20" s="15"/>
      <c r="W20" s="110"/>
      <c r="X20" s="69">
        <v>2.3E-2</v>
      </c>
      <c r="Y20" s="70">
        <v>210</v>
      </c>
      <c r="Z20" s="71">
        <v>221.38</v>
      </c>
      <c r="AA20" s="40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4"/>
      <c r="AY20" s="74"/>
      <c r="AZ20" s="74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40"/>
    </row>
    <row r="21" spans="1:67" ht="14.1" customHeight="1" thickBot="1">
      <c r="A21" s="70"/>
      <c r="B21" s="118"/>
      <c r="C21" s="36"/>
      <c r="D21" s="99"/>
      <c r="E21" s="33"/>
      <c r="F21" s="125" t="s">
        <v>113</v>
      </c>
      <c r="G21" s="33"/>
      <c r="H21" s="33"/>
      <c r="I21" s="126" t="s">
        <v>114</v>
      </c>
      <c r="J21" s="127">
        <f>J20-((B18-B15)*0.25*$D$2*10)/(30*$D$2)</f>
        <v>3.4494945622606381</v>
      </c>
      <c r="K21" s="74"/>
      <c r="L21" s="128" t="s">
        <v>33</v>
      </c>
      <c r="M21" s="129">
        <f>J21-M20</f>
        <v>0.85314112607550463</v>
      </c>
      <c r="N21" s="19"/>
      <c r="O21" s="74"/>
      <c r="P21" s="130">
        <f>$M$20-(((B18-B14)*1.3)/(A18-A14))</f>
        <v>2.7263534361851334</v>
      </c>
      <c r="Q21" s="30"/>
      <c r="R21" s="131"/>
      <c r="S21" s="117"/>
      <c r="T21" s="41">
        <v>110</v>
      </c>
      <c r="U21" s="14">
        <v>386.69</v>
      </c>
      <c r="V21" s="15"/>
      <c r="W21" s="110"/>
      <c r="X21" s="69">
        <v>5.5E-2</v>
      </c>
      <c r="Y21" s="70">
        <v>220</v>
      </c>
      <c r="Z21" s="71">
        <v>226.13</v>
      </c>
      <c r="AA21" s="40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4"/>
      <c r="AY21" s="74"/>
      <c r="AZ21" s="74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40"/>
    </row>
    <row r="22" spans="1:67" ht="14.1" customHeight="1" thickBot="1">
      <c r="A22" s="63"/>
      <c r="B22" s="98"/>
      <c r="C22" s="65"/>
      <c r="D22" s="99"/>
      <c r="E22" s="66"/>
      <c r="F22" s="63"/>
      <c r="G22" s="66"/>
      <c r="H22" s="66"/>
      <c r="I22" s="33"/>
      <c r="J22" s="132"/>
      <c r="K22" s="67"/>
      <c r="L22" s="133"/>
      <c r="M22" s="134"/>
      <c r="N22" s="101"/>
      <c r="O22" s="133"/>
      <c r="P22" s="133"/>
      <c r="Q22" s="30"/>
      <c r="R22" s="102" t="s">
        <v>25</v>
      </c>
      <c r="S22" s="103" t="s">
        <v>109</v>
      </c>
      <c r="T22" s="30"/>
      <c r="U22" s="14">
        <v>361.56</v>
      </c>
      <c r="V22" s="15"/>
      <c r="W22" s="110"/>
      <c r="X22" s="69">
        <v>3.9E-2</v>
      </c>
      <c r="Y22" s="70">
        <v>230</v>
      </c>
      <c r="Z22" s="71">
        <v>219.74</v>
      </c>
      <c r="AA22" s="40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4"/>
      <c r="AY22" s="74"/>
      <c r="AZ22" s="74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40"/>
    </row>
    <row r="23" spans="1:67" ht="14.1" customHeight="1">
      <c r="A23" s="63">
        <v>210</v>
      </c>
      <c r="B23" s="75">
        <v>103</v>
      </c>
      <c r="C23" s="65"/>
      <c r="D23" s="104">
        <f>AVERAGE(U31:U32)</f>
        <v>146.92000000000002</v>
      </c>
      <c r="E23" s="78">
        <f>D23-$E$5</f>
        <v>133.84500000000003</v>
      </c>
      <c r="F23" s="78"/>
      <c r="G23" s="78">
        <f t="shared" si="0"/>
        <v>955.98791250000022</v>
      </c>
      <c r="H23" s="78">
        <f t="shared" si="1"/>
        <v>928.14360436893219</v>
      </c>
      <c r="I23" s="33">
        <f>$C$24*A23+$C$25</f>
        <v>975.97874964285722</v>
      </c>
      <c r="J23" s="105" t="s">
        <v>110</v>
      </c>
      <c r="K23" s="106" t="s">
        <v>111</v>
      </c>
      <c r="L23" s="67"/>
      <c r="M23" s="19">
        <f>(((S23/60)*$J$1)/$D$2)</f>
        <v>7.9887798036465645</v>
      </c>
      <c r="N23" s="101"/>
      <c r="O23" s="133"/>
      <c r="P23" s="133"/>
      <c r="Q23" s="30"/>
      <c r="R23" s="131">
        <v>210</v>
      </c>
      <c r="S23" s="117">
        <v>192</v>
      </c>
      <c r="T23" s="13">
        <v>115</v>
      </c>
      <c r="U23" s="14">
        <v>345.62</v>
      </c>
      <c r="V23" s="15"/>
      <c r="W23" s="110"/>
      <c r="X23" s="69">
        <v>3.2000000000000001E-2</v>
      </c>
      <c r="Y23" s="70">
        <v>235</v>
      </c>
      <c r="Z23" s="71">
        <v>332.08</v>
      </c>
      <c r="AA23" s="40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4"/>
      <c r="AY23" s="74"/>
      <c r="AZ23" s="74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40"/>
    </row>
    <row r="24" spans="1:67" ht="14.1" customHeight="1">
      <c r="A24" s="63">
        <v>220</v>
      </c>
      <c r="B24" s="75">
        <v>106</v>
      </c>
      <c r="C24" s="65">
        <f>SLOPE(G24:G27,A24:A27)</f>
        <v>-4.1630571428572176E-2</v>
      </c>
      <c r="D24" s="104">
        <f>AVERAGE(U33:U34)</f>
        <v>153.55000000000001</v>
      </c>
      <c r="E24" s="66">
        <f>D24-$E$5</f>
        <v>140.47500000000002</v>
      </c>
      <c r="F24" s="111">
        <v>180</v>
      </c>
      <c r="G24" s="112">
        <f t="shared" si="0"/>
        <v>1003.3426875000001</v>
      </c>
      <c r="H24" s="112">
        <f t="shared" si="1"/>
        <v>946.54970518867935</v>
      </c>
      <c r="I24" s="33">
        <f>$C$24*A24+$C$25</f>
        <v>975.5624439285715</v>
      </c>
      <c r="J24" s="113">
        <f>((($N$2-(130*$D$2*(((B24+B23)*0.01)/2))*((I24-I23)/(A24-A23))))/((I24+I23)/2))/$D$2</f>
        <v>5.7591435293521522</v>
      </c>
      <c r="K24" s="114">
        <f>$N$2/H24/$D$2</f>
        <v>5.9309589076074083</v>
      </c>
      <c r="L24" s="114">
        <f>J24/($D$4/$D$2)</f>
        <v>10.053543571707189</v>
      </c>
      <c r="M24" s="107">
        <f>(((S24/60)*$J$1)/$D$2)</f>
        <v>7.9887798036465645</v>
      </c>
      <c r="N24" s="19">
        <f>K24-M24</f>
        <v>-2.0578208960391562</v>
      </c>
      <c r="O24" s="74">
        <f>N24/($D$4/$D$2)</f>
        <v>-3.5922688739494619</v>
      </c>
      <c r="P24" s="74"/>
      <c r="Q24" s="30"/>
      <c r="R24" s="131">
        <v>220</v>
      </c>
      <c r="S24" s="117">
        <v>192</v>
      </c>
      <c r="U24" s="14">
        <v>354.07</v>
      </c>
      <c r="V24" s="15"/>
      <c r="W24" s="110"/>
      <c r="X24" s="69">
        <v>1.9E-2</v>
      </c>
      <c r="Y24" s="70">
        <v>240</v>
      </c>
      <c r="Z24" s="71">
        <v>329.65</v>
      </c>
      <c r="AA24" s="40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4"/>
      <c r="AY24" s="74"/>
      <c r="AZ24" s="74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40"/>
    </row>
    <row r="25" spans="1:67" ht="14.1" customHeight="1">
      <c r="A25" s="63">
        <v>230</v>
      </c>
      <c r="B25" s="75">
        <v>97</v>
      </c>
      <c r="C25" s="65">
        <f>INTERCEPT(G24:G27,A24:A27)</f>
        <v>984.72116964285738</v>
      </c>
      <c r="D25" s="104">
        <f>AVERAGE(U35:U36)</f>
        <v>137.45999999999998</v>
      </c>
      <c r="E25" s="66">
        <f>D25-$E$5</f>
        <v>124.38499999999998</v>
      </c>
      <c r="F25" s="111">
        <v>180</v>
      </c>
      <c r="G25" s="112">
        <f t="shared" si="0"/>
        <v>888.41986249999979</v>
      </c>
      <c r="H25" s="112">
        <f t="shared" si="1"/>
        <v>915.89676546391729</v>
      </c>
      <c r="I25" s="33">
        <f>$C$24*A25+$C$25</f>
        <v>975.14613821428577</v>
      </c>
      <c r="J25" s="113">
        <f>((($N$2-(130*$D$2*(((B25+B24)*0.01)/2))*((I25-I24)/(A25-A24))))/((I25+I24)/2))/$D$2</f>
        <v>5.7614352146941368</v>
      </c>
      <c r="K25" s="114">
        <f>$N$2/H25/$D$2</f>
        <v>6.129454341547329</v>
      </c>
      <c r="L25" s="114">
        <f>J25/($D$4/$D$2)</f>
        <v>10.057544089895503</v>
      </c>
      <c r="M25" s="107">
        <f>(((S25/60)*$J$1)/$D$2)</f>
        <v>7.9887798036465645</v>
      </c>
      <c r="N25" s="19">
        <f>K25-M25</f>
        <v>-1.8593254620992354</v>
      </c>
      <c r="O25" s="114">
        <f>N25/($D$4/$D$2)</f>
        <v>-3.2457620567935432</v>
      </c>
      <c r="P25" s="74"/>
      <c r="Q25" s="30"/>
      <c r="R25" s="131">
        <v>230</v>
      </c>
      <c r="S25" s="117">
        <v>192</v>
      </c>
      <c r="T25" s="13">
        <v>120</v>
      </c>
      <c r="U25" s="14">
        <v>346.05</v>
      </c>
      <c r="V25" s="15"/>
      <c r="W25" s="110"/>
      <c r="X25" s="96">
        <f>AVERAGE(X20:X24)</f>
        <v>3.3599999999999998E-2</v>
      </c>
      <c r="Y25" s="57" t="s">
        <v>107</v>
      </c>
      <c r="Z25" s="96">
        <f>AVERAGE(Z20:Z24)</f>
        <v>265.79599999999999</v>
      </c>
      <c r="AA25" s="30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5"/>
      <c r="AY25" s="95"/>
      <c r="AZ25" s="95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40"/>
    </row>
    <row r="26" spans="1:67" ht="14.1" customHeight="1">
      <c r="A26" s="63">
        <v>235</v>
      </c>
      <c r="B26" s="75">
        <v>94</v>
      </c>
      <c r="C26" s="65"/>
      <c r="D26" s="104">
        <f>AVERAGE(U37:U38)</f>
        <v>158.30000000000001</v>
      </c>
      <c r="E26" s="66">
        <f>D26-$E$5</f>
        <v>145.22500000000002</v>
      </c>
      <c r="F26" s="111">
        <v>180</v>
      </c>
      <c r="G26" s="112">
        <f t="shared" si="0"/>
        <v>1037.2695625000001</v>
      </c>
      <c r="H26" s="112">
        <f t="shared" si="1"/>
        <v>1103.4782579787234</v>
      </c>
      <c r="I26" s="33">
        <f>$C$24*A26+$C$25</f>
        <v>974.93798535714291</v>
      </c>
      <c r="J26" s="113">
        <f>((($N$2-(130*$D$2*(((B26+B25)*0.01)/2))*((I26-I25)/(A26-A25))))/((I26+I25)/2))/$D$2</f>
        <v>5.7629471190543748</v>
      </c>
      <c r="K26" s="114">
        <f>$N$2/H26/$D$2</f>
        <v>5.0875016022202484</v>
      </c>
      <c r="L26" s="114">
        <f>J26/($D$4/$D$2)</f>
        <v>10.060183370594871</v>
      </c>
      <c r="M26" s="107">
        <f>(((S26/60)*$J$1)/$D$2)</f>
        <v>7.9887798036465645</v>
      </c>
      <c r="N26" s="19">
        <f>K26-M26</f>
        <v>-2.9012782014263161</v>
      </c>
      <c r="O26" s="114">
        <f>N26/($D$4/$D$2)</f>
        <v>-5.0646639839804211</v>
      </c>
      <c r="P26" s="74"/>
      <c r="Q26" s="30"/>
      <c r="R26" s="131">
        <v>235</v>
      </c>
      <c r="S26" s="117">
        <v>192</v>
      </c>
      <c r="U26" s="14">
        <v>346.61</v>
      </c>
      <c r="V26" s="15"/>
      <c r="W26" s="11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</row>
    <row r="27" spans="1:67" ht="14.1" customHeight="1">
      <c r="A27" s="63">
        <v>240</v>
      </c>
      <c r="B27" s="118">
        <v>97</v>
      </c>
      <c r="C27" s="65"/>
      <c r="D27" s="104">
        <f>AVERAGE(U39:U40)</f>
        <v>149.07</v>
      </c>
      <c r="E27" s="66">
        <f>D27-$E$5</f>
        <v>135.995</v>
      </c>
      <c r="F27" s="111">
        <v>180</v>
      </c>
      <c r="G27" s="112">
        <f t="shared" si="0"/>
        <v>971.34428750000006</v>
      </c>
      <c r="H27" s="112">
        <f t="shared" si="1"/>
        <v>1001.385863402062</v>
      </c>
      <c r="I27" s="33">
        <f>$C$24*A27+$C$25</f>
        <v>974.72983250000004</v>
      </c>
      <c r="J27" s="113">
        <f>((($N$2-(130*$D$2*(((B27+B26)*0.01)/2))*((I27-I26)/(A27-A26))))/((I27+I26)/2))/$D$2</f>
        <v>5.7641776608906907</v>
      </c>
      <c r="K27" s="114">
        <f>$N$2/H27/$D$2</f>
        <v>5.6061780085544628</v>
      </c>
      <c r="L27" s="114">
        <f>J27/($D$4/$D$2)</f>
        <v>10.062331486179273</v>
      </c>
      <c r="M27" s="107">
        <f>(((S27/60)*$J$1)/$D$2)</f>
        <v>8.987377279102386</v>
      </c>
      <c r="N27" s="19">
        <f>K27-M27</f>
        <v>-3.3811992705479232</v>
      </c>
      <c r="O27" s="114">
        <f>N27/($D$4/$D$2)</f>
        <v>-5.9024460873094435</v>
      </c>
      <c r="P27" s="74"/>
      <c r="Q27" s="30"/>
      <c r="R27" s="131">
        <v>240</v>
      </c>
      <c r="S27" s="117">
        <v>216</v>
      </c>
      <c r="T27" s="13">
        <v>150</v>
      </c>
      <c r="U27" s="14">
        <v>234.05</v>
      </c>
      <c r="V27" s="15"/>
      <c r="W27" s="11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</row>
    <row r="28" spans="1:67" ht="14.1" customHeight="1" thickBot="1">
      <c r="A28" s="63"/>
      <c r="B28" s="118"/>
      <c r="C28" s="65"/>
      <c r="D28" s="99"/>
      <c r="E28" s="66"/>
      <c r="F28" s="135"/>
      <c r="G28" s="112"/>
      <c r="H28" s="112"/>
      <c r="I28" s="33"/>
      <c r="J28" s="113"/>
      <c r="K28" s="114"/>
      <c r="L28" s="114"/>
      <c r="M28" s="107"/>
      <c r="N28" s="107"/>
      <c r="O28" s="114"/>
      <c r="P28" s="74"/>
      <c r="Q28" s="30"/>
      <c r="R28" s="108"/>
      <c r="S28" s="117"/>
      <c r="U28" s="14">
        <v>233.52</v>
      </c>
      <c r="V28" s="15"/>
      <c r="W28" s="110"/>
      <c r="X28" s="69"/>
      <c r="Y28" s="13" t="s">
        <v>115</v>
      </c>
    </row>
    <row r="29" spans="1:67" ht="14.1" customHeight="1" thickBot="1">
      <c r="A29" s="119" t="s">
        <v>112</v>
      </c>
      <c r="B29" s="122">
        <f>AVERAGE(B23:B28)</f>
        <v>99.4</v>
      </c>
      <c r="C29" s="121"/>
      <c r="D29" s="122">
        <f>AVERAGE(D23:D28)</f>
        <v>149.06</v>
      </c>
      <c r="E29" s="122">
        <f>AVERAGE(E23:E28)</f>
        <v>135.98500000000001</v>
      </c>
      <c r="F29" s="122">
        <f>AVERAGE(F24:F28)</f>
        <v>180</v>
      </c>
      <c r="G29" s="122">
        <f>AVERAGE(G23:G28)</f>
        <v>971.27286249999997</v>
      </c>
      <c r="H29" s="122">
        <f>AVERAGE(H23:H28)</f>
        <v>979.09083928046277</v>
      </c>
      <c r="I29" s="122"/>
      <c r="J29" s="122">
        <f t="shared" ref="J29:O29" si="3">AVERAGE(J23:J28)</f>
        <v>5.7619258809978389</v>
      </c>
      <c r="K29" s="123">
        <f t="shared" si="3"/>
        <v>5.6885232149823617</v>
      </c>
      <c r="L29" s="122">
        <f t="shared" si="3"/>
        <v>10.058400629594209</v>
      </c>
      <c r="M29" s="122">
        <f t="shared" si="3"/>
        <v>8.1884992987377281</v>
      </c>
      <c r="N29" s="123">
        <f t="shared" si="3"/>
        <v>-2.549905957528158</v>
      </c>
      <c r="O29" s="122">
        <f t="shared" si="3"/>
        <v>-4.4512852505082172</v>
      </c>
      <c r="P29" s="122"/>
      <c r="Q29" s="136"/>
      <c r="R29" s="137"/>
      <c r="S29" s="138"/>
      <c r="T29" s="13">
        <v>180</v>
      </c>
      <c r="U29" s="14">
        <v>152.30000000000001</v>
      </c>
      <c r="V29" s="15"/>
      <c r="W29" s="110"/>
      <c r="X29" s="69"/>
      <c r="Y29" s="13" t="s">
        <v>116</v>
      </c>
    </row>
    <row r="30" spans="1:67" ht="14.1" customHeight="1">
      <c r="A30" s="70"/>
      <c r="B30" s="139"/>
      <c r="C30" s="36"/>
      <c r="D30" s="99"/>
      <c r="E30" s="33"/>
      <c r="F30" s="125" t="s">
        <v>117</v>
      </c>
      <c r="G30" s="33"/>
      <c r="H30" s="33"/>
      <c r="I30" s="140" t="s">
        <v>114</v>
      </c>
      <c r="J30" s="141">
        <f>J29-((B27-B24)*0.25*$D$2*10)/(20*$D$2)</f>
        <v>6.8869258809978389</v>
      </c>
      <c r="K30" s="74"/>
      <c r="L30" s="142" t="s">
        <v>33</v>
      </c>
      <c r="M30" s="143">
        <f>J30-M29</f>
        <v>-1.3015734177398892</v>
      </c>
      <c r="N30" s="19">
        <f>AVERAGE(J24:J25)-M29</f>
        <v>-2.4282099267145831</v>
      </c>
      <c r="O30" s="74"/>
      <c r="P30" s="130">
        <f>$M$29-(((B27-B23)*1.3)/(A27-A23))</f>
        <v>8.4484992987377279</v>
      </c>
      <c r="Q30" s="30"/>
      <c r="R30" s="63"/>
      <c r="S30" s="144"/>
      <c r="U30" s="14">
        <v>161.47999999999999</v>
      </c>
      <c r="V30" s="15"/>
      <c r="W30" s="110"/>
      <c r="X30" s="69"/>
      <c r="Y30" s="13" t="s">
        <v>118</v>
      </c>
    </row>
    <row r="31" spans="1:67" ht="14.1" customHeight="1">
      <c r="A31" s="145"/>
      <c r="B31" s="139"/>
      <c r="C31" s="146"/>
      <c r="D31" s="147"/>
      <c r="E31" s="148"/>
      <c r="F31" s="145"/>
      <c r="G31" s="148"/>
      <c r="H31" s="148"/>
      <c r="I31" s="148"/>
      <c r="J31" s="149"/>
      <c r="K31" s="150"/>
      <c r="L31" s="133"/>
      <c r="M31" s="134"/>
      <c r="N31" s="101"/>
      <c r="O31" s="150"/>
      <c r="P31" s="150"/>
      <c r="Q31" s="96"/>
      <c r="R31" s="151"/>
      <c r="S31" s="101" t="s">
        <v>32</v>
      </c>
      <c r="T31" s="13">
        <v>210</v>
      </c>
      <c r="U31" s="14">
        <v>133.26</v>
      </c>
      <c r="V31" s="15"/>
      <c r="W31" s="110"/>
      <c r="X31" s="69"/>
      <c r="Y31" s="13" t="s">
        <v>119</v>
      </c>
    </row>
    <row r="32" spans="1:67" ht="14.1" customHeight="1">
      <c r="A32" s="145"/>
      <c r="B32" s="148"/>
      <c r="C32" s="146"/>
      <c r="D32" s="147"/>
      <c r="E32" s="148"/>
      <c r="F32" s="148"/>
      <c r="G32" s="148"/>
      <c r="H32" s="148"/>
      <c r="I32" s="148"/>
      <c r="J32" s="152"/>
      <c r="K32" s="153"/>
      <c r="L32" s="58"/>
      <c r="M32" s="124"/>
      <c r="N32" s="101"/>
      <c r="O32" s="150"/>
      <c r="P32" s="150"/>
      <c r="Q32" s="96"/>
      <c r="R32" s="145"/>
      <c r="S32" s="58"/>
      <c r="U32" s="14">
        <v>160.58000000000001</v>
      </c>
      <c r="V32" s="15"/>
      <c r="W32" s="110"/>
      <c r="X32" s="69"/>
      <c r="Y32" s="13" t="s">
        <v>120</v>
      </c>
    </row>
    <row r="33" spans="1:99" ht="14.1" customHeight="1">
      <c r="A33" s="145"/>
      <c r="B33" s="148"/>
      <c r="C33" s="146"/>
      <c r="D33" s="147"/>
      <c r="E33" s="148"/>
      <c r="F33" s="145"/>
      <c r="G33" s="148"/>
      <c r="H33" s="148"/>
      <c r="I33" s="148"/>
      <c r="J33" s="149"/>
      <c r="K33" s="150"/>
      <c r="L33" s="150"/>
      <c r="M33" s="124"/>
      <c r="N33" s="124"/>
      <c r="O33" s="150"/>
      <c r="P33" s="150"/>
      <c r="Q33" s="96"/>
      <c r="R33" s="145"/>
      <c r="S33" s="58"/>
      <c r="T33" s="13">
        <v>220</v>
      </c>
      <c r="U33" s="14">
        <v>153.21</v>
      </c>
      <c r="V33" s="15"/>
      <c r="W33" s="110"/>
      <c r="X33" s="69"/>
      <c r="Y33" s="20" t="s">
        <v>121</v>
      </c>
    </row>
    <row r="34" spans="1:99" ht="14.1" customHeight="1">
      <c r="A34" s="145"/>
      <c r="B34" s="148"/>
      <c r="C34" s="146"/>
      <c r="D34" s="147"/>
      <c r="E34" s="148"/>
      <c r="F34" s="145"/>
      <c r="G34" s="148"/>
      <c r="H34" s="148"/>
      <c r="I34" s="148"/>
      <c r="J34" s="149"/>
      <c r="K34" s="150"/>
      <c r="L34" s="150"/>
      <c r="M34" s="124"/>
      <c r="N34" s="124"/>
      <c r="O34" s="150"/>
      <c r="P34" s="150"/>
      <c r="Q34" s="96"/>
      <c r="R34" s="145"/>
      <c r="S34" s="58"/>
      <c r="U34" s="14">
        <v>153.88999999999999</v>
      </c>
      <c r="V34" s="15"/>
      <c r="W34" s="110"/>
    </row>
    <row r="35" spans="1:99" ht="14.1" customHeight="1">
      <c r="A35" s="145"/>
      <c r="B35" s="148"/>
      <c r="C35" s="146"/>
      <c r="D35" s="147"/>
      <c r="E35" s="148"/>
      <c r="F35" s="145"/>
      <c r="G35" s="148"/>
      <c r="H35" s="148"/>
      <c r="I35" s="148"/>
      <c r="J35" s="149"/>
      <c r="K35" s="150"/>
      <c r="L35" s="150"/>
      <c r="M35" s="124"/>
      <c r="N35" s="124"/>
      <c r="O35" s="150"/>
      <c r="P35" s="150"/>
      <c r="Q35" s="96"/>
      <c r="R35" s="145"/>
      <c r="S35" s="58"/>
      <c r="T35" s="13">
        <v>230</v>
      </c>
      <c r="U35" s="14">
        <v>135.16</v>
      </c>
      <c r="V35" s="15"/>
      <c r="W35" s="110"/>
    </row>
    <row r="36" spans="1:99" ht="14.1" customHeight="1">
      <c r="A36" s="145"/>
      <c r="B36" s="139"/>
      <c r="C36" s="146"/>
      <c r="D36" s="147"/>
      <c r="E36" s="148"/>
      <c r="F36" s="145"/>
      <c r="G36" s="148"/>
      <c r="H36" s="148"/>
      <c r="I36" s="148"/>
      <c r="J36" s="149"/>
      <c r="K36" s="150"/>
      <c r="L36" s="150"/>
      <c r="M36" s="124"/>
      <c r="N36" s="124"/>
      <c r="O36" s="150"/>
      <c r="P36" s="150"/>
      <c r="Q36" s="96"/>
      <c r="R36" s="145"/>
      <c r="S36" s="58"/>
      <c r="U36" s="14">
        <v>139.76</v>
      </c>
      <c r="V36" s="15"/>
      <c r="W36" s="110"/>
      <c r="X36"/>
    </row>
    <row r="37" spans="1:99" ht="14.1" customHeight="1">
      <c r="A37" s="145"/>
      <c r="B37" s="139"/>
      <c r="C37" s="146"/>
      <c r="D37" s="147"/>
      <c r="E37" s="148"/>
      <c r="F37" s="145"/>
      <c r="G37" s="148"/>
      <c r="H37" s="148"/>
      <c r="I37" s="148"/>
      <c r="J37" s="149"/>
      <c r="K37" s="150"/>
      <c r="L37" s="150"/>
      <c r="M37" s="124"/>
      <c r="N37" s="124"/>
      <c r="O37" s="150"/>
      <c r="P37" s="150"/>
      <c r="Q37" s="96"/>
      <c r="R37" s="96"/>
      <c r="S37" s="58"/>
      <c r="T37" s="13">
        <v>235</v>
      </c>
      <c r="U37" s="14">
        <v>150.21</v>
      </c>
      <c r="V37" s="15"/>
      <c r="W37" s="15"/>
      <c r="X37" s="6"/>
    </row>
    <row r="38" spans="1:99" s="156" customFormat="1" ht="14.1" customHeight="1">
      <c r="A38" s="154"/>
      <c r="B38" s="139"/>
      <c r="C38" s="155"/>
      <c r="D38" s="139"/>
      <c r="E38" s="139"/>
      <c r="F38" s="139"/>
      <c r="G38" s="139"/>
      <c r="H38" s="139"/>
      <c r="I38" s="139"/>
      <c r="J38" s="124"/>
      <c r="K38" s="124"/>
      <c r="L38" s="124"/>
      <c r="M38" s="124"/>
      <c r="N38" s="124"/>
      <c r="O38" s="124"/>
      <c r="P38" s="124"/>
      <c r="Q38" s="155"/>
      <c r="R38" s="145"/>
      <c r="S38" s="58"/>
      <c r="T38" s="13"/>
      <c r="U38" s="14">
        <v>166.39</v>
      </c>
      <c r="V38" s="15"/>
      <c r="W38" s="15"/>
      <c r="X38" s="6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</row>
    <row r="39" spans="1:99" s="3" customFormat="1" ht="14.1" customHeight="1">
      <c r="A39" s="157"/>
      <c r="B39" s="158"/>
      <c r="C39" s="159"/>
      <c r="D39" s="160"/>
      <c r="E39" s="160"/>
      <c r="F39" s="161"/>
      <c r="G39" s="160"/>
      <c r="H39" s="148"/>
      <c r="I39" s="162"/>
      <c r="J39" s="163"/>
      <c r="K39" s="150"/>
      <c r="L39" s="155"/>
      <c r="M39" s="134"/>
      <c r="N39" s="155"/>
      <c r="O39" s="155"/>
      <c r="P39" s="155"/>
      <c r="Q39" s="58"/>
      <c r="R39" s="58"/>
      <c r="S39" s="58"/>
      <c r="T39" s="13">
        <v>240</v>
      </c>
      <c r="U39" s="14">
        <v>139.86000000000001</v>
      </c>
      <c r="V39" s="15"/>
      <c r="W39" s="15"/>
      <c r="X39" s="6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</row>
    <row r="40" spans="1:99" ht="14.1" customHeight="1">
      <c r="A40" s="164"/>
      <c r="B40" s="165"/>
      <c r="C40" s="164"/>
      <c r="D40" s="148"/>
      <c r="E40" s="164"/>
      <c r="F40" s="164"/>
      <c r="G40" s="96"/>
      <c r="H40" s="101"/>
      <c r="I40" s="58"/>
      <c r="J40" s="155"/>
      <c r="K40" s="166"/>
      <c r="L40" s="167"/>
      <c r="M40" s="168"/>
      <c r="N40" s="134"/>
      <c r="O40" s="169"/>
      <c r="P40" s="169"/>
      <c r="Q40" s="58"/>
      <c r="R40" s="58"/>
      <c r="S40" s="58"/>
      <c r="U40" s="14">
        <v>158.28</v>
      </c>
      <c r="V40" s="15"/>
      <c r="W40" s="15"/>
    </row>
    <row r="41" spans="1:99" ht="14.1" customHeight="1">
      <c r="A41" s="164"/>
      <c r="B41" s="170"/>
      <c r="C41" s="164"/>
      <c r="D41" s="171"/>
      <c r="E41" s="164"/>
      <c r="F41" s="164"/>
      <c r="G41" s="124"/>
      <c r="H41" s="58"/>
      <c r="I41" s="58"/>
      <c r="J41" s="170"/>
      <c r="K41" s="170"/>
      <c r="L41" s="96"/>
      <c r="M41" s="172"/>
      <c r="N41" s="160"/>
      <c r="O41" s="58"/>
      <c r="P41" s="58"/>
      <c r="Q41" s="58"/>
      <c r="R41" s="58"/>
      <c r="S41" s="58"/>
      <c r="U41" s="173"/>
      <c r="V41" s="174"/>
      <c r="W41" s="175"/>
    </row>
    <row r="42" spans="1:99" ht="14.1" customHeight="1">
      <c r="A42" s="3"/>
      <c r="B42" s="3"/>
      <c r="C42" s="3"/>
      <c r="D42" s="33"/>
      <c r="E42" s="3"/>
      <c r="F42" s="3"/>
      <c r="G42" s="19"/>
      <c r="H42" s="40"/>
      <c r="I42" s="40"/>
      <c r="J42" s="30"/>
      <c r="K42" s="30"/>
      <c r="L42" s="30"/>
      <c r="M42" s="30"/>
      <c r="N42" s="33"/>
      <c r="O42" s="33"/>
      <c r="P42" s="33"/>
      <c r="Q42" s="40"/>
      <c r="R42" s="40"/>
      <c r="U42" s="173"/>
      <c r="V42" s="174"/>
      <c r="W42" s="175"/>
    </row>
    <row r="43" spans="1:99" ht="14.1" customHeight="1">
      <c r="A43" s="30"/>
      <c r="B43" s="176"/>
      <c r="C43" s="3"/>
      <c r="D43" s="33"/>
      <c r="E43" s="177"/>
      <c r="F43" s="177"/>
      <c r="G43" s="33"/>
      <c r="H43" s="174"/>
      <c r="I43" s="40"/>
      <c r="J43" s="30"/>
      <c r="K43" s="30"/>
      <c r="L43" s="30"/>
      <c r="M43" s="33"/>
      <c r="N43" s="178"/>
      <c r="O43" s="33"/>
      <c r="P43" s="33"/>
      <c r="Q43" s="40"/>
      <c r="R43" s="40"/>
      <c r="U43" s="173"/>
      <c r="V43" s="174"/>
      <c r="W43" s="175"/>
    </row>
    <row r="44" spans="1:99" ht="14.1" customHeight="1">
      <c r="A44" s="3"/>
      <c r="B44" s="30"/>
      <c r="C44" s="3"/>
      <c r="D44" s="41"/>
      <c r="E44" s="42"/>
      <c r="F44" s="42"/>
      <c r="G44" s="19"/>
      <c r="H44" s="19"/>
      <c r="I44" s="30"/>
      <c r="J44" s="179"/>
      <c r="K44" s="179"/>
      <c r="L44" s="180"/>
      <c r="M44" s="39"/>
      <c r="N44" s="179"/>
      <c r="O44" s="180"/>
      <c r="P44" s="180"/>
      <c r="Q44" s="46"/>
      <c r="R44" s="46"/>
      <c r="U44" s="173"/>
      <c r="V44" s="174"/>
      <c r="W44" s="175"/>
    </row>
    <row r="45" spans="1:99" s="1" customFormat="1" ht="14.1" customHeight="1">
      <c r="A45" s="3"/>
      <c r="B45" s="181"/>
      <c r="C45" s="181"/>
      <c r="D45" s="25"/>
      <c r="E45" s="181"/>
      <c r="F45" s="181"/>
      <c r="G45" s="181"/>
      <c r="H45" s="95"/>
      <c r="I45" s="95"/>
      <c r="J45" s="182"/>
      <c r="K45" s="182"/>
      <c r="L45" s="182"/>
      <c r="M45" s="182"/>
      <c r="N45" s="182"/>
      <c r="O45" s="54"/>
      <c r="P45" s="54"/>
      <c r="Q45" s="55"/>
      <c r="R45" s="55"/>
      <c r="S45" s="13"/>
      <c r="T45" s="13"/>
      <c r="U45" s="173"/>
      <c r="V45" s="40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</row>
    <row r="46" spans="1:99" ht="14.1" customHeight="1">
      <c r="A46" s="70"/>
      <c r="B46" s="33"/>
      <c r="C46" s="36"/>
      <c r="D46" s="33"/>
      <c r="E46" s="33"/>
      <c r="F46" s="33"/>
      <c r="G46" s="33"/>
      <c r="H46" s="33"/>
      <c r="I46" s="33"/>
      <c r="J46" s="74"/>
      <c r="K46" s="74"/>
      <c r="L46" s="74"/>
      <c r="M46" s="30"/>
      <c r="N46" s="19"/>
      <c r="O46" s="74"/>
      <c r="P46" s="74"/>
      <c r="Q46" s="30"/>
      <c r="R46" s="30"/>
      <c r="U46" s="173"/>
    </row>
    <row r="47" spans="1:99" ht="14.1" customHeight="1">
      <c r="A47" s="70"/>
      <c r="B47" s="33"/>
      <c r="C47" s="36"/>
      <c r="D47" s="33"/>
      <c r="E47" s="33"/>
      <c r="F47" s="33"/>
      <c r="G47" s="33"/>
      <c r="H47" s="33"/>
      <c r="I47" s="33"/>
      <c r="J47" s="74"/>
      <c r="K47" s="74"/>
      <c r="L47" s="74"/>
      <c r="M47" s="30"/>
      <c r="N47" s="19"/>
      <c r="O47" s="74"/>
      <c r="P47" s="74"/>
      <c r="Q47" s="30"/>
      <c r="R47" s="30"/>
      <c r="T47" s="40"/>
      <c r="U47" s="173"/>
    </row>
    <row r="48" spans="1:99" s="80" customFormat="1" ht="14.1" customHeight="1">
      <c r="A48" s="183"/>
      <c r="B48" s="25"/>
      <c r="C48" s="184"/>
      <c r="D48" s="25"/>
      <c r="E48" s="25"/>
      <c r="F48" s="25"/>
      <c r="G48" s="25"/>
      <c r="H48" s="25"/>
      <c r="I48" s="25"/>
      <c r="J48" s="95"/>
      <c r="K48" s="95"/>
      <c r="L48" s="95"/>
      <c r="M48" s="95"/>
      <c r="N48" s="95"/>
      <c r="O48" s="95"/>
      <c r="P48" s="95"/>
      <c r="Q48" s="95"/>
      <c r="R48" s="95"/>
      <c r="S48" s="13"/>
      <c r="T48" s="40"/>
      <c r="U48" s="17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</row>
    <row r="49" spans="1:99" ht="14.1" customHeight="1">
      <c r="A49" s="30"/>
      <c r="B49" s="176"/>
      <c r="C49" s="185"/>
      <c r="D49" s="33"/>
      <c r="E49" s="40"/>
      <c r="F49" s="40"/>
      <c r="G49" s="40"/>
      <c r="H49" s="40"/>
      <c r="I49" s="40"/>
      <c r="J49" s="40"/>
      <c r="K49" s="40"/>
      <c r="L49" s="40"/>
      <c r="M49" s="30"/>
      <c r="N49" s="40"/>
      <c r="O49" s="40"/>
      <c r="P49" s="40"/>
      <c r="Q49" s="30"/>
      <c r="R49" s="30"/>
      <c r="T49" s="40"/>
      <c r="U49" s="173"/>
    </row>
    <row r="50" spans="1:99" ht="14.1" customHeight="1">
      <c r="A50" s="30"/>
      <c r="B50" s="176"/>
      <c r="C50" s="185"/>
      <c r="D50" s="33"/>
      <c r="E50" s="40"/>
      <c r="F50" s="40"/>
      <c r="G50" s="40"/>
      <c r="H50" s="40"/>
      <c r="I50" s="40"/>
      <c r="J50" s="40"/>
      <c r="K50" s="40"/>
      <c r="L50" s="40"/>
      <c r="M50" s="30"/>
      <c r="N50" s="40"/>
      <c r="O50" s="40"/>
      <c r="P50" s="40"/>
      <c r="Q50" s="30"/>
      <c r="R50" s="30"/>
      <c r="T50" s="40"/>
      <c r="U50" s="173"/>
    </row>
    <row r="51" spans="1:99" ht="14.1" customHeight="1">
      <c r="A51" s="30"/>
      <c r="B51" s="176"/>
      <c r="C51" s="185"/>
      <c r="D51" s="33"/>
      <c r="E51" s="40"/>
      <c r="F51" s="40"/>
      <c r="G51" s="40"/>
      <c r="H51" s="40"/>
      <c r="I51" s="40"/>
      <c r="J51" s="40"/>
      <c r="K51" s="40"/>
      <c r="L51" s="40"/>
      <c r="M51" s="19"/>
      <c r="N51" s="40"/>
      <c r="O51" s="40"/>
      <c r="P51" s="40"/>
      <c r="Q51" s="30"/>
      <c r="R51" s="30"/>
      <c r="T51" s="40"/>
      <c r="U51" s="173"/>
    </row>
    <row r="52" spans="1:99" ht="14.1" customHeight="1">
      <c r="A52" s="30"/>
      <c r="B52" s="176"/>
      <c r="C52" s="185"/>
      <c r="D52" s="33"/>
      <c r="E52" s="40"/>
      <c r="F52" s="40"/>
      <c r="G52" s="40"/>
      <c r="H52" s="40"/>
      <c r="I52" s="40"/>
      <c r="J52" s="40"/>
      <c r="K52" s="40"/>
      <c r="L52" s="40"/>
      <c r="M52" s="19"/>
      <c r="N52" s="40"/>
      <c r="O52" s="40"/>
      <c r="P52" s="40"/>
      <c r="Q52" s="30"/>
      <c r="R52" s="30"/>
      <c r="U52" s="173"/>
    </row>
    <row r="53" spans="1:99" ht="14.1" customHeight="1">
      <c r="A53" s="30"/>
      <c r="B53" s="176"/>
      <c r="C53" s="186"/>
      <c r="D53" s="33"/>
      <c r="E53" s="33"/>
      <c r="F53" s="33"/>
      <c r="G53" s="33"/>
      <c r="H53" s="33"/>
      <c r="I53" s="33"/>
      <c r="J53" s="187"/>
      <c r="K53" s="188"/>
      <c r="L53" s="40"/>
      <c r="M53" s="19"/>
      <c r="N53" s="40"/>
      <c r="O53" s="40"/>
      <c r="P53" s="40"/>
      <c r="Q53" s="30"/>
      <c r="R53" s="30"/>
      <c r="U53" s="173"/>
    </row>
    <row r="54" spans="1:99" ht="14.1" customHeight="1">
      <c r="A54" s="70"/>
      <c r="B54" s="189"/>
      <c r="C54" s="36"/>
      <c r="D54" s="33"/>
      <c r="E54" s="33"/>
      <c r="F54" s="33"/>
      <c r="G54" s="33"/>
      <c r="H54" s="33"/>
      <c r="I54" s="33"/>
      <c r="J54" s="132"/>
      <c r="K54" s="74"/>
      <c r="L54" s="74"/>
      <c r="M54" s="19"/>
      <c r="N54" s="19"/>
      <c r="O54" s="74"/>
      <c r="P54" s="74"/>
      <c r="Q54" s="30"/>
      <c r="R54" s="30"/>
      <c r="U54" s="173"/>
    </row>
    <row r="55" spans="1:99" ht="14.1" customHeight="1">
      <c r="A55" s="70"/>
      <c r="B55" s="189"/>
      <c r="C55" s="36"/>
      <c r="D55" s="33"/>
      <c r="E55" s="33"/>
      <c r="F55" s="33"/>
      <c r="G55" s="33"/>
      <c r="H55" s="33"/>
      <c r="I55" s="33"/>
      <c r="J55" s="132"/>
      <c r="K55" s="74"/>
      <c r="L55" s="74"/>
      <c r="M55" s="19"/>
      <c r="N55" s="19"/>
      <c r="O55" s="74"/>
      <c r="P55" s="74"/>
      <c r="Q55" s="30"/>
      <c r="R55" s="30"/>
      <c r="U55" s="173"/>
    </row>
    <row r="56" spans="1:99" s="30" customFormat="1" ht="14.1" customHeight="1">
      <c r="A56" s="70"/>
      <c r="B56" s="189"/>
      <c r="C56" s="36"/>
      <c r="D56" s="33"/>
      <c r="E56" s="33"/>
      <c r="F56" s="33"/>
      <c r="G56" s="33"/>
      <c r="H56" s="33"/>
      <c r="I56" s="33"/>
      <c r="J56" s="132"/>
      <c r="K56" s="74"/>
      <c r="L56" s="74"/>
      <c r="M56" s="19"/>
      <c r="N56" s="19"/>
      <c r="O56" s="74"/>
      <c r="P56" s="74"/>
      <c r="S56" s="13"/>
      <c r="T56" s="13"/>
      <c r="U56" s="17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</row>
    <row r="57" spans="1:99" ht="14.1" customHeight="1">
      <c r="A57" s="70"/>
      <c r="B57" s="189"/>
      <c r="C57" s="36"/>
      <c r="D57" s="33"/>
      <c r="E57" s="33"/>
      <c r="F57" s="33"/>
      <c r="G57" s="33"/>
      <c r="H57" s="33"/>
      <c r="I57" s="33"/>
      <c r="J57" s="132"/>
      <c r="K57" s="74"/>
      <c r="L57" s="74"/>
      <c r="M57" s="19"/>
      <c r="N57" s="19"/>
      <c r="O57" s="74"/>
      <c r="P57" s="74"/>
      <c r="Q57" s="30"/>
      <c r="R57" s="30"/>
      <c r="U57" s="173"/>
    </row>
    <row r="58" spans="1:99" ht="14.1" customHeight="1">
      <c r="A58" s="183"/>
      <c r="B58" s="25"/>
      <c r="C58" s="184"/>
      <c r="D58" s="25"/>
      <c r="E58" s="25"/>
      <c r="F58" s="25"/>
      <c r="G58" s="25"/>
      <c r="H58" s="25"/>
      <c r="I58" s="25"/>
      <c r="J58" s="95"/>
      <c r="K58" s="95"/>
      <c r="L58" s="95"/>
      <c r="M58" s="95"/>
      <c r="N58" s="95"/>
      <c r="O58" s="95"/>
      <c r="P58" s="95"/>
      <c r="Q58" s="95"/>
      <c r="R58" s="95"/>
      <c r="U58" s="173"/>
    </row>
    <row r="59" spans="1:99" s="115" customFormat="1" ht="14.1" customHeight="1">
      <c r="A59" s="40"/>
      <c r="B59" s="40"/>
      <c r="C59" s="40"/>
      <c r="D59" s="19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13"/>
      <c r="T59" s="13"/>
      <c r="U59" s="17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</row>
    <row r="60" spans="1:99" s="30" customFormat="1" ht="14.1" customHeight="1">
      <c r="A60" s="191"/>
      <c r="B60" s="40"/>
      <c r="C60" s="40"/>
      <c r="D60" s="19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13"/>
      <c r="T60" s="13"/>
      <c r="U60" s="17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</row>
    <row r="61" spans="1:99" ht="14.1" customHeight="1">
      <c r="A61" s="40"/>
      <c r="B61" s="40"/>
      <c r="C61" s="40"/>
      <c r="D61" s="19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U61" s="173"/>
    </row>
    <row r="62" spans="1:99" ht="14.1" customHeight="1">
      <c r="A62" s="40"/>
      <c r="B62" s="40"/>
      <c r="C62" s="40"/>
      <c r="D62" s="19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U62" s="173"/>
    </row>
    <row r="63" spans="1:99" ht="14.1" customHeight="1">
      <c r="A63" s="40"/>
      <c r="B63" s="40"/>
      <c r="C63" s="40"/>
      <c r="D63" s="19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U63" s="173"/>
    </row>
    <row r="64" spans="1:99" s="156" customFormat="1" ht="14.1" customHeight="1">
      <c r="A64" s="30"/>
      <c r="B64" s="189"/>
      <c r="C64" s="36"/>
      <c r="D64" s="33"/>
      <c r="E64" s="189"/>
      <c r="F64" s="189"/>
      <c r="G64" s="19"/>
      <c r="H64" s="30"/>
      <c r="I64" s="30"/>
      <c r="J64" s="30"/>
      <c r="K64" s="30"/>
      <c r="L64" s="30"/>
      <c r="M64" s="30"/>
      <c r="N64" s="19"/>
      <c r="O64" s="30"/>
      <c r="P64" s="30"/>
      <c r="Q64" s="40"/>
      <c r="R64" s="40"/>
      <c r="S64" s="13"/>
      <c r="T64" s="13"/>
      <c r="U64" s="17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</row>
    <row r="65" spans="1:21" s="13" customFormat="1" ht="14.1" customHeight="1">
      <c r="A65" s="30"/>
      <c r="B65" s="189"/>
      <c r="C65" s="36"/>
      <c r="D65" s="33"/>
      <c r="E65" s="189"/>
      <c r="F65" s="189"/>
      <c r="G65" s="19"/>
      <c r="H65" s="30"/>
      <c r="I65" s="30"/>
      <c r="J65" s="30"/>
      <c r="K65" s="30"/>
      <c r="L65" s="30"/>
      <c r="M65" s="30"/>
      <c r="N65" s="19"/>
      <c r="O65" s="30"/>
      <c r="P65" s="30"/>
      <c r="Q65" s="40"/>
      <c r="R65" s="40"/>
      <c r="U65" s="173"/>
    </row>
    <row r="66" spans="1:21" s="13" customFormat="1" ht="14.1" customHeight="1">
      <c r="A66" s="12"/>
      <c r="B66" s="192"/>
      <c r="C66" s="65"/>
      <c r="D66" s="66"/>
      <c r="E66" s="192"/>
      <c r="F66" s="192"/>
      <c r="G66" s="68"/>
      <c r="H66" s="12"/>
      <c r="I66" s="12"/>
      <c r="J66" s="12"/>
      <c r="K66" s="12"/>
      <c r="L66" s="12"/>
      <c r="M66" s="12"/>
      <c r="N66" s="68"/>
      <c r="O66" s="12"/>
      <c r="P66" s="12"/>
      <c r="U66" s="173"/>
    </row>
    <row r="67" spans="1:21" ht="14.1" customHeight="1">
      <c r="C67" s="65"/>
      <c r="U67" s="173"/>
    </row>
    <row r="68" spans="1:21" ht="14.1" customHeight="1">
      <c r="A68" s="13"/>
      <c r="B68" s="13"/>
      <c r="C68" s="13"/>
      <c r="D68" s="97"/>
      <c r="E68" s="13"/>
      <c r="F68" s="13"/>
      <c r="G68" s="13"/>
      <c r="H68" s="13"/>
      <c r="I68" s="13"/>
      <c r="J68" s="13"/>
      <c r="M68" s="13"/>
      <c r="N68" s="13"/>
      <c r="O68" s="13"/>
      <c r="P68" s="13"/>
      <c r="U68" s="173"/>
    </row>
    <row r="69" spans="1:21" ht="14.1" customHeight="1">
      <c r="A69" s="13"/>
      <c r="B69" s="13"/>
      <c r="C69" s="13"/>
      <c r="D69" s="97"/>
      <c r="E69" s="13"/>
      <c r="F69" s="13"/>
      <c r="G69" s="13"/>
      <c r="H69" s="13"/>
      <c r="I69" s="13"/>
      <c r="J69" s="13"/>
      <c r="M69" s="13"/>
      <c r="N69" s="13"/>
      <c r="O69" s="13"/>
      <c r="P69" s="13"/>
      <c r="U69" s="173"/>
    </row>
    <row r="70" spans="1:21" ht="14.1" customHeight="1">
      <c r="C70" s="65"/>
      <c r="U70" s="173"/>
    </row>
    <row r="71" spans="1:21" ht="14.1" customHeight="1">
      <c r="C71" s="65"/>
      <c r="Q71" s="13"/>
      <c r="R71" s="13"/>
    </row>
    <row r="72" spans="1:21" ht="14.1" customHeight="1">
      <c r="C72" s="65"/>
      <c r="Q72" s="13"/>
      <c r="R72" s="13"/>
    </row>
    <row r="73" spans="1:21" ht="14.1" customHeight="1">
      <c r="C73" s="65"/>
    </row>
    <row r="74" spans="1:21" ht="14.1" customHeight="1">
      <c r="C74" s="65"/>
    </row>
  </sheetData>
  <pageMargins left="0.75" right="0.5" top="1" bottom="0.5" header="0.5" footer="0.5"/>
  <pageSetup scale="70" orientation="landscape" r:id="rId1"/>
  <headerFooter alignWithMargins="0">
    <oddHeader>&amp;R&amp;D</oddHead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U74"/>
  <sheetViews>
    <sheetView topLeftCell="P1" zoomScale="87" zoomScaleNormal="87" workbookViewId="0">
      <selection activeCell="AB11" sqref="AB11:CQ11"/>
    </sheetView>
  </sheetViews>
  <sheetFormatPr defaultColWidth="13.7109375" defaultRowHeight="14.1" customHeight="1"/>
  <cols>
    <col min="1" max="1" width="6.28515625" style="12" customWidth="1"/>
    <col min="2" max="2" width="16.5703125" style="192" customWidth="1"/>
    <col min="3" max="3" width="8.28515625" style="12" customWidth="1"/>
    <col min="4" max="4" width="11.140625" style="66" customWidth="1"/>
    <col min="5" max="5" width="12.85546875" style="192" customWidth="1"/>
    <col min="6" max="6" width="9.28515625" style="192" customWidth="1"/>
    <col min="7" max="7" width="9.140625" style="68" customWidth="1"/>
    <col min="8" max="8" width="10.85546875" style="12" customWidth="1"/>
    <col min="9" max="9" width="13.140625" style="12" customWidth="1"/>
    <col min="10" max="10" width="12.28515625" style="12" customWidth="1"/>
    <col min="11" max="11" width="10.140625" style="12" customWidth="1"/>
    <col min="12" max="12" width="14.42578125" style="12" customWidth="1"/>
    <col min="13" max="13" width="8.85546875" style="12" customWidth="1"/>
    <col min="14" max="14" width="17.140625" style="68" customWidth="1"/>
    <col min="15" max="15" width="15.7109375" style="12" customWidth="1"/>
    <col min="16" max="16" width="10.85546875" style="12" customWidth="1"/>
    <col min="17" max="17" width="6.140625" style="12" customWidth="1"/>
    <col min="18" max="18" width="7.28515625" style="12" customWidth="1"/>
    <col min="19" max="19" width="12" style="13" customWidth="1"/>
    <col min="20" max="20" width="10.42578125" style="13" customWidth="1"/>
    <col min="21" max="21" width="13.7109375" style="13" customWidth="1"/>
    <col min="22" max="22" width="2.5703125" style="13" customWidth="1"/>
    <col min="23" max="29" width="13.7109375" style="13" customWidth="1"/>
    <col min="30" max="31" width="25" style="13" customWidth="1"/>
    <col min="32" max="34" width="13.7109375" style="13" customWidth="1"/>
    <col min="35" max="35" width="19.85546875" style="13" customWidth="1"/>
    <col min="36" max="36" width="19.5703125" style="13" customWidth="1"/>
    <col min="37" max="37" width="27.42578125" style="13" customWidth="1"/>
    <col min="38" max="38" width="31.42578125" style="13" customWidth="1"/>
    <col min="39" max="39" width="31.28515625" style="13" customWidth="1"/>
    <col min="40" max="45" width="27.42578125" style="13" customWidth="1"/>
    <col min="46" max="46" width="31.28515625" style="13" customWidth="1"/>
    <col min="47" max="47" width="35.42578125" style="13" customWidth="1"/>
    <col min="48" max="50" width="13.7109375" style="13" customWidth="1"/>
    <col min="51" max="52" width="17.28515625" style="13" customWidth="1"/>
    <col min="53" max="60" width="17.5703125" style="13" customWidth="1"/>
    <col min="61" max="65" width="20.42578125" style="13" customWidth="1"/>
    <col min="66" max="68" width="13.7109375" style="13" customWidth="1"/>
    <col min="69" max="69" width="18.7109375" style="13" customWidth="1"/>
    <col min="70" max="72" width="13.7109375" style="13" customWidth="1"/>
    <col min="73" max="73" width="17.28515625" style="13" customWidth="1"/>
    <col min="74" max="74" width="16.85546875" style="13" customWidth="1"/>
    <col min="75" max="75" width="13.7109375" style="13" customWidth="1"/>
    <col min="76" max="76" width="17" style="13" customWidth="1"/>
    <col min="77" max="81" width="17.85546875" style="13" customWidth="1"/>
    <col min="82" max="92" width="13.7109375" style="13" customWidth="1"/>
    <col min="93" max="93" width="26.140625" style="13" customWidth="1"/>
    <col min="94" max="94" width="25.7109375" style="13" customWidth="1"/>
    <col min="95" max="95" width="22.85546875" style="13" customWidth="1"/>
    <col min="96" max="99" width="13.7109375" style="13" customWidth="1"/>
    <col min="100" max="16384" width="13.7109375" style="12"/>
  </cols>
  <sheetData>
    <row r="1" spans="1:99" ht="14.1" customHeight="1">
      <c r="A1" s="1" t="s">
        <v>0</v>
      </c>
      <c r="B1" s="2" t="s">
        <v>133</v>
      </c>
      <c r="C1" s="3" t="s">
        <v>1</v>
      </c>
      <c r="D1" s="4" t="s">
        <v>164</v>
      </c>
      <c r="E1" s="1" t="s">
        <v>2</v>
      </c>
      <c r="F1" s="1"/>
      <c r="G1" s="5">
        <v>55</v>
      </c>
      <c r="H1" s="6"/>
      <c r="I1" s="6" t="s">
        <v>3</v>
      </c>
      <c r="J1" s="5">
        <v>178</v>
      </c>
      <c r="K1" s="7"/>
      <c r="L1" s="7"/>
      <c r="M1" s="8" t="s">
        <v>4</v>
      </c>
      <c r="N1" s="9">
        <f>((AVERAGE(W7:W8))*20)</f>
        <v>6322340</v>
      </c>
      <c r="O1" s="10">
        <f>(O3*20)</f>
        <v>6206365.2221999988</v>
      </c>
      <c r="P1" s="10"/>
      <c r="Q1" s="11" t="s">
        <v>5</v>
      </c>
      <c r="S1" s="13">
        <v>-120</v>
      </c>
      <c r="T1" s="13" t="s">
        <v>6</v>
      </c>
      <c r="U1" s="14">
        <v>17.07</v>
      </c>
      <c r="V1" s="15"/>
      <c r="W1" s="15" t="s">
        <v>7</v>
      </c>
    </row>
    <row r="2" spans="1:99" ht="14.1" customHeight="1" thickBot="1">
      <c r="A2" s="16" t="s">
        <v>8</v>
      </c>
      <c r="B2" s="17">
        <v>42467</v>
      </c>
      <c r="C2" s="3" t="s">
        <v>9</v>
      </c>
      <c r="D2" s="18">
        <v>71.5</v>
      </c>
      <c r="E2" s="3" t="s">
        <v>10</v>
      </c>
      <c r="F2" s="3"/>
      <c r="G2" s="19">
        <f>D2/(D3/100*D3/100)</f>
        <v>30.543807937118203</v>
      </c>
      <c r="H2" s="13"/>
      <c r="I2" s="20" t="s">
        <v>11</v>
      </c>
      <c r="J2" s="21"/>
      <c r="K2" s="22"/>
      <c r="L2" s="23"/>
      <c r="M2" s="24" t="s">
        <v>12</v>
      </c>
      <c r="N2" s="25">
        <f>(O1*0.068)</f>
        <v>422032.83510959992</v>
      </c>
      <c r="O2" s="13"/>
      <c r="P2" s="13"/>
      <c r="Q2" s="11"/>
      <c r="R2" s="26"/>
      <c r="T2" s="13" t="s">
        <v>6</v>
      </c>
      <c r="U2" s="14">
        <v>16.59</v>
      </c>
      <c r="V2" s="15"/>
      <c r="W2" s="27">
        <v>108013</v>
      </c>
    </row>
    <row r="3" spans="1:99" ht="14.1" customHeight="1" thickTop="1" thickBot="1">
      <c r="A3" s="16" t="s">
        <v>13</v>
      </c>
      <c r="B3" s="28" t="s">
        <v>167</v>
      </c>
      <c r="C3" s="3" t="s">
        <v>15</v>
      </c>
      <c r="D3" s="29">
        <v>153</v>
      </c>
      <c r="E3" s="3" t="s">
        <v>16</v>
      </c>
      <c r="F3" s="3"/>
      <c r="G3" s="19">
        <f>SQRT(((D2*D3)/3600))</f>
        <v>1.7432010784760317</v>
      </c>
      <c r="H3" s="13"/>
      <c r="I3" s="20"/>
      <c r="J3" s="30"/>
      <c r="K3" s="30"/>
      <c r="L3" s="30"/>
      <c r="M3" s="31" t="s">
        <v>17</v>
      </c>
      <c r="N3" s="32">
        <f>($O$1/$N$1)*100</f>
        <v>98.165635226830545</v>
      </c>
      <c r="O3" s="33">
        <f>((AVERAGE(W2:W5))*2.85714)</f>
        <v>310318.26110999996</v>
      </c>
      <c r="P3" s="33"/>
      <c r="Q3" s="34" t="s">
        <v>18</v>
      </c>
      <c r="R3" s="13"/>
      <c r="T3" s="13">
        <v>-30</v>
      </c>
      <c r="U3" s="14">
        <v>440.94</v>
      </c>
      <c r="V3" s="15"/>
      <c r="W3" s="27">
        <v>108112</v>
      </c>
    </row>
    <row r="4" spans="1:99" ht="14.1" customHeight="1" thickTop="1">
      <c r="B4" s="35"/>
      <c r="C4" s="3" t="s">
        <v>19</v>
      </c>
      <c r="D4" s="19">
        <v>40.844000000000001</v>
      </c>
      <c r="E4" s="37" t="s">
        <v>20</v>
      </c>
      <c r="F4" s="37"/>
      <c r="G4" s="38">
        <v>0.4</v>
      </c>
      <c r="H4" s="13"/>
      <c r="I4" s="20"/>
      <c r="J4" s="30"/>
      <c r="K4" s="30"/>
      <c r="L4" s="30"/>
      <c r="M4" s="33"/>
      <c r="N4" s="39"/>
      <c r="O4" s="30"/>
      <c r="P4" s="30"/>
      <c r="Q4" s="30"/>
      <c r="R4" s="30"/>
      <c r="U4" s="14">
        <v>435.57</v>
      </c>
      <c r="V4" s="15"/>
      <c r="W4" s="27">
        <v>109460</v>
      </c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</row>
    <row r="5" spans="1:99" ht="14.1" customHeight="1" thickBot="1">
      <c r="A5" s="16"/>
      <c r="B5" s="30"/>
      <c r="C5" s="3"/>
      <c r="D5" s="41" t="s">
        <v>21</v>
      </c>
      <c r="E5" s="42">
        <f>AVERAGE(U1:U2)</f>
        <v>16.829999999999998</v>
      </c>
      <c r="F5" s="42"/>
      <c r="G5" s="19"/>
      <c r="H5" s="30"/>
      <c r="I5" s="30"/>
      <c r="J5" s="43" t="s">
        <v>22</v>
      </c>
      <c r="K5" s="43"/>
      <c r="L5" s="44" t="s">
        <v>23</v>
      </c>
      <c r="M5" s="45"/>
      <c r="N5" s="43" t="s">
        <v>22</v>
      </c>
      <c r="O5" s="44" t="s">
        <v>23</v>
      </c>
      <c r="P5" s="44" t="s">
        <v>24</v>
      </c>
      <c r="Q5" s="46"/>
      <c r="R5" s="46"/>
      <c r="T5" s="13">
        <v>-20</v>
      </c>
      <c r="U5" s="14">
        <v>422.13</v>
      </c>
      <c r="V5" s="15"/>
      <c r="W5" s="27">
        <v>108861</v>
      </c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</row>
    <row r="6" spans="1:99" s="1" customFormat="1" ht="14.1" customHeight="1">
      <c r="A6" s="47" t="s">
        <v>25</v>
      </c>
      <c r="B6" s="48" t="s">
        <v>26</v>
      </c>
      <c r="C6" s="48"/>
      <c r="D6" s="49" t="s">
        <v>27</v>
      </c>
      <c r="E6" s="48" t="s">
        <v>28</v>
      </c>
      <c r="F6" s="48"/>
      <c r="G6" s="48" t="s">
        <v>29</v>
      </c>
      <c r="H6" s="50" t="s">
        <v>30</v>
      </c>
      <c r="I6" s="50"/>
      <c r="J6" s="51" t="s">
        <v>31</v>
      </c>
      <c r="K6" s="52"/>
      <c r="L6" s="52" t="s">
        <v>31</v>
      </c>
      <c r="M6" s="52" t="s">
        <v>32</v>
      </c>
      <c r="N6" s="52" t="s">
        <v>33</v>
      </c>
      <c r="O6" s="53" t="s">
        <v>34</v>
      </c>
      <c r="P6" s="54"/>
      <c r="Q6" s="55"/>
      <c r="R6" s="55"/>
      <c r="S6" s="13"/>
      <c r="T6" s="13"/>
      <c r="U6" s="14">
        <v>392.3</v>
      </c>
      <c r="V6" s="15"/>
      <c r="W6" s="56" t="s">
        <v>35</v>
      </c>
      <c r="X6" s="13" t="s">
        <v>36</v>
      </c>
      <c r="Y6" s="57" t="s">
        <v>37</v>
      </c>
      <c r="Z6" s="58" t="s">
        <v>38</v>
      </c>
      <c r="AA6" s="40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60"/>
      <c r="AY6" s="60"/>
      <c r="AZ6" s="60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60"/>
      <c r="BO6" s="60"/>
      <c r="BP6" s="60"/>
      <c r="BQ6" s="59"/>
      <c r="BR6" s="59"/>
      <c r="BS6" s="59"/>
      <c r="BT6" s="59"/>
      <c r="BU6" s="59"/>
      <c r="BV6" s="59"/>
      <c r="BW6" s="59"/>
      <c r="BX6" s="59"/>
      <c r="BY6" s="59"/>
      <c r="BZ6" s="61"/>
      <c r="CA6" s="61"/>
      <c r="CB6" s="61"/>
      <c r="CC6" s="61"/>
      <c r="CD6" s="40"/>
      <c r="CE6" s="61"/>
      <c r="CF6" s="61"/>
      <c r="CG6" s="33"/>
      <c r="CH6" s="40"/>
      <c r="CI6" s="30"/>
      <c r="CJ6" s="30"/>
      <c r="CK6" s="30"/>
      <c r="CL6" s="30"/>
      <c r="CM6" s="30"/>
      <c r="CN6" s="30"/>
      <c r="CO6" s="30"/>
      <c r="CP6" s="62"/>
      <c r="CQ6" s="62"/>
      <c r="CR6" s="13"/>
      <c r="CS6" s="13"/>
      <c r="CT6" s="13"/>
      <c r="CU6" s="13"/>
    </row>
    <row r="7" spans="1:99" ht="14.1" customHeight="1">
      <c r="A7" s="63">
        <v>-30</v>
      </c>
      <c r="B7" s="64">
        <v>101</v>
      </c>
      <c r="C7" s="65"/>
      <c r="D7" s="42">
        <f>AVERAGE(U3:U4)</f>
        <v>438.255</v>
      </c>
      <c r="E7" s="66">
        <f>D7-$E$5</f>
        <v>421.42500000000001</v>
      </c>
      <c r="F7" s="66"/>
      <c r="G7" s="66">
        <f>($E7*7.1425)</f>
        <v>3010.0280625</v>
      </c>
      <c r="H7" s="66">
        <f>($G7/($B7*0.01))</f>
        <v>2980.2258044554455</v>
      </c>
      <c r="I7" s="66"/>
      <c r="J7" s="67">
        <f>$N$2/$H7/$D$2</f>
        <v>1.9805737959773586</v>
      </c>
      <c r="K7" s="67"/>
      <c r="L7" s="67">
        <f>J7/($D$4/$D$2)</f>
        <v>3.4671194401229344</v>
      </c>
      <c r="N7" s="68">
        <f>J7-M7</f>
        <v>1.9805737959773586</v>
      </c>
      <c r="O7" s="67">
        <f>N7/($D$4/$D$2)</f>
        <v>3.4671194401229344</v>
      </c>
      <c r="P7" s="67"/>
      <c r="Q7" s="30"/>
      <c r="R7" s="30"/>
      <c r="T7" s="13">
        <v>-10</v>
      </c>
      <c r="U7" s="196">
        <v>407.21</v>
      </c>
      <c r="V7" s="15"/>
      <c r="W7" s="27">
        <v>316765</v>
      </c>
      <c r="X7" s="69">
        <v>0.497</v>
      </c>
      <c r="Y7" s="70">
        <v>-30</v>
      </c>
      <c r="Z7" s="71">
        <v>24.803999999999998</v>
      </c>
      <c r="AA7" s="40"/>
      <c r="AB7" s="72"/>
      <c r="AC7" s="72"/>
      <c r="AD7" s="72"/>
      <c r="AE7" s="72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19"/>
      <c r="AY7" s="74"/>
      <c r="AZ7" s="74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</row>
    <row r="8" spans="1:99" ht="14.1" customHeight="1">
      <c r="A8" s="63">
        <v>-20</v>
      </c>
      <c r="B8" s="64">
        <v>98</v>
      </c>
      <c r="C8" s="65"/>
      <c r="D8" s="66">
        <f>AVERAGE(U5:U6)</f>
        <v>407.21500000000003</v>
      </c>
      <c r="E8" s="66">
        <f>D8-$E$5</f>
        <v>390.38500000000005</v>
      </c>
      <c r="F8" s="66"/>
      <c r="G8" s="66">
        <f>($E8*7.1425)</f>
        <v>2788.3248625000006</v>
      </c>
      <c r="H8" s="66">
        <f>($G8/($B8*0.01))</f>
        <v>2845.229451530613</v>
      </c>
      <c r="I8" s="66"/>
      <c r="J8" s="67">
        <f>$N$2/H8/$D$2</f>
        <v>2.0745452115380969</v>
      </c>
      <c r="K8" s="67"/>
      <c r="L8" s="67">
        <f>J8/($D$4/$D$2)</f>
        <v>3.6316223343691587</v>
      </c>
      <c r="N8" s="68">
        <f>J8-M8</f>
        <v>2.0745452115380969</v>
      </c>
      <c r="O8" s="67">
        <f>N8/($D$4/$D$2)</f>
        <v>3.6316223343691587</v>
      </c>
      <c r="P8" s="67"/>
      <c r="Q8" s="30"/>
      <c r="R8" s="30"/>
      <c r="U8" s="196">
        <v>428.565</v>
      </c>
      <c r="V8" s="15"/>
      <c r="W8" s="27">
        <v>315469</v>
      </c>
      <c r="X8" s="69">
        <v>0.47499999999999998</v>
      </c>
      <c r="Y8" s="70">
        <v>-20</v>
      </c>
      <c r="Z8" s="71">
        <v>16.928999999999998</v>
      </c>
      <c r="AA8" s="40"/>
      <c r="AB8" s="72"/>
      <c r="AC8" s="72"/>
      <c r="AD8" s="72"/>
      <c r="AE8" s="72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19"/>
      <c r="AY8" s="74"/>
      <c r="AZ8" s="74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</row>
    <row r="9" spans="1:99" ht="14.1" customHeight="1" thickBot="1">
      <c r="A9" s="63">
        <v>-10</v>
      </c>
      <c r="B9" s="75">
        <v>97</v>
      </c>
      <c r="C9" s="65"/>
      <c r="D9" s="66">
        <f>AVERAGE(U7:U8)</f>
        <v>417.88749999999999</v>
      </c>
      <c r="E9" s="66">
        <f>D9-$E$5</f>
        <v>401.0575</v>
      </c>
      <c r="F9" s="66"/>
      <c r="G9" s="66">
        <f>($E9*7.1425)</f>
        <v>2864.55319375</v>
      </c>
      <c r="H9" s="66">
        <f>($G9/($B9*0.01))</f>
        <v>2953.1476224226803</v>
      </c>
      <c r="I9" s="66"/>
      <c r="J9" s="67">
        <f>$N$2/H9/$D$2</f>
        <v>1.9987341945194415</v>
      </c>
      <c r="K9" s="67"/>
      <c r="L9" s="67">
        <f>J9/($D$4/$D$2)</f>
        <v>3.498910364022624</v>
      </c>
      <c r="N9" s="68">
        <f>J9-M9</f>
        <v>1.9987341945194415</v>
      </c>
      <c r="O9" s="67">
        <f>N9/($D$4/$D$2)</f>
        <v>3.498910364022624</v>
      </c>
      <c r="P9" s="67"/>
      <c r="Q9" s="30"/>
      <c r="R9" s="30"/>
      <c r="T9" s="13">
        <v>-5</v>
      </c>
      <c r="U9" s="14">
        <v>410.6</v>
      </c>
      <c r="V9" s="15"/>
      <c r="W9" s="76"/>
      <c r="X9" s="69"/>
      <c r="Y9" s="70">
        <v>-10</v>
      </c>
      <c r="Z9" s="71">
        <v>16.677</v>
      </c>
      <c r="AA9" s="40"/>
      <c r="AB9" s="72"/>
      <c r="AC9" s="72"/>
      <c r="AD9" s="72"/>
      <c r="AE9" s="72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19"/>
      <c r="AY9" s="74"/>
      <c r="AZ9" s="74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</row>
    <row r="10" spans="1:99" s="80" customFormat="1" ht="14.1" customHeight="1">
      <c r="A10" s="77">
        <v>0</v>
      </c>
      <c r="B10" s="75">
        <v>98</v>
      </c>
      <c r="C10" s="65"/>
      <c r="D10" s="66">
        <f>AVERAGE(U11:U12)</f>
        <v>434.565</v>
      </c>
      <c r="E10" s="66">
        <f>D10-$E$5</f>
        <v>417.73500000000001</v>
      </c>
      <c r="F10" s="66"/>
      <c r="G10" s="78">
        <f>($E10*7.1425)</f>
        <v>2983.6722374999999</v>
      </c>
      <c r="H10" s="78">
        <f>($G10/($B10*0.01))</f>
        <v>3044.5635076530612</v>
      </c>
      <c r="I10" s="78"/>
      <c r="J10" s="79">
        <f>$N$2/H10/$D$2</f>
        <v>1.9387203188775184</v>
      </c>
      <c r="K10" s="79"/>
      <c r="L10" s="67">
        <f>J10/($D$4/$D$2)</f>
        <v>3.393852286743281</v>
      </c>
      <c r="N10" s="81">
        <f>J10-M10</f>
        <v>1.9387203188775184</v>
      </c>
      <c r="O10" s="67">
        <f>N10/($D$4/$D$2)</f>
        <v>3.393852286743281</v>
      </c>
      <c r="P10" s="67"/>
      <c r="Q10" s="30"/>
      <c r="R10" s="30"/>
      <c r="S10" s="13"/>
      <c r="T10" s="13" t="s">
        <v>39</v>
      </c>
      <c r="U10" s="14">
        <v>446.53</v>
      </c>
      <c r="V10" s="15"/>
      <c r="W10" s="15"/>
      <c r="X10" s="69">
        <v>0.49199999999999999</v>
      </c>
      <c r="Y10" s="70">
        <v>0</v>
      </c>
      <c r="Z10" s="82">
        <v>19.315000000000001</v>
      </c>
      <c r="AA10" s="30"/>
      <c r="AB10" s="83" t="s">
        <v>40</v>
      </c>
      <c r="AC10" s="83" t="s">
        <v>41</v>
      </c>
      <c r="AD10" s="83" t="s">
        <v>42</v>
      </c>
      <c r="AE10" s="83" t="s">
        <v>43</v>
      </c>
      <c r="AF10" s="83" t="s">
        <v>44</v>
      </c>
      <c r="AG10" s="83" t="s">
        <v>45</v>
      </c>
      <c r="AH10" s="83" t="s">
        <v>46</v>
      </c>
      <c r="AI10" s="83" t="s">
        <v>47</v>
      </c>
      <c r="AJ10" s="83" t="s">
        <v>48</v>
      </c>
      <c r="AK10" s="83" t="s">
        <v>49</v>
      </c>
      <c r="AL10" s="83" t="s">
        <v>50</v>
      </c>
      <c r="AM10" s="83" t="s">
        <v>51</v>
      </c>
      <c r="AN10" s="83" t="s">
        <v>52</v>
      </c>
      <c r="AO10" s="83" t="s">
        <v>53</v>
      </c>
      <c r="AP10" s="83" t="s">
        <v>54</v>
      </c>
      <c r="AQ10" s="83" t="s">
        <v>55</v>
      </c>
      <c r="AR10" s="83" t="s">
        <v>56</v>
      </c>
      <c r="AS10" s="83" t="s">
        <v>57</v>
      </c>
      <c r="AT10" s="83" t="s">
        <v>58</v>
      </c>
      <c r="AU10" s="83" t="s">
        <v>59</v>
      </c>
      <c r="AV10" s="84" t="s">
        <v>60</v>
      </c>
      <c r="AW10" s="84" t="s">
        <v>61</v>
      </c>
      <c r="AX10" s="85" t="s">
        <v>62</v>
      </c>
      <c r="AY10" s="85" t="s">
        <v>63</v>
      </c>
      <c r="AZ10" s="85" t="s">
        <v>64</v>
      </c>
      <c r="BA10" s="86" t="s">
        <v>65</v>
      </c>
      <c r="BB10" s="86" t="s">
        <v>66</v>
      </c>
      <c r="BC10" s="86" t="s">
        <v>67</v>
      </c>
      <c r="BD10" s="86" t="s">
        <v>68</v>
      </c>
      <c r="BE10" s="86" t="s">
        <v>69</v>
      </c>
      <c r="BF10" s="86" t="s">
        <v>70</v>
      </c>
      <c r="BG10" s="86" t="s">
        <v>71</v>
      </c>
      <c r="BH10" s="86" t="s">
        <v>72</v>
      </c>
      <c r="BI10" s="86" t="s">
        <v>73</v>
      </c>
      <c r="BJ10" s="86" t="s">
        <v>74</v>
      </c>
      <c r="BK10" s="86" t="s">
        <v>75</v>
      </c>
      <c r="BL10" s="86" t="s">
        <v>76</v>
      </c>
      <c r="BM10" s="86" t="s">
        <v>77</v>
      </c>
      <c r="BN10" s="87" t="s">
        <v>78</v>
      </c>
      <c r="BO10" s="87" t="s">
        <v>79</v>
      </c>
      <c r="BP10" s="87" t="s">
        <v>80</v>
      </c>
      <c r="BQ10" s="88" t="s">
        <v>81</v>
      </c>
      <c r="BR10" s="88" t="s">
        <v>82</v>
      </c>
      <c r="BS10" s="88" t="s">
        <v>83</v>
      </c>
      <c r="BT10" s="88" t="s">
        <v>84</v>
      </c>
      <c r="BU10" s="88" t="s">
        <v>85</v>
      </c>
      <c r="BV10" s="88" t="s">
        <v>86</v>
      </c>
      <c r="BW10" s="88" t="s">
        <v>87</v>
      </c>
      <c r="BX10" s="88" t="s">
        <v>88</v>
      </c>
      <c r="BY10" s="88" t="s">
        <v>89</v>
      </c>
      <c r="BZ10" s="88" t="s">
        <v>90</v>
      </c>
      <c r="CA10" s="88" t="s">
        <v>91</v>
      </c>
      <c r="CB10" s="88" t="s">
        <v>92</v>
      </c>
      <c r="CC10" s="88" t="s">
        <v>93</v>
      </c>
      <c r="CD10" s="40"/>
      <c r="CE10" s="89" t="s">
        <v>94</v>
      </c>
      <c r="CF10" s="89" t="s">
        <v>95</v>
      </c>
      <c r="CG10" s="90" t="s">
        <v>96</v>
      </c>
      <c r="CH10" s="40"/>
      <c r="CI10" s="91" t="s">
        <v>97</v>
      </c>
      <c r="CJ10" s="91" t="s">
        <v>98</v>
      </c>
      <c r="CK10" s="91" t="s">
        <v>99</v>
      </c>
      <c r="CL10" s="91" t="s">
        <v>100</v>
      </c>
      <c r="CM10" s="91" t="s">
        <v>101</v>
      </c>
      <c r="CN10" s="91" t="s">
        <v>102</v>
      </c>
      <c r="CO10" s="91" t="s">
        <v>103</v>
      </c>
      <c r="CP10" s="92" t="s">
        <v>104</v>
      </c>
      <c r="CQ10" s="92" t="s">
        <v>105</v>
      </c>
      <c r="CR10" s="13"/>
      <c r="CS10" s="13"/>
      <c r="CT10" s="13"/>
      <c r="CU10" s="13"/>
    </row>
    <row r="11" spans="1:99" s="49" customFormat="1" ht="14.1" customHeight="1">
      <c r="A11" s="93" t="s">
        <v>106</v>
      </c>
      <c r="B11" s="49">
        <f>AVERAGE(B7:B10)</f>
        <v>98.5</v>
      </c>
      <c r="E11" s="50">
        <f>AVERAGE(E7:E10)</f>
        <v>407.65062499999999</v>
      </c>
      <c r="G11" s="50">
        <f>AVERAGE(G7:G10)</f>
        <v>2911.6445890625</v>
      </c>
      <c r="H11" s="50">
        <f>AVERAGE(H7:H10)</f>
        <v>2955.7915965154502</v>
      </c>
      <c r="J11" s="94">
        <f>AVERAGE(J7:J10)</f>
        <v>1.9981433802281037</v>
      </c>
      <c r="K11" s="50" t="s">
        <v>39</v>
      </c>
      <c r="L11" s="50">
        <f>AVERAGE(L7:L10)</f>
        <v>3.4978761063144996</v>
      </c>
      <c r="M11" s="50"/>
      <c r="N11" s="94">
        <f>AVERAGE(N7:N10)</f>
        <v>1.9981433802281037</v>
      </c>
      <c r="O11" s="50">
        <f>AVERAGE(O7:O10)</f>
        <v>3.4978761063144996</v>
      </c>
      <c r="P11" s="95"/>
      <c r="Q11" s="95"/>
      <c r="R11" s="95"/>
      <c r="S11" s="6"/>
      <c r="T11" s="13">
        <v>0</v>
      </c>
      <c r="U11" s="14">
        <v>438.81</v>
      </c>
      <c r="V11" s="15"/>
      <c r="W11" s="15"/>
      <c r="X11" s="96">
        <f>AVERAGE(X7:X10)</f>
        <v>0.48799999999999999</v>
      </c>
      <c r="Y11" s="70" t="s">
        <v>107</v>
      </c>
      <c r="Z11" s="96">
        <f>AVERAGE(Z7:Z10)</f>
        <v>19.431249999999999</v>
      </c>
      <c r="AA11" s="30"/>
      <c r="AB11" s="72">
        <f>J11</f>
        <v>1.9981433802281037</v>
      </c>
      <c r="AC11" s="73">
        <f>AB11/($D$4/$D$2)</f>
        <v>3.4978761063144992</v>
      </c>
      <c r="AD11" s="73">
        <f>AB11/Z11</f>
        <v>0.10283143803039453</v>
      </c>
      <c r="AE11" s="73">
        <f>AC11/Z11</f>
        <v>0.18001292280807973</v>
      </c>
      <c r="AF11" s="72">
        <f>N20</f>
        <v>3.1367427789484481E-2</v>
      </c>
      <c r="AG11" s="72">
        <f>AF11/($D$4/$D$2)</f>
        <v>5.4910662201256982E-2</v>
      </c>
      <c r="AH11" s="72">
        <f>AF11/Z18</f>
        <v>3.3240179502664604E-4</v>
      </c>
      <c r="AI11" s="72">
        <f>AG11/Z18</f>
        <v>5.8189032279906943E-4</v>
      </c>
      <c r="AJ11" s="73">
        <f>((AB11-AF11)/AB11)*100</f>
        <v>98.430171323045712</v>
      </c>
      <c r="AK11" s="73">
        <f>((AC11-AG11)/AC11)*100</f>
        <v>98.430171323045712</v>
      </c>
      <c r="AL11" s="73">
        <f>((AD11-AH11)/AD11)*100</f>
        <v>99.676750805596626</v>
      </c>
      <c r="AM11" s="73">
        <f>((AE11-AI11)/AE11)*100</f>
        <v>99.67675080559664</v>
      </c>
      <c r="AN11" s="72">
        <f>N29</f>
        <v>-1.8467599611144332</v>
      </c>
      <c r="AO11" s="72">
        <f>AN11/($D$4/$D$2)</f>
        <v>-3.232869876106208</v>
      </c>
      <c r="AP11" s="72">
        <f>AN11/Z25</f>
        <v>-5.7819298599083076E-3</v>
      </c>
      <c r="AQ11" s="72">
        <f>AO11/Z25</f>
        <v>-1.0121633164808637E-2</v>
      </c>
      <c r="AR11" s="73">
        <f>((AB11-AN11)/AB11)*100</f>
        <v>192.42379597922604</v>
      </c>
      <c r="AS11" s="73">
        <f>((AC11-AO11)/AC11)*100</f>
        <v>192.42379597922604</v>
      </c>
      <c r="AT11" s="73">
        <f>((AD11-AP11)/AD11)*100</f>
        <v>105.62272586152039</v>
      </c>
      <c r="AU11" s="73">
        <f>((AE11-AQ11)/AE11)*100</f>
        <v>105.62272586152039</v>
      </c>
      <c r="AV11" s="72">
        <f>J11</f>
        <v>1.9981433802281037</v>
      </c>
      <c r="AW11" s="72">
        <f>AV11/($D$4/$D$2)</f>
        <v>3.4978761063144992</v>
      </c>
      <c r="AX11" s="95">
        <f>M20</f>
        <v>2.2073659673659671</v>
      </c>
      <c r="AY11" s="95">
        <f>AX11/($D$4/$D$2)</f>
        <v>3.8641334508536542</v>
      </c>
      <c r="AZ11" s="95">
        <f>AX11/Z11</f>
        <v>0.11359876319670466</v>
      </c>
      <c r="BA11" s="73">
        <f>AY11/Z11</f>
        <v>0.19886180512595197</v>
      </c>
      <c r="BB11" s="72">
        <f>P21</f>
        <v>1.9040326340326339</v>
      </c>
      <c r="BC11" s="73">
        <f>BB11/($D$4/$D$2)</f>
        <v>3.3331293049978776</v>
      </c>
      <c r="BD11" s="73">
        <f>BB11/Z18</f>
        <v>2.0177104402355022E-2</v>
      </c>
      <c r="BE11" s="73">
        <f>BC11/Z18</f>
        <v>3.5321294798951713E-2</v>
      </c>
      <c r="BF11" s="72">
        <f>K20</f>
        <v>2.3549105513326083</v>
      </c>
      <c r="BG11" s="73">
        <f>BF11/($D$4/$D$2)</f>
        <v>4.1224195578366833</v>
      </c>
      <c r="BH11" s="73">
        <f>BF11/Z18</f>
        <v>2.4955074405321919E-2</v>
      </c>
      <c r="BI11" s="73">
        <f>BG11/Z18</f>
        <v>4.36854328660395E-2</v>
      </c>
      <c r="BJ11" s="72">
        <f>J21</f>
        <v>2.5434333049593678</v>
      </c>
      <c r="BK11" s="73">
        <f>BJ11/($D$4/$D$2)</f>
        <v>4.4524405372782976</v>
      </c>
      <c r="BL11" s="73">
        <f>BJ11/Z18</f>
        <v>2.6952857013748256E-2</v>
      </c>
      <c r="BM11" s="73">
        <f>BK11/Z18</f>
        <v>4.7182677418543727E-2</v>
      </c>
      <c r="BN11" s="95">
        <f>M29</f>
        <v>6.1573892773892789</v>
      </c>
      <c r="BO11" s="95">
        <f>BN11/($D$4/$D$2)</f>
        <v>10.778898573433882</v>
      </c>
      <c r="BP11" s="95">
        <f>BN11/Z25</f>
        <v>1.9277867005808601E-2</v>
      </c>
      <c r="BQ11" s="73">
        <f>BO11/Z25</f>
        <v>3.3747122978046107E-2</v>
      </c>
      <c r="BR11" s="72">
        <f>P30</f>
        <v>6.027389277389279</v>
      </c>
      <c r="BS11" s="73">
        <f>BR11/($D$4/$D$2)</f>
        <v>10.55132536806712</v>
      </c>
      <c r="BT11" s="73">
        <f>BR11/Z25</f>
        <v>1.8870856404747869E-2</v>
      </c>
      <c r="BU11" s="73">
        <f>BS11/Z25</f>
        <v>3.3034625231110393E-2</v>
      </c>
      <c r="BV11" s="72">
        <f>K29</f>
        <v>4.3977621834077123</v>
      </c>
      <c r="BW11" s="73">
        <f>BV11/($D$4/$D$2)</f>
        <v>7.6985602809140001</v>
      </c>
      <c r="BX11" s="73">
        <f>BV11/Z25</f>
        <v>1.3768737150699472E-2</v>
      </c>
      <c r="BY11" s="73">
        <f>BW11/Z25</f>
        <v>2.4103043440285285E-2</v>
      </c>
      <c r="BZ11" s="72">
        <f>J30</f>
        <v>4.4905896009312629</v>
      </c>
      <c r="CA11" s="73">
        <f>BZ11/($D$4/$D$2)</f>
        <v>7.8610605343890239</v>
      </c>
      <c r="CB11" s="73">
        <f>BZ11/Z25</f>
        <v>1.4059365943016209E-2</v>
      </c>
      <c r="CC11" s="73">
        <f>CA11/Z25</f>
        <v>2.4611807485203675E-2</v>
      </c>
      <c r="CD11" s="13"/>
      <c r="CE11" s="97">
        <f>B11</f>
        <v>98.5</v>
      </c>
      <c r="CF11" s="13">
        <f>Z11</f>
        <v>19.431249999999999</v>
      </c>
      <c r="CG11" s="40">
        <f>((CE11/18)*CF11)/22.5</f>
        <v>4.7258719135802467</v>
      </c>
      <c r="CH11" s="40"/>
      <c r="CI11" s="40">
        <f>X28</f>
        <v>0</v>
      </c>
      <c r="CJ11" s="40">
        <f>X29</f>
        <v>0</v>
      </c>
      <c r="CK11" s="40">
        <f>X30</f>
        <v>0</v>
      </c>
      <c r="CL11" s="40">
        <f>X31</f>
        <v>0</v>
      </c>
      <c r="CM11" s="40">
        <f>X32</f>
        <v>0</v>
      </c>
      <c r="CN11" s="40">
        <f>X33</f>
        <v>0</v>
      </c>
      <c r="CO11" s="13">
        <f>X11</f>
        <v>0.48799999999999999</v>
      </c>
      <c r="CP11" s="13">
        <f>X18</f>
        <v>6.08E-2</v>
      </c>
      <c r="CQ11" s="13">
        <f>X25</f>
        <v>3.8800000000000001E-2</v>
      </c>
      <c r="CR11" s="13"/>
      <c r="CS11" s="13"/>
      <c r="CT11" s="13"/>
      <c r="CU11" s="13"/>
    </row>
    <row r="12" spans="1:99" ht="14.1" customHeight="1" thickBot="1">
      <c r="B12" s="98"/>
      <c r="C12" s="65"/>
      <c r="D12" s="99"/>
      <c r="E12" s="13"/>
      <c r="F12" s="13"/>
      <c r="G12" s="13"/>
      <c r="H12" s="13"/>
      <c r="I12" s="13"/>
      <c r="J12" s="6" t="s">
        <v>108</v>
      </c>
      <c r="K12" s="13"/>
      <c r="L12" s="13"/>
      <c r="M12" s="12" t="s">
        <v>39</v>
      </c>
      <c r="N12" s="13"/>
      <c r="O12" s="13"/>
      <c r="P12" s="13"/>
      <c r="Q12" s="30"/>
      <c r="R12" s="30"/>
      <c r="U12" s="14">
        <v>430.32</v>
      </c>
      <c r="V12" s="15"/>
      <c r="W12" s="15"/>
      <c r="Y12" s="70"/>
      <c r="Z12" s="96"/>
      <c r="AA12" s="30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30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40"/>
      <c r="CG12" s="40"/>
      <c r="CH12" s="40"/>
      <c r="CI12" s="40"/>
      <c r="CJ12" s="40"/>
      <c r="CK12" s="40"/>
      <c r="CL12" s="40"/>
      <c r="CM12" s="40"/>
      <c r="CN12" s="40"/>
    </row>
    <row r="13" spans="1:99" ht="14.1" customHeight="1" thickBot="1">
      <c r="B13" s="98"/>
      <c r="C13" s="65"/>
      <c r="D13" s="99"/>
      <c r="E13" s="13"/>
      <c r="F13" s="13"/>
      <c r="G13" s="13"/>
      <c r="H13" s="13"/>
      <c r="I13" s="13"/>
      <c r="J13" s="6"/>
      <c r="K13" s="13"/>
      <c r="L13" s="13"/>
      <c r="M13" s="100" t="s">
        <v>32</v>
      </c>
      <c r="N13" s="101"/>
      <c r="O13" s="101"/>
      <c r="P13" s="101"/>
      <c r="Q13" s="30"/>
      <c r="R13" s="102" t="s">
        <v>25</v>
      </c>
      <c r="S13" s="103" t="s">
        <v>109</v>
      </c>
      <c r="T13" s="13">
        <v>30</v>
      </c>
      <c r="U13" s="14">
        <v>472.53</v>
      </c>
      <c r="V13" s="15"/>
      <c r="W13" s="15"/>
      <c r="X13" s="69">
        <v>7.1999999999999995E-2</v>
      </c>
      <c r="Y13" s="30">
        <v>90</v>
      </c>
      <c r="Z13" s="71">
        <v>89.974000000000004</v>
      </c>
      <c r="AA13" s="40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19"/>
      <c r="AY13" s="74"/>
      <c r="AZ13" s="74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40"/>
      <c r="CG13" s="40"/>
      <c r="CH13" s="40"/>
      <c r="CI13" s="40"/>
      <c r="CJ13" s="40"/>
      <c r="CK13" s="40"/>
      <c r="CL13" s="40"/>
      <c r="CM13" s="40"/>
      <c r="CN13" s="40"/>
    </row>
    <row r="14" spans="1:99" ht="14.1" customHeight="1">
      <c r="A14" s="12">
        <v>90</v>
      </c>
      <c r="B14" s="75">
        <v>99</v>
      </c>
      <c r="C14" s="65"/>
      <c r="D14" s="104">
        <f>AVERAGE(U17:U18)</f>
        <v>411.48500000000001</v>
      </c>
      <c r="E14" s="78">
        <f>D14-$E$5</f>
        <v>394.65500000000003</v>
      </c>
      <c r="F14" s="78"/>
      <c r="G14" s="78">
        <f t="shared" ref="G14:G27" si="0">($E14*7.1425)</f>
        <v>2818.8233375000004</v>
      </c>
      <c r="H14" s="78">
        <f t="shared" ref="H14:H27" si="1">($G14/($B14*0.01))</f>
        <v>2847.296300505051</v>
      </c>
      <c r="I14" s="33">
        <f>$C$15*A14+$C$16</f>
        <v>3049.7801564285719</v>
      </c>
      <c r="J14" s="105" t="s">
        <v>110</v>
      </c>
      <c r="K14" s="106" t="s">
        <v>111</v>
      </c>
      <c r="L14" s="13"/>
      <c r="M14" s="107">
        <f>(((S14/60)*$J$1)/$D$2)</f>
        <v>1.7426573426573426</v>
      </c>
      <c r="N14" s="101"/>
      <c r="O14" s="101"/>
      <c r="P14" s="101"/>
      <c r="Q14" s="30"/>
      <c r="R14" s="108">
        <v>90</v>
      </c>
      <c r="S14" s="109">
        <v>42</v>
      </c>
      <c r="U14" s="14">
        <v>444.08</v>
      </c>
      <c r="V14" s="15"/>
      <c r="W14" s="110"/>
      <c r="X14" s="69">
        <v>5.7000000000000002E-2</v>
      </c>
      <c r="Y14" s="30">
        <v>100</v>
      </c>
      <c r="Z14" s="71">
        <v>99.838999999999999</v>
      </c>
      <c r="AA14" s="40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19"/>
      <c r="AY14" s="74"/>
      <c r="AZ14" s="74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40"/>
      <c r="CG14" s="40"/>
      <c r="CH14" s="40"/>
      <c r="CI14" s="40"/>
      <c r="CJ14" s="40"/>
      <c r="CK14" s="40"/>
      <c r="CL14" s="40"/>
      <c r="CM14" s="40"/>
      <c r="CN14" s="40"/>
    </row>
    <row r="15" spans="1:99" s="115" customFormat="1" ht="14.1" customHeight="1">
      <c r="A15" s="12">
        <v>100</v>
      </c>
      <c r="B15" s="75">
        <v>101</v>
      </c>
      <c r="C15" s="65">
        <f>SLOPE(G15:G18,A15:A18)</f>
        <v>-16.28551221428571</v>
      </c>
      <c r="D15" s="104">
        <f>AVERAGE(U19:U20)</f>
        <v>425.37</v>
      </c>
      <c r="E15" s="66">
        <f>D15-$E$5</f>
        <v>408.54</v>
      </c>
      <c r="F15" s="111">
        <v>180</v>
      </c>
      <c r="G15" s="112">
        <f t="shared" si="0"/>
        <v>2917.9969500000002</v>
      </c>
      <c r="H15" s="78">
        <f t="shared" si="1"/>
        <v>2889.1058910891093</v>
      </c>
      <c r="I15" s="33">
        <f>$C$15*A15+$C$16</f>
        <v>2886.9250342857149</v>
      </c>
      <c r="J15" s="113">
        <f>((($N$2-(130*$D$2*(((B15+B14)*0.01)/2))*((I15-I14)/(A15-A14))))/((I15+I14)/2))/$D$2</f>
        <v>2.7017254401653172</v>
      </c>
      <c r="K15" s="114">
        <f>$N$2/H15/$D$2</f>
        <v>2.0430393889698886</v>
      </c>
      <c r="L15" s="114">
        <f>J15/($D$4/$D$2)</f>
        <v>4.7295409110718873</v>
      </c>
      <c r="M15" s="107">
        <f>(((S15/60)*$J$1)/$D$2)</f>
        <v>2.9044289044289049</v>
      </c>
      <c r="N15" s="19">
        <f>K15-M15</f>
        <v>-0.86138951545901632</v>
      </c>
      <c r="O15" s="74">
        <f>N15/($D$4/$D$2)</f>
        <v>-1.5079167161717673</v>
      </c>
      <c r="P15" s="74"/>
      <c r="Q15" s="30"/>
      <c r="R15" s="108">
        <v>100</v>
      </c>
      <c r="S15" s="109">
        <v>70</v>
      </c>
      <c r="T15" s="13">
        <v>60</v>
      </c>
      <c r="U15" s="14">
        <v>458.92</v>
      </c>
      <c r="V15" s="15"/>
      <c r="W15" s="110"/>
      <c r="X15" s="69">
        <v>5.8999999999999997E-2</v>
      </c>
      <c r="Y15" s="30">
        <v>110</v>
      </c>
      <c r="Z15" s="71">
        <v>101.98</v>
      </c>
      <c r="AA15" s="40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19"/>
      <c r="AY15" s="74"/>
      <c r="AZ15" s="74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40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40"/>
      <c r="CH15" s="40"/>
      <c r="CI15" s="40"/>
      <c r="CJ15" s="40"/>
      <c r="CK15" s="40"/>
      <c r="CL15" s="40"/>
      <c r="CM15" s="40"/>
      <c r="CN15" s="40"/>
      <c r="CO15" s="13"/>
      <c r="CP15" s="13"/>
      <c r="CQ15" s="13"/>
      <c r="CR15" s="13"/>
      <c r="CS15" s="13"/>
      <c r="CT15" s="13"/>
      <c r="CU15" s="13"/>
    </row>
    <row r="16" spans="1:99" ht="14.1" customHeight="1">
      <c r="A16" s="12">
        <v>110</v>
      </c>
      <c r="B16" s="75">
        <v>111</v>
      </c>
      <c r="C16" s="65">
        <f>INTERCEPT(G15:G18,A15:A18)</f>
        <v>4515.4762557142858</v>
      </c>
      <c r="D16" s="104">
        <f>AVERAGE(U21:U22)</f>
        <v>386.745</v>
      </c>
      <c r="E16" s="66">
        <f>D16-$E$5</f>
        <v>369.91500000000002</v>
      </c>
      <c r="F16" s="116">
        <v>210</v>
      </c>
      <c r="G16" s="66">
        <f t="shared" si="0"/>
        <v>2642.1178875000001</v>
      </c>
      <c r="H16" s="78">
        <f t="shared" si="1"/>
        <v>2380.2863851351349</v>
      </c>
      <c r="I16" s="33">
        <f>$C$15*A16+$C$16</f>
        <v>2724.0699121428579</v>
      </c>
      <c r="J16" s="113">
        <f>((($N$2-(130*$D$2*(((B16+B15)*0.01)/2))*((I16-I15)/(A16-A15))))/((I16+I15)/2))/$D$2</f>
        <v>2.9038346301537792</v>
      </c>
      <c r="K16" s="67">
        <f>$N$2/H16/$D$2</f>
        <v>2.4797676326938682</v>
      </c>
      <c r="L16" s="67">
        <f>J16/($D$4/$D$2)</f>
        <v>5.0833458049161493</v>
      </c>
      <c r="M16" s="107">
        <f>(((S16/60)*$J$1)/$D$2)</f>
        <v>2.3235431235431236</v>
      </c>
      <c r="N16" s="19">
        <f>K16-M16</f>
        <v>0.15622450915074459</v>
      </c>
      <c r="O16" s="67">
        <f>N16/($D$4/$D$2)</f>
        <v>0.27348086387910681</v>
      </c>
      <c r="P16" s="67"/>
      <c r="Q16" s="30"/>
      <c r="R16" s="108">
        <v>110</v>
      </c>
      <c r="S16" s="109">
        <v>56</v>
      </c>
      <c r="U16" s="14">
        <v>463.9</v>
      </c>
      <c r="V16" s="15"/>
      <c r="W16" s="110"/>
      <c r="X16" s="69">
        <v>5.7000000000000002E-2</v>
      </c>
      <c r="Y16" s="30">
        <v>115</v>
      </c>
      <c r="Z16" s="71">
        <v>94.19</v>
      </c>
      <c r="AA16" s="40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19"/>
      <c r="AY16" s="74"/>
      <c r="AZ16" s="74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40"/>
    </row>
    <row r="17" spans="1:67" ht="14.1" customHeight="1">
      <c r="A17" s="12">
        <v>115</v>
      </c>
      <c r="B17" s="75">
        <v>112</v>
      </c>
      <c r="C17" s="65"/>
      <c r="D17" s="104">
        <f>AVERAGE(U23:U24)</f>
        <v>392.36500000000001</v>
      </c>
      <c r="E17" s="66">
        <f>D17-$E$5</f>
        <v>375.53500000000003</v>
      </c>
      <c r="F17" s="116">
        <v>220</v>
      </c>
      <c r="G17" s="66">
        <f t="shared" si="0"/>
        <v>2682.2587375000003</v>
      </c>
      <c r="H17" s="78">
        <f t="shared" si="1"/>
        <v>2394.8738727678569</v>
      </c>
      <c r="I17" s="33">
        <f>$C$15*A17+$C$16</f>
        <v>2642.6423510714294</v>
      </c>
      <c r="J17" s="113">
        <f>((($N$2-(130*$D$2*(((B17+B16)*0.01)/2))*((I17-I16)/(A17-A16))))/((I17+I16)/2))/$D$2</f>
        <v>3.0794056862335539</v>
      </c>
      <c r="K17" s="67">
        <f>$N$2/H17/$D$2</f>
        <v>2.4646630461495516</v>
      </c>
      <c r="L17" s="67">
        <f>J17/($D$4/$D$2)</f>
        <v>5.3906940203138554</v>
      </c>
      <c r="M17" s="107">
        <f>(((S17/60)*$J$1)/$D$2)</f>
        <v>2.3235431235431236</v>
      </c>
      <c r="N17" s="19">
        <f>K17-M17</f>
        <v>0.14111992260642792</v>
      </c>
      <c r="O17" s="67">
        <f>N17/($D$4/$D$2)</f>
        <v>0.24703933175887757</v>
      </c>
      <c r="P17" s="67"/>
      <c r="Q17" s="30"/>
      <c r="R17" s="108">
        <v>115</v>
      </c>
      <c r="S17" s="117">
        <v>56</v>
      </c>
      <c r="T17" s="40">
        <v>90</v>
      </c>
      <c r="U17" s="14">
        <v>419.44</v>
      </c>
      <c r="V17" s="15"/>
      <c r="W17" s="110"/>
      <c r="X17" s="69">
        <v>5.8999999999999997E-2</v>
      </c>
      <c r="Y17" s="30">
        <v>120</v>
      </c>
      <c r="Z17" s="71">
        <v>85.846999999999994</v>
      </c>
      <c r="AA17" s="40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19"/>
      <c r="AY17" s="74"/>
      <c r="AZ17" s="74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40"/>
    </row>
    <row r="18" spans="1:67" ht="14.1" customHeight="1">
      <c r="A18" s="12">
        <v>120</v>
      </c>
      <c r="B18" s="118">
        <v>106</v>
      </c>
      <c r="C18" s="65"/>
      <c r="D18" s="104">
        <f>AVERAGE(U25:U26)</f>
        <v>376.995</v>
      </c>
      <c r="E18" s="66">
        <f>D18-$E$5</f>
        <v>360.16500000000002</v>
      </c>
      <c r="F18" s="116">
        <v>225</v>
      </c>
      <c r="G18" s="66">
        <f t="shared" si="0"/>
        <v>2572.4785125000003</v>
      </c>
      <c r="H18" s="78">
        <f t="shared" si="1"/>
        <v>2426.8665212264154</v>
      </c>
      <c r="I18" s="33">
        <f>$C$15*A18+$C$16</f>
        <v>2561.2147900000009</v>
      </c>
      <c r="J18" s="113">
        <f>((($N$2-(130*$D$2*(((B18+B17)*0.01)/2))*((I18-I17)/(A18-A17))))/((I18+I17)/2))/$D$2</f>
        <v>3.1554341299514879</v>
      </c>
      <c r="K18" s="67">
        <f>$N$2/H18/$D$2</f>
        <v>2.4321721375171244</v>
      </c>
      <c r="L18" s="67">
        <f>J18/($D$4/$D$2)</f>
        <v>5.5237866098210597</v>
      </c>
      <c r="M18" s="107">
        <f>(((S18/60)*$J$1)/$D$2)</f>
        <v>1.7426573426573426</v>
      </c>
      <c r="N18" s="19">
        <f>K18-M18</f>
        <v>0.68951479485978173</v>
      </c>
      <c r="O18" s="67">
        <f>N18/($D$4/$D$2)</f>
        <v>1.2070391693388109</v>
      </c>
      <c r="P18" s="67"/>
      <c r="Q18" s="30"/>
      <c r="R18" s="108">
        <v>120</v>
      </c>
      <c r="S18" s="117">
        <v>42</v>
      </c>
      <c r="T18" s="30"/>
      <c r="U18" s="14">
        <v>403.53</v>
      </c>
      <c r="V18" s="15"/>
      <c r="W18" s="110"/>
      <c r="X18" s="96">
        <f>AVERAGE(X13:X17)</f>
        <v>6.08E-2</v>
      </c>
      <c r="Y18" s="30" t="s">
        <v>107</v>
      </c>
      <c r="Z18" s="96">
        <f>AVERAGE(Z13:Z17)</f>
        <v>94.366</v>
      </c>
      <c r="AA18" s="30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5"/>
      <c r="AY18" s="95"/>
      <c r="AZ18" s="95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2"/>
      <c r="BO18" s="40"/>
    </row>
    <row r="19" spans="1:67" ht="14.1" customHeight="1" thickBot="1">
      <c r="A19" s="63"/>
      <c r="B19" s="98"/>
      <c r="C19" s="65"/>
      <c r="D19" s="99"/>
      <c r="E19" s="66"/>
      <c r="F19" s="63"/>
      <c r="G19" s="66"/>
      <c r="H19" s="66"/>
      <c r="I19" s="33"/>
      <c r="J19" s="113"/>
      <c r="K19" s="67"/>
      <c r="L19" s="67"/>
      <c r="M19" s="107"/>
      <c r="O19" s="67"/>
      <c r="P19" s="67"/>
      <c r="Q19" s="30"/>
      <c r="R19" s="108"/>
      <c r="S19" s="117"/>
      <c r="T19" s="41">
        <v>100</v>
      </c>
      <c r="U19" s="14">
        <v>453.13</v>
      </c>
      <c r="V19" s="15"/>
      <c r="W19" s="110"/>
      <c r="Y19" s="30"/>
      <c r="Z19" s="96"/>
      <c r="AA19" s="30"/>
      <c r="AB19" s="96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30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40"/>
    </row>
    <row r="20" spans="1:67" ht="14.1" customHeight="1" thickBot="1">
      <c r="A20" s="119" t="s">
        <v>112</v>
      </c>
      <c r="B20" s="120">
        <f>AVERAGE(B14:B19)</f>
        <v>105.8</v>
      </c>
      <c r="C20" s="121"/>
      <c r="D20" s="122">
        <f>AVERAGE(D14:D18)</f>
        <v>398.59199999999998</v>
      </c>
      <c r="E20" s="122">
        <f>AVERAGE(E14:E18)</f>
        <v>381.76200000000006</v>
      </c>
      <c r="F20" s="122"/>
      <c r="G20" s="122">
        <f>AVERAGE(G14:G18)</f>
        <v>2726.7350850000003</v>
      </c>
      <c r="H20" s="122">
        <f>AVERAGE(H14:H18)</f>
        <v>2587.6857941447133</v>
      </c>
      <c r="I20" s="122"/>
      <c r="J20" s="122">
        <f t="shared" ref="J20:O20" si="2">AVERAGE(J14:J18)</f>
        <v>2.9600999716260343</v>
      </c>
      <c r="K20" s="123">
        <f t="shared" si="2"/>
        <v>2.3549105513326083</v>
      </c>
      <c r="L20" s="122">
        <f t="shared" si="2"/>
        <v>5.1818418365307375</v>
      </c>
      <c r="M20" s="122">
        <f t="shared" si="2"/>
        <v>2.2073659673659671</v>
      </c>
      <c r="N20" s="123">
        <f t="shared" si="2"/>
        <v>3.1367427789484481E-2</v>
      </c>
      <c r="O20" s="122">
        <f t="shared" si="2"/>
        <v>5.4910662201257038E-2</v>
      </c>
      <c r="P20" s="124"/>
      <c r="Q20" s="30"/>
      <c r="R20" s="108"/>
      <c r="S20" s="117"/>
      <c r="T20" s="41"/>
      <c r="U20" s="14">
        <v>397.61</v>
      </c>
      <c r="V20" s="15"/>
      <c r="W20" s="110"/>
      <c r="X20" s="69">
        <v>7.5999999999999998E-2</v>
      </c>
      <c r="Y20" s="70">
        <v>210</v>
      </c>
      <c r="Z20" s="71">
        <v>329.24</v>
      </c>
      <c r="AA20" s="40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4"/>
      <c r="AY20" s="74"/>
      <c r="AZ20" s="74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40"/>
    </row>
    <row r="21" spans="1:67" ht="14.1" customHeight="1" thickBot="1">
      <c r="A21" s="70"/>
      <c r="B21" s="118"/>
      <c r="C21" s="36"/>
      <c r="D21" s="99"/>
      <c r="E21" s="33"/>
      <c r="F21" s="125" t="s">
        <v>113</v>
      </c>
      <c r="G21" s="33"/>
      <c r="H21" s="33"/>
      <c r="I21" s="126" t="s">
        <v>114</v>
      </c>
      <c r="J21" s="127">
        <f>J20-((B18-B15)*0.25*$D$2*10)/(30*$D$2)</f>
        <v>2.5434333049593678</v>
      </c>
      <c r="K21" s="74"/>
      <c r="L21" s="128" t="s">
        <v>33</v>
      </c>
      <c r="M21" s="129">
        <f>J21-M20</f>
        <v>0.33606733759340068</v>
      </c>
      <c r="N21" s="19"/>
      <c r="O21" s="74"/>
      <c r="P21" s="130">
        <f>$M$20-(((B18-B14)*1.3)/(A18-A14))</f>
        <v>1.9040326340326339</v>
      </c>
      <c r="Q21" s="30"/>
      <c r="R21" s="131"/>
      <c r="S21" s="117"/>
      <c r="T21" s="41">
        <v>110</v>
      </c>
      <c r="U21" s="14">
        <v>405.9</v>
      </c>
      <c r="V21" s="15"/>
      <c r="W21" s="110"/>
      <c r="X21" s="69">
        <v>3.1E-2</v>
      </c>
      <c r="Y21" s="70">
        <v>220</v>
      </c>
      <c r="Z21" s="71">
        <v>295.43</v>
      </c>
      <c r="AA21" s="40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4"/>
      <c r="AY21" s="74"/>
      <c r="AZ21" s="74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40"/>
    </row>
    <row r="22" spans="1:67" ht="14.1" customHeight="1" thickBot="1">
      <c r="A22" s="63"/>
      <c r="B22" s="98"/>
      <c r="C22" s="65"/>
      <c r="D22" s="99"/>
      <c r="E22" s="66"/>
      <c r="F22" s="63"/>
      <c r="G22" s="66"/>
      <c r="H22" s="66"/>
      <c r="I22" s="33"/>
      <c r="J22" s="132"/>
      <c r="K22" s="67"/>
      <c r="L22" s="133"/>
      <c r="M22" s="134"/>
      <c r="N22" s="101"/>
      <c r="O22" s="133"/>
      <c r="P22" s="133"/>
      <c r="Q22" s="30"/>
      <c r="R22" s="102" t="s">
        <v>25</v>
      </c>
      <c r="S22" s="103" t="s">
        <v>109</v>
      </c>
      <c r="T22" s="30"/>
      <c r="U22" s="14">
        <v>367.59</v>
      </c>
      <c r="V22" s="15"/>
      <c r="W22" s="110"/>
      <c r="X22" s="69">
        <v>3.1E-2</v>
      </c>
      <c r="Y22" s="70">
        <v>230</v>
      </c>
      <c r="Z22" s="71">
        <v>324.82</v>
      </c>
      <c r="AA22" s="40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4"/>
      <c r="AY22" s="74"/>
      <c r="AZ22" s="74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40"/>
    </row>
    <row r="23" spans="1:67" ht="14.1" customHeight="1">
      <c r="A23" s="63">
        <v>210</v>
      </c>
      <c r="B23" s="75">
        <v>95</v>
      </c>
      <c r="C23" s="65"/>
      <c r="D23" s="104">
        <f>AVERAGE(U31:U32)</f>
        <v>224.09</v>
      </c>
      <c r="E23" s="78">
        <f>D23-$E$5</f>
        <v>207.26</v>
      </c>
      <c r="F23" s="78"/>
      <c r="G23" s="78">
        <f t="shared" si="0"/>
        <v>1480.35455</v>
      </c>
      <c r="H23" s="78">
        <f t="shared" si="1"/>
        <v>1558.2679473684209</v>
      </c>
      <c r="I23" s="33">
        <f>$C$24*A23+$C$25</f>
        <v>1420.1647025000004</v>
      </c>
      <c r="J23" s="105" t="s">
        <v>110</v>
      </c>
      <c r="K23" s="106" t="s">
        <v>111</v>
      </c>
      <c r="L23" s="67"/>
      <c r="M23" s="19">
        <f>(((S23/60)*$J$1)/$D$2)</f>
        <v>5.8088578088578098</v>
      </c>
      <c r="N23" s="101"/>
      <c r="O23" s="133"/>
      <c r="P23" s="133"/>
      <c r="Q23" s="30"/>
      <c r="R23" s="131">
        <v>210</v>
      </c>
      <c r="S23" s="117">
        <v>140</v>
      </c>
      <c r="T23" s="13">
        <v>115</v>
      </c>
      <c r="U23" s="14">
        <v>387.33</v>
      </c>
      <c r="V23" s="15"/>
      <c r="W23" s="110"/>
      <c r="X23" s="69">
        <v>2.7E-2</v>
      </c>
      <c r="Y23" s="70">
        <v>235</v>
      </c>
      <c r="Z23" s="71">
        <v>303.94</v>
      </c>
      <c r="AA23" s="40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4"/>
      <c r="AY23" s="74"/>
      <c r="AZ23" s="74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40"/>
    </row>
    <row r="24" spans="1:67" ht="14.1" customHeight="1">
      <c r="A24" s="63">
        <v>220</v>
      </c>
      <c r="B24" s="75">
        <v>93</v>
      </c>
      <c r="C24" s="65">
        <f>SLOPE(G24:G27,A24:A27)</f>
        <v>-6.3368260000000012</v>
      </c>
      <c r="D24" s="104">
        <f>AVERAGE(U33:U34)</f>
        <v>205.05500000000001</v>
      </c>
      <c r="E24" s="66">
        <f>D24-$E$5</f>
        <v>188.22500000000002</v>
      </c>
      <c r="F24" s="111">
        <v>180</v>
      </c>
      <c r="G24" s="112">
        <f t="shared" si="0"/>
        <v>1344.3970625000002</v>
      </c>
      <c r="H24" s="112">
        <f t="shared" si="1"/>
        <v>1445.588239247312</v>
      </c>
      <c r="I24" s="33">
        <f>$C$24*A24+$C$25</f>
        <v>1356.7964425000002</v>
      </c>
      <c r="J24" s="113">
        <f>((($N$2-(130*$D$2*(((B24+B23)*0.01)/2))*((I24-I23)/(A24-A23))))/((I24+I23)/2))/$D$2</f>
        <v>4.8087941623684474</v>
      </c>
      <c r="K24" s="114">
        <f>$N$2/H24/$D$2</f>
        <v>4.0831524317556278</v>
      </c>
      <c r="L24" s="114">
        <f>J24/($D$4/$D$2)</f>
        <v>8.4180977036858291</v>
      </c>
      <c r="M24" s="107">
        <f>(((S24/60)*$J$1)/$D$2)</f>
        <v>5.8088578088578098</v>
      </c>
      <c r="N24" s="19">
        <f>K24-M24</f>
        <v>-1.725705377102182</v>
      </c>
      <c r="O24" s="74">
        <f>N24/($D$4/$D$2)</f>
        <v>-3.020956186044609</v>
      </c>
      <c r="P24" s="74"/>
      <c r="Q24" s="30"/>
      <c r="R24" s="131">
        <v>220</v>
      </c>
      <c r="S24" s="117">
        <v>140</v>
      </c>
      <c r="U24" s="14">
        <v>397.4</v>
      </c>
      <c r="V24" s="15"/>
      <c r="W24" s="110"/>
      <c r="X24" s="69">
        <v>2.9000000000000001E-2</v>
      </c>
      <c r="Y24" s="70">
        <v>240</v>
      </c>
      <c r="Z24" s="71">
        <v>343.58</v>
      </c>
      <c r="AA24" s="40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4"/>
      <c r="AY24" s="74"/>
      <c r="AZ24" s="74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40"/>
    </row>
    <row r="25" spans="1:67" ht="14.1" customHeight="1">
      <c r="A25" s="63">
        <v>230</v>
      </c>
      <c r="B25" s="75">
        <v>95</v>
      </c>
      <c r="C25" s="65">
        <f>INTERCEPT(G24:G27,A24:A27)</f>
        <v>2750.8981625000006</v>
      </c>
      <c r="D25" s="104">
        <f>AVERAGE(U35:U36)</f>
        <v>197.565</v>
      </c>
      <c r="E25" s="66">
        <f>D25-$E$5</f>
        <v>180.73500000000001</v>
      </c>
      <c r="F25" s="111">
        <v>180</v>
      </c>
      <c r="G25" s="112">
        <f t="shared" si="0"/>
        <v>1290.8997375000001</v>
      </c>
      <c r="H25" s="112">
        <f t="shared" si="1"/>
        <v>1358.8418289473684</v>
      </c>
      <c r="I25" s="33">
        <f>$C$24*A25+$C$25</f>
        <v>1293.4281825000003</v>
      </c>
      <c r="J25" s="113">
        <f>((($N$2-(130*$D$2*(((B25+B24)*0.01)/2))*((I25-I24)/(A25-A24))))/((I25+I24)/2))/$D$2</f>
        <v>5.0387557406383969</v>
      </c>
      <c r="K25" s="114">
        <f>$N$2/H25/$D$2</f>
        <v>4.3438147168110328</v>
      </c>
      <c r="L25" s="114">
        <f>J25/($D$4/$D$2)</f>
        <v>8.8206599612096106</v>
      </c>
      <c r="M25" s="107">
        <f>(((S25/60)*$J$1)/$D$2)</f>
        <v>6.389743589743591</v>
      </c>
      <c r="N25" s="19">
        <f>K25-M25</f>
        <v>-2.0459288729325582</v>
      </c>
      <c r="O25" s="114">
        <f>N25/($D$4/$D$2)</f>
        <v>-3.5815276274282124</v>
      </c>
      <c r="P25" s="74"/>
      <c r="Q25" s="30"/>
      <c r="R25" s="131">
        <v>230</v>
      </c>
      <c r="S25" s="117">
        <v>154</v>
      </c>
      <c r="T25" s="13">
        <v>120</v>
      </c>
      <c r="U25" s="14">
        <v>384.99</v>
      </c>
      <c r="V25" s="15"/>
      <c r="W25" s="110"/>
      <c r="X25" s="96">
        <f>AVERAGE(X20:X24)</f>
        <v>3.8800000000000001E-2</v>
      </c>
      <c r="Y25" s="57" t="s">
        <v>107</v>
      </c>
      <c r="Z25" s="96">
        <f>AVERAGE(Z20:Z24)</f>
        <v>319.40199999999999</v>
      </c>
      <c r="AA25" s="30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5"/>
      <c r="AY25" s="95"/>
      <c r="AZ25" s="95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40"/>
    </row>
    <row r="26" spans="1:67" ht="14.1" customHeight="1">
      <c r="A26" s="63">
        <v>235</v>
      </c>
      <c r="B26" s="75">
        <v>96</v>
      </c>
      <c r="C26" s="65"/>
      <c r="D26" s="104">
        <f>AVERAGE(U37:U38)</f>
        <v>201.13499999999999</v>
      </c>
      <c r="E26" s="66">
        <f>D26-$E$5</f>
        <v>184.30500000000001</v>
      </c>
      <c r="F26" s="111">
        <v>180</v>
      </c>
      <c r="G26" s="112">
        <f t="shared" si="0"/>
        <v>1316.3984625000001</v>
      </c>
      <c r="H26" s="112">
        <f t="shared" si="1"/>
        <v>1371.2483984375001</v>
      </c>
      <c r="I26" s="33">
        <f>$C$24*A26+$C$25</f>
        <v>1261.7440525000004</v>
      </c>
      <c r="J26" s="113">
        <f>((($N$2-(130*$D$2*(((B26+B25)*0.01)/2))*((I26-I25)/(A26-A25))))/((I26+I25)/2))/$D$2</f>
        <v>5.2358694186421397</v>
      </c>
      <c r="K26" s="114">
        <f>$N$2/H26/$D$2</f>
        <v>4.304513420854895</v>
      </c>
      <c r="L26" s="114">
        <f>J26/($D$4/$D$2)</f>
        <v>9.1657198960168689</v>
      </c>
      <c r="M26" s="107">
        <f>(((S26/60)*$J$1)/$D$2)</f>
        <v>6.389743589743591</v>
      </c>
      <c r="N26" s="19">
        <f>K26-M26</f>
        <v>-2.0852301688886961</v>
      </c>
      <c r="O26" s="114">
        <f>N26/($D$4/$D$2)</f>
        <v>-3.6503270266267203</v>
      </c>
      <c r="P26" s="74"/>
      <c r="Q26" s="30"/>
      <c r="R26" s="131">
        <v>235</v>
      </c>
      <c r="S26" s="117">
        <v>154</v>
      </c>
      <c r="U26" s="14">
        <v>369</v>
      </c>
      <c r="V26" s="15"/>
      <c r="W26" s="11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</row>
    <row r="27" spans="1:67" ht="14.1" customHeight="1">
      <c r="A27" s="63">
        <v>240</v>
      </c>
      <c r="B27" s="118">
        <v>98</v>
      </c>
      <c r="C27" s="65"/>
      <c r="D27" s="104">
        <f>AVERAGE(U39:U40)</f>
        <v>183.48500000000001</v>
      </c>
      <c r="E27" s="66">
        <f>D27-$E$5</f>
        <v>166.65500000000003</v>
      </c>
      <c r="F27" s="111">
        <v>180</v>
      </c>
      <c r="G27" s="112">
        <f t="shared" si="0"/>
        <v>1190.3333375000002</v>
      </c>
      <c r="H27" s="112">
        <f t="shared" si="1"/>
        <v>1214.625854591837</v>
      </c>
      <c r="I27" s="33">
        <f>$C$24*A27+$C$25</f>
        <v>1230.0599225000003</v>
      </c>
      <c r="J27" s="113">
        <f>((($N$2-(130*$D$2*(((B27+B26)*0.01)/2))*((I27-I26)/(A27-A26))))/((I27+I26)/2))/$D$2</f>
        <v>5.3789390820760685</v>
      </c>
      <c r="K27" s="114">
        <f>$N$2/H27/$D$2</f>
        <v>4.8595681642092945</v>
      </c>
      <c r="L27" s="114">
        <f>J27/($D$4/$D$2)</f>
        <v>9.4161723721584298</v>
      </c>
      <c r="M27" s="107">
        <f>(((S27/60)*$J$1)/$D$2)</f>
        <v>6.389743589743591</v>
      </c>
      <c r="N27" s="19">
        <f>K27-M27</f>
        <v>-1.5301754255342965</v>
      </c>
      <c r="O27" s="114">
        <f>N27/($D$4/$D$2)</f>
        <v>-2.6786686643252913</v>
      </c>
      <c r="P27" s="74"/>
      <c r="Q27" s="30"/>
      <c r="R27" s="131">
        <v>240</v>
      </c>
      <c r="S27" s="117">
        <v>154</v>
      </c>
      <c r="T27" s="13">
        <v>150</v>
      </c>
      <c r="U27" s="14">
        <v>361.12</v>
      </c>
      <c r="V27" s="15"/>
      <c r="W27" s="11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</row>
    <row r="28" spans="1:67" ht="14.1" customHeight="1" thickBot="1">
      <c r="A28" s="63"/>
      <c r="B28" s="118"/>
      <c r="C28" s="65"/>
      <c r="D28" s="99"/>
      <c r="E28" s="66"/>
      <c r="F28" s="135"/>
      <c r="G28" s="112"/>
      <c r="H28" s="112"/>
      <c r="I28" s="33"/>
      <c r="J28" s="113"/>
      <c r="K28" s="114"/>
      <c r="L28" s="114"/>
      <c r="M28" s="107"/>
      <c r="N28" s="107"/>
      <c r="O28" s="114"/>
      <c r="P28" s="74"/>
      <c r="Q28" s="30"/>
      <c r="R28" s="108"/>
      <c r="S28" s="117"/>
      <c r="U28" s="14">
        <v>342.02</v>
      </c>
      <c r="V28" s="15"/>
      <c r="W28" s="110"/>
      <c r="X28" s="69"/>
      <c r="Y28" s="13" t="s">
        <v>115</v>
      </c>
    </row>
    <row r="29" spans="1:67" ht="14.1" customHeight="1" thickBot="1">
      <c r="A29" s="119" t="s">
        <v>112</v>
      </c>
      <c r="B29" s="122">
        <f>AVERAGE(B23:B28)</f>
        <v>95.4</v>
      </c>
      <c r="C29" s="121"/>
      <c r="D29" s="122">
        <f>AVERAGE(D23:D28)</f>
        <v>202.26600000000002</v>
      </c>
      <c r="E29" s="122">
        <f>AVERAGE(E23:E28)</f>
        <v>185.43600000000001</v>
      </c>
      <c r="F29" s="122">
        <f>AVERAGE(F24:F28)</f>
        <v>180</v>
      </c>
      <c r="G29" s="122">
        <f>AVERAGE(G23:G28)</f>
        <v>1324.4766300000001</v>
      </c>
      <c r="H29" s="122">
        <f>AVERAGE(H23:H28)</f>
        <v>1389.7144537184877</v>
      </c>
      <c r="I29" s="122"/>
      <c r="J29" s="122">
        <f t="shared" ref="J29:O29" si="3">AVERAGE(J23:J28)</f>
        <v>5.1155896009312629</v>
      </c>
      <c r="K29" s="123">
        <f t="shared" si="3"/>
        <v>4.3977621834077123</v>
      </c>
      <c r="L29" s="122">
        <f t="shared" si="3"/>
        <v>8.9551624832676833</v>
      </c>
      <c r="M29" s="122">
        <f t="shared" si="3"/>
        <v>6.1573892773892789</v>
      </c>
      <c r="N29" s="123">
        <f t="shared" si="3"/>
        <v>-1.8467599611144332</v>
      </c>
      <c r="O29" s="122">
        <f t="shared" si="3"/>
        <v>-3.2328698761062085</v>
      </c>
      <c r="P29" s="122"/>
      <c r="Q29" s="136"/>
      <c r="R29" s="137"/>
      <c r="S29" s="138"/>
      <c r="T29" s="13">
        <v>180</v>
      </c>
      <c r="U29" s="14">
        <v>237.43</v>
      </c>
      <c r="V29" s="15"/>
      <c r="W29" s="110"/>
      <c r="X29" s="69"/>
      <c r="Y29" s="13" t="s">
        <v>116</v>
      </c>
    </row>
    <row r="30" spans="1:67" ht="14.1" customHeight="1">
      <c r="A30" s="70"/>
      <c r="B30" s="139"/>
      <c r="C30" s="36"/>
      <c r="D30" s="99"/>
      <c r="E30" s="33"/>
      <c r="F30" s="125" t="s">
        <v>117</v>
      </c>
      <c r="G30" s="33"/>
      <c r="H30" s="33"/>
      <c r="I30" s="140" t="s">
        <v>114</v>
      </c>
      <c r="J30" s="141">
        <f>J29-((B27-B24)*0.25*$D$2*10)/(20*$D$2)</f>
        <v>4.4905896009312629</v>
      </c>
      <c r="K30" s="74"/>
      <c r="L30" s="142" t="s">
        <v>33</v>
      </c>
      <c r="M30" s="143">
        <f>J30-M29</f>
        <v>-1.666799676458016</v>
      </c>
      <c r="N30" s="19">
        <f>AVERAGE(J24:J25)-M29</f>
        <v>-1.2336143258858572</v>
      </c>
      <c r="O30" s="74"/>
      <c r="P30" s="130">
        <f>$M$29-(((B27-B23)*1.3)/(A27-A23))</f>
        <v>6.027389277389279</v>
      </c>
      <c r="Q30" s="30"/>
      <c r="R30" s="63"/>
      <c r="S30" s="144"/>
      <c r="U30" s="14">
        <v>250.77</v>
      </c>
      <c r="V30" s="15"/>
      <c r="W30" s="110"/>
      <c r="X30" s="69"/>
      <c r="Y30" s="13" t="s">
        <v>118</v>
      </c>
    </row>
    <row r="31" spans="1:67" ht="14.1" customHeight="1">
      <c r="A31" s="145"/>
      <c r="B31" s="139"/>
      <c r="C31" s="146"/>
      <c r="D31" s="147"/>
      <c r="E31" s="148"/>
      <c r="F31" s="145"/>
      <c r="G31" s="148"/>
      <c r="H31" s="148"/>
      <c r="I31" s="148"/>
      <c r="J31" s="149"/>
      <c r="K31" s="150"/>
      <c r="L31" s="133"/>
      <c r="M31" s="134"/>
      <c r="N31" s="101"/>
      <c r="O31" s="150"/>
      <c r="P31" s="150"/>
      <c r="Q31" s="96"/>
      <c r="R31" s="151"/>
      <c r="S31" s="101" t="s">
        <v>32</v>
      </c>
      <c r="T31" s="13">
        <v>210</v>
      </c>
      <c r="U31" s="14">
        <v>226.61</v>
      </c>
      <c r="V31" s="15"/>
      <c r="W31" s="110"/>
      <c r="X31" s="69"/>
      <c r="Y31" s="13" t="s">
        <v>119</v>
      </c>
    </row>
    <row r="32" spans="1:67" ht="14.1" customHeight="1">
      <c r="A32" s="145"/>
      <c r="B32" s="148"/>
      <c r="C32" s="146"/>
      <c r="D32" s="147"/>
      <c r="E32" s="148"/>
      <c r="F32" s="148"/>
      <c r="G32" s="148"/>
      <c r="H32" s="148"/>
      <c r="I32" s="148"/>
      <c r="J32" s="152"/>
      <c r="K32" s="153"/>
      <c r="L32" s="58"/>
      <c r="M32" s="124"/>
      <c r="N32" s="101"/>
      <c r="O32" s="150"/>
      <c r="P32" s="150"/>
      <c r="Q32" s="96"/>
      <c r="R32" s="145"/>
      <c r="S32" s="58"/>
      <c r="U32" s="14">
        <v>221.57</v>
      </c>
      <c r="V32" s="15"/>
      <c r="W32" s="110"/>
      <c r="X32" s="69"/>
      <c r="Y32" s="13" t="s">
        <v>120</v>
      </c>
    </row>
    <row r="33" spans="1:99" ht="14.1" customHeight="1">
      <c r="A33" s="145"/>
      <c r="B33" s="148"/>
      <c r="C33" s="146"/>
      <c r="D33" s="147"/>
      <c r="E33" s="148"/>
      <c r="F33" s="145"/>
      <c r="G33" s="148"/>
      <c r="H33" s="148"/>
      <c r="I33" s="148"/>
      <c r="J33" s="149"/>
      <c r="K33" s="150"/>
      <c r="L33" s="150"/>
      <c r="M33" s="124"/>
      <c r="N33" s="124"/>
      <c r="O33" s="150"/>
      <c r="P33" s="150"/>
      <c r="Q33" s="96"/>
      <c r="R33" s="145"/>
      <c r="S33" s="58"/>
      <c r="T33" s="13">
        <v>220</v>
      </c>
      <c r="U33" s="14">
        <v>200.65</v>
      </c>
      <c r="V33" s="15"/>
      <c r="W33" s="110"/>
      <c r="X33" s="69"/>
      <c r="Y33" s="20" t="s">
        <v>121</v>
      </c>
    </row>
    <row r="34" spans="1:99" ht="14.1" customHeight="1">
      <c r="A34" s="145"/>
      <c r="B34" s="148"/>
      <c r="C34" s="146"/>
      <c r="D34" s="147"/>
      <c r="E34" s="148"/>
      <c r="F34" s="145"/>
      <c r="G34" s="148"/>
      <c r="H34" s="148"/>
      <c r="I34" s="148"/>
      <c r="J34" s="149"/>
      <c r="K34" s="150"/>
      <c r="L34" s="150"/>
      <c r="M34" s="124"/>
      <c r="N34" s="124"/>
      <c r="O34" s="150"/>
      <c r="P34" s="150"/>
      <c r="Q34" s="96"/>
      <c r="R34" s="145"/>
      <c r="S34" s="58"/>
      <c r="U34" s="14">
        <v>209.46</v>
      </c>
      <c r="V34" s="15"/>
      <c r="W34" s="110"/>
    </row>
    <row r="35" spans="1:99" ht="14.1" customHeight="1">
      <c r="A35" s="145"/>
      <c r="B35" s="148"/>
      <c r="C35" s="146"/>
      <c r="D35" s="147"/>
      <c r="E35" s="148"/>
      <c r="F35" s="145"/>
      <c r="G35" s="148"/>
      <c r="H35" s="148"/>
      <c r="I35" s="148"/>
      <c r="J35" s="149"/>
      <c r="K35" s="150"/>
      <c r="L35" s="150"/>
      <c r="M35" s="124"/>
      <c r="N35" s="124"/>
      <c r="O35" s="150"/>
      <c r="P35" s="150"/>
      <c r="Q35" s="96"/>
      <c r="R35" s="145"/>
      <c r="S35" s="58"/>
      <c r="T35" s="13">
        <v>230</v>
      </c>
      <c r="U35" s="14">
        <v>203.98</v>
      </c>
      <c r="V35" s="15"/>
      <c r="W35" s="110"/>
    </row>
    <row r="36" spans="1:99" ht="14.1" customHeight="1">
      <c r="A36" s="145"/>
      <c r="B36" s="139"/>
      <c r="C36" s="146"/>
      <c r="D36" s="147"/>
      <c r="E36" s="148"/>
      <c r="F36" s="145"/>
      <c r="G36" s="148"/>
      <c r="H36" s="148"/>
      <c r="I36" s="148"/>
      <c r="J36" s="149"/>
      <c r="K36" s="150"/>
      <c r="L36" s="150"/>
      <c r="M36" s="124"/>
      <c r="N36" s="124"/>
      <c r="O36" s="150"/>
      <c r="P36" s="150"/>
      <c r="Q36" s="96"/>
      <c r="R36" s="145"/>
      <c r="S36" s="58"/>
      <c r="U36" s="14">
        <v>191.15</v>
      </c>
      <c r="V36" s="15"/>
      <c r="W36" s="110"/>
      <c r="X36"/>
    </row>
    <row r="37" spans="1:99" ht="14.1" customHeight="1">
      <c r="A37" s="145"/>
      <c r="B37" s="139"/>
      <c r="C37" s="146"/>
      <c r="D37" s="147"/>
      <c r="E37" s="148"/>
      <c r="F37" s="145"/>
      <c r="G37" s="148"/>
      <c r="H37" s="148"/>
      <c r="I37" s="148"/>
      <c r="J37" s="149"/>
      <c r="K37" s="150"/>
      <c r="L37" s="150"/>
      <c r="M37" s="124"/>
      <c r="N37" s="124"/>
      <c r="O37" s="150"/>
      <c r="P37" s="150"/>
      <c r="Q37" s="96"/>
      <c r="R37" s="96"/>
      <c r="S37" s="58"/>
      <c r="T37" s="13">
        <v>235</v>
      </c>
      <c r="U37" s="14">
        <v>209.98</v>
      </c>
      <c r="V37" s="15"/>
      <c r="W37" s="15"/>
      <c r="X37" s="6"/>
    </row>
    <row r="38" spans="1:99" s="156" customFormat="1" ht="14.1" customHeight="1">
      <c r="A38" s="154"/>
      <c r="B38" s="139"/>
      <c r="C38" s="155"/>
      <c r="D38" s="139"/>
      <c r="E38" s="139"/>
      <c r="F38" s="139"/>
      <c r="G38" s="139"/>
      <c r="H38" s="139"/>
      <c r="I38" s="139"/>
      <c r="J38" s="124"/>
      <c r="K38" s="124"/>
      <c r="L38" s="124"/>
      <c r="M38" s="124"/>
      <c r="N38" s="124"/>
      <c r="O38" s="124"/>
      <c r="P38" s="124"/>
      <c r="Q38" s="155"/>
      <c r="R38" s="145"/>
      <c r="S38" s="58"/>
      <c r="T38" s="13"/>
      <c r="U38" s="14">
        <v>192.29</v>
      </c>
      <c r="V38" s="15"/>
      <c r="W38" s="15"/>
      <c r="X38" s="6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</row>
    <row r="39" spans="1:99" s="3" customFormat="1" ht="14.1" customHeight="1">
      <c r="A39" s="157"/>
      <c r="B39" s="158"/>
      <c r="C39" s="159"/>
      <c r="D39" s="160"/>
      <c r="E39" s="160"/>
      <c r="F39" s="161"/>
      <c r="G39" s="160"/>
      <c r="H39" s="148"/>
      <c r="I39" s="162"/>
      <c r="J39" s="163"/>
      <c r="K39" s="150"/>
      <c r="L39" s="155"/>
      <c r="M39" s="134"/>
      <c r="N39" s="155"/>
      <c r="O39" s="155"/>
      <c r="P39" s="155"/>
      <c r="Q39" s="58"/>
      <c r="R39" s="58"/>
      <c r="S39" s="58"/>
      <c r="T39" s="13">
        <v>240</v>
      </c>
      <c r="U39" s="14">
        <v>180.19</v>
      </c>
      <c r="V39" s="15"/>
      <c r="W39" s="15"/>
      <c r="X39" s="6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</row>
    <row r="40" spans="1:99" ht="14.1" customHeight="1">
      <c r="A40" s="164"/>
      <c r="B40" s="165"/>
      <c r="C40" s="164"/>
      <c r="D40" s="148"/>
      <c r="E40" s="164"/>
      <c r="F40" s="164"/>
      <c r="G40" s="96"/>
      <c r="H40" s="101"/>
      <c r="I40" s="58"/>
      <c r="J40" s="155"/>
      <c r="K40" s="166"/>
      <c r="L40" s="167"/>
      <c r="M40" s="168"/>
      <c r="N40" s="134"/>
      <c r="O40" s="169"/>
      <c r="P40" s="169"/>
      <c r="Q40" s="58"/>
      <c r="R40" s="58"/>
      <c r="S40" s="58"/>
      <c r="U40" s="14">
        <v>186.78</v>
      </c>
      <c r="V40" s="15"/>
      <c r="W40" s="15"/>
    </row>
    <row r="41" spans="1:99" ht="14.1" customHeight="1">
      <c r="A41" s="164"/>
      <c r="B41" s="170"/>
      <c r="C41" s="164"/>
      <c r="D41" s="171"/>
      <c r="E41" s="164"/>
      <c r="F41" s="164"/>
      <c r="G41" s="124"/>
      <c r="H41" s="58"/>
      <c r="I41" s="58"/>
      <c r="J41" s="170"/>
      <c r="K41" s="170"/>
      <c r="L41" s="96"/>
      <c r="M41" s="172"/>
      <c r="N41" s="160"/>
      <c r="O41" s="58"/>
      <c r="P41" s="58"/>
      <c r="Q41" s="58"/>
      <c r="R41" s="58"/>
      <c r="S41" s="58"/>
      <c r="U41" s="173"/>
      <c r="V41" s="174"/>
      <c r="W41" s="175"/>
    </row>
    <row r="42" spans="1:99" ht="14.1" customHeight="1">
      <c r="A42" s="3"/>
      <c r="B42" s="3"/>
      <c r="C42" s="3"/>
      <c r="D42" s="33"/>
      <c r="E42" s="3"/>
      <c r="F42" s="3"/>
      <c r="G42" s="19"/>
      <c r="H42" s="40"/>
      <c r="I42" s="40"/>
      <c r="J42" s="30"/>
      <c r="K42" s="30"/>
      <c r="L42" s="30"/>
      <c r="M42" s="30"/>
      <c r="N42" s="33"/>
      <c r="O42" s="33"/>
      <c r="P42" s="33"/>
      <c r="Q42" s="40"/>
      <c r="R42" s="40"/>
      <c r="U42" s="173"/>
      <c r="V42" s="174"/>
      <c r="W42" s="175"/>
    </row>
    <row r="43" spans="1:99" ht="14.1" customHeight="1">
      <c r="A43" s="30"/>
      <c r="B43" s="176"/>
      <c r="C43" s="3"/>
      <c r="D43" s="33"/>
      <c r="E43" s="177"/>
      <c r="F43" s="177"/>
      <c r="G43" s="33"/>
      <c r="H43" s="174"/>
      <c r="I43" s="40"/>
      <c r="J43" s="30"/>
      <c r="K43" s="30"/>
      <c r="L43" s="30"/>
      <c r="M43" s="33"/>
      <c r="N43" s="178"/>
      <c r="O43" s="33"/>
      <c r="P43" s="33"/>
      <c r="Q43" s="40"/>
      <c r="R43" s="40"/>
      <c r="U43" s="173"/>
      <c r="V43" s="174"/>
      <c r="W43" s="175"/>
    </row>
    <row r="44" spans="1:99" ht="14.1" customHeight="1">
      <c r="A44" s="3"/>
      <c r="B44" s="30"/>
      <c r="C44" s="3"/>
      <c r="D44" s="41"/>
      <c r="E44" s="42"/>
      <c r="F44" s="42"/>
      <c r="G44" s="19"/>
      <c r="H44" s="19"/>
      <c r="I44" s="30"/>
      <c r="J44" s="179"/>
      <c r="K44" s="179"/>
      <c r="L44" s="180"/>
      <c r="M44" s="39"/>
      <c r="N44" s="179"/>
      <c r="O44" s="180"/>
      <c r="P44" s="180"/>
      <c r="Q44" s="46"/>
      <c r="R44" s="46"/>
      <c r="U44" s="173"/>
      <c r="V44" s="174"/>
      <c r="W44" s="175"/>
    </row>
    <row r="45" spans="1:99" s="1" customFormat="1" ht="14.1" customHeight="1">
      <c r="A45" s="3"/>
      <c r="B45" s="181"/>
      <c r="C45" s="181"/>
      <c r="D45" s="25"/>
      <c r="E45" s="181"/>
      <c r="F45" s="181"/>
      <c r="G45" s="181"/>
      <c r="H45" s="95"/>
      <c r="I45" s="95"/>
      <c r="J45" s="182"/>
      <c r="K45" s="182"/>
      <c r="L45" s="182"/>
      <c r="M45" s="182"/>
      <c r="N45" s="182"/>
      <c r="O45" s="54"/>
      <c r="P45" s="54"/>
      <c r="Q45" s="55"/>
      <c r="R45" s="55"/>
      <c r="S45" s="13"/>
      <c r="T45" s="13"/>
      <c r="U45" s="173"/>
      <c r="V45" s="40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</row>
    <row r="46" spans="1:99" ht="14.1" customHeight="1">
      <c r="A46" s="70"/>
      <c r="B46" s="33"/>
      <c r="C46" s="36"/>
      <c r="D46" s="33"/>
      <c r="E46" s="33"/>
      <c r="F46" s="33"/>
      <c r="G46" s="33"/>
      <c r="H46" s="33"/>
      <c r="I46" s="33"/>
      <c r="J46" s="74"/>
      <c r="K46" s="74"/>
      <c r="L46" s="74"/>
      <c r="M46" s="30"/>
      <c r="N46" s="19"/>
      <c r="O46" s="74"/>
      <c r="P46" s="74"/>
      <c r="Q46" s="30"/>
      <c r="R46" s="30"/>
      <c r="U46" s="173"/>
    </row>
    <row r="47" spans="1:99" ht="14.1" customHeight="1">
      <c r="A47" s="70"/>
      <c r="B47" s="33"/>
      <c r="C47" s="36"/>
      <c r="D47" s="33"/>
      <c r="E47" s="33"/>
      <c r="F47" s="33"/>
      <c r="G47" s="33"/>
      <c r="H47" s="33"/>
      <c r="I47" s="33"/>
      <c r="J47" s="74"/>
      <c r="K47" s="74"/>
      <c r="L47" s="74"/>
      <c r="M47" s="30"/>
      <c r="N47" s="19"/>
      <c r="O47" s="74"/>
      <c r="P47" s="74"/>
      <c r="Q47" s="30"/>
      <c r="R47" s="30"/>
      <c r="T47" s="40"/>
      <c r="U47" s="173"/>
    </row>
    <row r="48" spans="1:99" s="80" customFormat="1" ht="14.1" customHeight="1">
      <c r="A48" s="183"/>
      <c r="B48" s="25"/>
      <c r="C48" s="184"/>
      <c r="D48" s="25"/>
      <c r="E48" s="25"/>
      <c r="F48" s="25"/>
      <c r="G48" s="25"/>
      <c r="H48" s="25"/>
      <c r="I48" s="25"/>
      <c r="J48" s="95"/>
      <c r="K48" s="95"/>
      <c r="L48" s="95"/>
      <c r="M48" s="95"/>
      <c r="N48" s="95"/>
      <c r="O48" s="95"/>
      <c r="P48" s="95"/>
      <c r="Q48" s="95"/>
      <c r="R48" s="95"/>
      <c r="S48" s="13"/>
      <c r="T48" s="40"/>
      <c r="U48" s="17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</row>
    <row r="49" spans="1:99" ht="14.1" customHeight="1">
      <c r="A49" s="30"/>
      <c r="B49" s="176"/>
      <c r="C49" s="185"/>
      <c r="D49" s="33"/>
      <c r="E49" s="40"/>
      <c r="F49" s="40"/>
      <c r="G49" s="40"/>
      <c r="H49" s="40"/>
      <c r="I49" s="40"/>
      <c r="J49" s="40"/>
      <c r="K49" s="40"/>
      <c r="L49" s="40"/>
      <c r="M49" s="30"/>
      <c r="N49" s="40"/>
      <c r="O49" s="40"/>
      <c r="P49" s="40"/>
      <c r="Q49" s="30"/>
      <c r="R49" s="30"/>
      <c r="T49" s="40"/>
      <c r="U49" s="173"/>
    </row>
    <row r="50" spans="1:99" ht="14.1" customHeight="1">
      <c r="A50" s="30"/>
      <c r="B50" s="176"/>
      <c r="C50" s="185"/>
      <c r="D50" s="33"/>
      <c r="E50" s="40"/>
      <c r="F50" s="40"/>
      <c r="G50" s="40"/>
      <c r="H50" s="40"/>
      <c r="I50" s="40"/>
      <c r="J50" s="40"/>
      <c r="K50" s="40"/>
      <c r="L50" s="40"/>
      <c r="M50" s="30"/>
      <c r="N50" s="40"/>
      <c r="O50" s="40"/>
      <c r="P50" s="40"/>
      <c r="Q50" s="30"/>
      <c r="R50" s="30"/>
      <c r="T50" s="40"/>
      <c r="U50" s="173"/>
    </row>
    <row r="51" spans="1:99" ht="14.1" customHeight="1">
      <c r="A51" s="30"/>
      <c r="B51" s="176"/>
      <c r="C51" s="185"/>
      <c r="D51" s="33"/>
      <c r="E51" s="40"/>
      <c r="F51" s="40"/>
      <c r="G51" s="40"/>
      <c r="H51" s="40"/>
      <c r="I51" s="40"/>
      <c r="J51" s="40"/>
      <c r="K51" s="40"/>
      <c r="L51" s="40"/>
      <c r="M51" s="19"/>
      <c r="N51" s="40"/>
      <c r="O51" s="40"/>
      <c r="P51" s="40"/>
      <c r="Q51" s="30"/>
      <c r="R51" s="30"/>
      <c r="T51" s="40"/>
      <c r="U51" s="173"/>
    </row>
    <row r="52" spans="1:99" ht="14.1" customHeight="1">
      <c r="A52" s="30"/>
      <c r="B52" s="176"/>
      <c r="C52" s="185"/>
      <c r="D52" s="33"/>
      <c r="E52" s="40"/>
      <c r="F52" s="40"/>
      <c r="G52" s="40"/>
      <c r="H52" s="40"/>
      <c r="I52" s="40"/>
      <c r="J52" s="40"/>
      <c r="K52" s="40"/>
      <c r="L52" s="40"/>
      <c r="M52" s="19"/>
      <c r="N52" s="40"/>
      <c r="O52" s="40"/>
      <c r="P52" s="40"/>
      <c r="Q52" s="30"/>
      <c r="R52" s="30"/>
      <c r="U52" s="173"/>
    </row>
    <row r="53" spans="1:99" ht="14.1" customHeight="1">
      <c r="A53" s="30"/>
      <c r="B53" s="176"/>
      <c r="C53" s="186"/>
      <c r="D53" s="33"/>
      <c r="E53" s="33"/>
      <c r="F53" s="33"/>
      <c r="G53" s="33"/>
      <c r="H53" s="33"/>
      <c r="I53" s="33"/>
      <c r="J53" s="187"/>
      <c r="K53" s="188"/>
      <c r="L53" s="40"/>
      <c r="M53" s="19"/>
      <c r="N53" s="40"/>
      <c r="O53" s="40"/>
      <c r="P53" s="40"/>
      <c r="Q53" s="30"/>
      <c r="R53" s="30"/>
      <c r="U53" s="173"/>
    </row>
    <row r="54" spans="1:99" ht="14.1" customHeight="1">
      <c r="A54" s="70"/>
      <c r="B54" s="189"/>
      <c r="C54" s="36"/>
      <c r="D54" s="33"/>
      <c r="E54" s="33"/>
      <c r="F54" s="33"/>
      <c r="G54" s="33"/>
      <c r="H54" s="33"/>
      <c r="I54" s="33"/>
      <c r="J54" s="132"/>
      <c r="K54" s="74"/>
      <c r="L54" s="74"/>
      <c r="M54" s="19"/>
      <c r="N54" s="19"/>
      <c r="O54" s="74"/>
      <c r="P54" s="74"/>
      <c r="Q54" s="30"/>
      <c r="R54" s="30"/>
      <c r="U54" s="173"/>
    </row>
    <row r="55" spans="1:99" ht="14.1" customHeight="1">
      <c r="A55" s="70"/>
      <c r="B55" s="189"/>
      <c r="C55" s="36"/>
      <c r="D55" s="33"/>
      <c r="E55" s="33"/>
      <c r="F55" s="33"/>
      <c r="G55" s="33"/>
      <c r="H55" s="33"/>
      <c r="I55" s="33"/>
      <c r="J55" s="132"/>
      <c r="K55" s="74"/>
      <c r="L55" s="74"/>
      <c r="M55" s="19"/>
      <c r="N55" s="19"/>
      <c r="O55" s="74"/>
      <c r="P55" s="74"/>
      <c r="Q55" s="30"/>
      <c r="R55" s="30"/>
      <c r="U55" s="173"/>
    </row>
    <row r="56" spans="1:99" s="30" customFormat="1" ht="14.1" customHeight="1">
      <c r="A56" s="70"/>
      <c r="B56" s="189"/>
      <c r="C56" s="36"/>
      <c r="D56" s="33"/>
      <c r="E56" s="33"/>
      <c r="F56" s="33"/>
      <c r="G56" s="33"/>
      <c r="H56" s="33"/>
      <c r="I56" s="33"/>
      <c r="J56" s="132"/>
      <c r="K56" s="74"/>
      <c r="L56" s="74"/>
      <c r="M56" s="19"/>
      <c r="N56" s="19"/>
      <c r="O56" s="74"/>
      <c r="P56" s="74"/>
      <c r="S56" s="13"/>
      <c r="T56" s="13"/>
      <c r="U56" s="17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</row>
    <row r="57" spans="1:99" ht="14.1" customHeight="1">
      <c r="A57" s="70"/>
      <c r="B57" s="189"/>
      <c r="C57" s="36"/>
      <c r="D57" s="33"/>
      <c r="E57" s="33"/>
      <c r="F57" s="33"/>
      <c r="G57" s="33"/>
      <c r="H57" s="33"/>
      <c r="I57" s="33"/>
      <c r="J57" s="132"/>
      <c r="K57" s="74"/>
      <c r="L57" s="74"/>
      <c r="M57" s="19"/>
      <c r="N57" s="19"/>
      <c r="O57" s="74"/>
      <c r="P57" s="74"/>
      <c r="Q57" s="30"/>
      <c r="R57" s="30"/>
      <c r="U57" s="173"/>
    </row>
    <row r="58" spans="1:99" ht="14.1" customHeight="1">
      <c r="A58" s="183"/>
      <c r="B58" s="25"/>
      <c r="C58" s="184"/>
      <c r="D58" s="25"/>
      <c r="E58" s="25"/>
      <c r="F58" s="25"/>
      <c r="G58" s="25"/>
      <c r="H58" s="25"/>
      <c r="I58" s="25"/>
      <c r="J58" s="95"/>
      <c r="K58" s="95"/>
      <c r="L58" s="95"/>
      <c r="M58" s="95"/>
      <c r="N58" s="95"/>
      <c r="O58" s="95"/>
      <c r="P58" s="95"/>
      <c r="Q58" s="95"/>
      <c r="R58" s="95"/>
      <c r="U58" s="173"/>
    </row>
    <row r="59" spans="1:99" s="115" customFormat="1" ht="14.1" customHeight="1">
      <c r="A59" s="40"/>
      <c r="B59" s="40"/>
      <c r="C59" s="40"/>
      <c r="D59" s="19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13"/>
      <c r="T59" s="13"/>
      <c r="U59" s="17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</row>
    <row r="60" spans="1:99" s="30" customFormat="1" ht="14.1" customHeight="1">
      <c r="A60" s="191"/>
      <c r="B60" s="40"/>
      <c r="C60" s="40"/>
      <c r="D60" s="19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13"/>
      <c r="T60" s="13"/>
      <c r="U60" s="17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</row>
    <row r="61" spans="1:99" ht="14.1" customHeight="1">
      <c r="A61" s="40"/>
      <c r="B61" s="40"/>
      <c r="C61" s="40"/>
      <c r="D61" s="19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U61" s="173"/>
    </row>
    <row r="62" spans="1:99" ht="14.1" customHeight="1">
      <c r="A62" s="40"/>
      <c r="B62" s="40"/>
      <c r="C62" s="40"/>
      <c r="D62" s="19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U62" s="173"/>
    </row>
    <row r="63" spans="1:99" ht="14.1" customHeight="1">
      <c r="A63" s="40"/>
      <c r="B63" s="40"/>
      <c r="C63" s="40"/>
      <c r="D63" s="19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U63" s="173"/>
    </row>
    <row r="64" spans="1:99" s="156" customFormat="1" ht="14.1" customHeight="1">
      <c r="A64" s="30"/>
      <c r="B64" s="189"/>
      <c r="C64" s="36"/>
      <c r="D64" s="33"/>
      <c r="E64" s="189"/>
      <c r="F64" s="189"/>
      <c r="G64" s="19"/>
      <c r="H64" s="30"/>
      <c r="I64" s="30"/>
      <c r="J64" s="30"/>
      <c r="K64" s="30"/>
      <c r="L64" s="30"/>
      <c r="M64" s="30"/>
      <c r="N64" s="19"/>
      <c r="O64" s="30"/>
      <c r="P64" s="30"/>
      <c r="Q64" s="40"/>
      <c r="R64" s="40"/>
      <c r="S64" s="13"/>
      <c r="T64" s="13"/>
      <c r="U64" s="17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</row>
    <row r="65" spans="1:21" s="13" customFormat="1" ht="14.1" customHeight="1">
      <c r="A65" s="30"/>
      <c r="B65" s="189"/>
      <c r="C65" s="36"/>
      <c r="D65" s="33"/>
      <c r="E65" s="189"/>
      <c r="F65" s="189"/>
      <c r="G65" s="19"/>
      <c r="H65" s="30"/>
      <c r="I65" s="30"/>
      <c r="J65" s="30"/>
      <c r="K65" s="30"/>
      <c r="L65" s="30"/>
      <c r="M65" s="30"/>
      <c r="N65" s="19"/>
      <c r="O65" s="30"/>
      <c r="P65" s="30"/>
      <c r="Q65" s="40"/>
      <c r="R65" s="40"/>
      <c r="U65" s="173"/>
    </row>
    <row r="66" spans="1:21" s="13" customFormat="1" ht="14.1" customHeight="1">
      <c r="A66" s="12"/>
      <c r="B66" s="192"/>
      <c r="C66" s="65"/>
      <c r="D66" s="66"/>
      <c r="E66" s="192"/>
      <c r="F66" s="192"/>
      <c r="G66" s="68"/>
      <c r="H66" s="12"/>
      <c r="I66" s="12"/>
      <c r="J66" s="12"/>
      <c r="K66" s="12"/>
      <c r="L66" s="12"/>
      <c r="M66" s="12"/>
      <c r="N66" s="68"/>
      <c r="O66" s="12"/>
      <c r="P66" s="12"/>
      <c r="U66" s="173"/>
    </row>
    <row r="67" spans="1:21" ht="14.1" customHeight="1">
      <c r="C67" s="65"/>
      <c r="U67" s="173"/>
    </row>
    <row r="68" spans="1:21" ht="14.1" customHeight="1">
      <c r="A68" s="13"/>
      <c r="B68" s="13"/>
      <c r="C68" s="13"/>
      <c r="D68" s="97"/>
      <c r="E68" s="13"/>
      <c r="F68" s="13"/>
      <c r="G68" s="13"/>
      <c r="H68" s="13"/>
      <c r="I68" s="13"/>
      <c r="J68" s="13"/>
      <c r="M68" s="13"/>
      <c r="N68" s="13"/>
      <c r="O68" s="13"/>
      <c r="P68" s="13"/>
      <c r="U68" s="173"/>
    </row>
    <row r="69" spans="1:21" ht="14.1" customHeight="1">
      <c r="A69" s="13"/>
      <c r="B69" s="13"/>
      <c r="C69" s="13"/>
      <c r="D69" s="97"/>
      <c r="E69" s="13"/>
      <c r="F69" s="13"/>
      <c r="G69" s="13"/>
      <c r="H69" s="13"/>
      <c r="I69" s="13"/>
      <c r="J69" s="13"/>
      <c r="M69" s="13"/>
      <c r="N69" s="13"/>
      <c r="O69" s="13"/>
      <c r="P69" s="13"/>
      <c r="U69" s="173"/>
    </row>
    <row r="70" spans="1:21" ht="14.1" customHeight="1">
      <c r="C70" s="65"/>
      <c r="U70" s="173"/>
    </row>
    <row r="71" spans="1:21" ht="14.1" customHeight="1">
      <c r="C71" s="65"/>
      <c r="Q71" s="13"/>
      <c r="R71" s="13"/>
    </row>
    <row r="72" spans="1:21" ht="14.1" customHeight="1">
      <c r="C72" s="65"/>
      <c r="Q72" s="13"/>
      <c r="R72" s="13"/>
    </row>
    <row r="73" spans="1:21" ht="14.1" customHeight="1">
      <c r="C73" s="65"/>
    </row>
    <row r="74" spans="1:21" ht="14.1" customHeight="1">
      <c r="C74" s="65"/>
    </row>
  </sheetData>
  <pageMargins left="0.75" right="0.5" top="1" bottom="0.5" header="0.5" footer="0.5"/>
  <pageSetup scale="70" orientation="landscape" r:id="rId1"/>
  <headerFooter alignWithMargins="0">
    <oddHeader>&amp;R&amp;D</oddHead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U74"/>
  <sheetViews>
    <sheetView topLeftCell="P1" zoomScale="87" zoomScaleNormal="87" workbookViewId="0">
      <selection activeCell="AB11" sqref="AB11:CQ11"/>
    </sheetView>
  </sheetViews>
  <sheetFormatPr defaultColWidth="13.7109375" defaultRowHeight="14.1" customHeight="1"/>
  <cols>
    <col min="1" max="1" width="6.28515625" style="12" customWidth="1"/>
    <col min="2" max="2" width="16.5703125" style="192" customWidth="1"/>
    <col min="3" max="3" width="8.28515625" style="12" customWidth="1"/>
    <col min="4" max="4" width="11.140625" style="66" customWidth="1"/>
    <col min="5" max="5" width="12.85546875" style="192" customWidth="1"/>
    <col min="6" max="6" width="9.28515625" style="192" customWidth="1"/>
    <col min="7" max="7" width="9.140625" style="68" customWidth="1"/>
    <col min="8" max="8" width="10.85546875" style="12" customWidth="1"/>
    <col min="9" max="9" width="13.140625" style="12" customWidth="1"/>
    <col min="10" max="10" width="12.28515625" style="12" customWidth="1"/>
    <col min="11" max="11" width="10.140625" style="12" customWidth="1"/>
    <col min="12" max="12" width="14.42578125" style="12" customWidth="1"/>
    <col min="13" max="13" width="8.85546875" style="12" customWidth="1"/>
    <col min="14" max="14" width="17.140625" style="68" customWidth="1"/>
    <col min="15" max="15" width="15.7109375" style="12" customWidth="1"/>
    <col min="16" max="16" width="10.85546875" style="12" customWidth="1"/>
    <col min="17" max="17" width="6.140625" style="12" customWidth="1"/>
    <col min="18" max="18" width="7.28515625" style="12" customWidth="1"/>
    <col min="19" max="19" width="12" style="13" customWidth="1"/>
    <col min="20" max="20" width="10.42578125" style="13" customWidth="1"/>
    <col min="21" max="21" width="13.7109375" style="13" customWidth="1"/>
    <col min="22" max="22" width="2.5703125" style="13" customWidth="1"/>
    <col min="23" max="29" width="13.7109375" style="13" customWidth="1"/>
    <col min="30" max="31" width="25" style="13" customWidth="1"/>
    <col min="32" max="34" width="13.7109375" style="13" customWidth="1"/>
    <col min="35" max="35" width="19.85546875" style="13" customWidth="1"/>
    <col min="36" max="36" width="19.5703125" style="13" customWidth="1"/>
    <col min="37" max="37" width="27.42578125" style="13" customWidth="1"/>
    <col min="38" max="38" width="31.42578125" style="13" customWidth="1"/>
    <col min="39" max="39" width="31.28515625" style="13" customWidth="1"/>
    <col min="40" max="45" width="27.42578125" style="13" customWidth="1"/>
    <col min="46" max="46" width="31.28515625" style="13" customWidth="1"/>
    <col min="47" max="47" width="35.42578125" style="13" customWidth="1"/>
    <col min="48" max="50" width="13.7109375" style="13" customWidth="1"/>
    <col min="51" max="52" width="17.28515625" style="13" customWidth="1"/>
    <col min="53" max="60" width="17.5703125" style="13" customWidth="1"/>
    <col min="61" max="65" width="20.42578125" style="13" customWidth="1"/>
    <col min="66" max="68" width="13.7109375" style="13" customWidth="1"/>
    <col min="69" max="69" width="18.7109375" style="13" customWidth="1"/>
    <col min="70" max="72" width="13.7109375" style="13" customWidth="1"/>
    <col min="73" max="73" width="17.28515625" style="13" customWidth="1"/>
    <col min="74" max="74" width="16.85546875" style="13" customWidth="1"/>
    <col min="75" max="75" width="13.7109375" style="13" customWidth="1"/>
    <col min="76" max="76" width="17" style="13" customWidth="1"/>
    <col min="77" max="81" width="17.85546875" style="13" customWidth="1"/>
    <col min="82" max="92" width="13.7109375" style="13" customWidth="1"/>
    <col min="93" max="93" width="26.140625" style="13" customWidth="1"/>
    <col min="94" max="94" width="25.7109375" style="13" customWidth="1"/>
    <col min="95" max="95" width="22.85546875" style="13" customWidth="1"/>
    <col min="96" max="99" width="13.7109375" style="13" customWidth="1"/>
    <col min="100" max="16384" width="13.7109375" style="12"/>
  </cols>
  <sheetData>
    <row r="1" spans="1:99" ht="14.1" customHeight="1">
      <c r="A1" s="1" t="s">
        <v>0</v>
      </c>
      <c r="B1" s="2" t="s">
        <v>134</v>
      </c>
      <c r="C1" s="3" t="s">
        <v>1</v>
      </c>
      <c r="D1" s="4" t="s">
        <v>165</v>
      </c>
      <c r="E1" s="1" t="s">
        <v>2</v>
      </c>
      <c r="F1" s="1"/>
      <c r="G1" s="5">
        <v>38</v>
      </c>
      <c r="H1" s="6"/>
      <c r="I1" s="6" t="s">
        <v>3</v>
      </c>
      <c r="J1" s="5">
        <v>178</v>
      </c>
      <c r="K1" s="7"/>
      <c r="L1" s="7"/>
      <c r="M1" s="8" t="s">
        <v>4</v>
      </c>
      <c r="N1" s="9">
        <f>((AVERAGE(W7:W8))*20)</f>
        <v>7448130</v>
      </c>
      <c r="O1" s="10">
        <f>(O3*20)</f>
        <v>7133384.2951800004</v>
      </c>
      <c r="P1" s="10"/>
      <c r="Q1" s="11" t="s">
        <v>5</v>
      </c>
      <c r="S1" s="13">
        <v>-120</v>
      </c>
      <c r="T1" s="13" t="s">
        <v>6</v>
      </c>
      <c r="U1" s="14">
        <v>49.81</v>
      </c>
      <c r="V1" s="15"/>
      <c r="W1" s="15" t="s">
        <v>7</v>
      </c>
    </row>
    <row r="2" spans="1:99" ht="14.1" customHeight="1" thickBot="1">
      <c r="A2" s="16" t="s">
        <v>8</v>
      </c>
      <c r="B2" s="17">
        <v>42524</v>
      </c>
      <c r="C2" s="3" t="s">
        <v>9</v>
      </c>
      <c r="D2" s="18">
        <v>98</v>
      </c>
      <c r="E2" s="3" t="s">
        <v>10</v>
      </c>
      <c r="F2" s="3"/>
      <c r="G2" s="19">
        <f>D2/(D3/100*D3/100)</f>
        <v>30.314241135559097</v>
      </c>
      <c r="H2" s="13"/>
      <c r="I2" s="20" t="s">
        <v>11</v>
      </c>
      <c r="J2" s="21"/>
      <c r="K2" s="22"/>
      <c r="L2" s="23"/>
      <c r="M2" s="24" t="s">
        <v>12</v>
      </c>
      <c r="N2" s="25">
        <f>(O1*0.068)</f>
        <v>485070.13207224006</v>
      </c>
      <c r="O2" s="13"/>
      <c r="P2" s="13"/>
      <c r="Q2" s="11"/>
      <c r="R2" s="26"/>
      <c r="T2" s="13" t="s">
        <v>6</v>
      </c>
      <c r="U2" s="14">
        <v>47.92</v>
      </c>
      <c r="V2" s="15"/>
      <c r="W2" s="27">
        <v>123820.8</v>
      </c>
    </row>
    <row r="3" spans="1:99" ht="14.1" customHeight="1" thickTop="1" thickBot="1">
      <c r="A3" s="16" t="s">
        <v>13</v>
      </c>
      <c r="B3" s="28" t="s">
        <v>167</v>
      </c>
      <c r="C3" s="3" t="s">
        <v>15</v>
      </c>
      <c r="D3" s="29">
        <v>179.8</v>
      </c>
      <c r="E3" s="3" t="s">
        <v>16</v>
      </c>
      <c r="F3" s="3"/>
      <c r="G3" s="19">
        <f>SQRT(((D2*D3)/3600))</f>
        <v>2.2123642456782644</v>
      </c>
      <c r="H3" s="13"/>
      <c r="I3" s="20"/>
      <c r="J3" s="30"/>
      <c r="K3" s="30"/>
      <c r="L3" s="30"/>
      <c r="M3" s="31" t="s">
        <v>17</v>
      </c>
      <c r="N3" s="32">
        <f>($O$1/$N$1)*100</f>
        <v>95.774164725642549</v>
      </c>
      <c r="O3" s="33">
        <f>((AVERAGE(W2:W5))*2.85714)</f>
        <v>356669.21475899999</v>
      </c>
      <c r="P3" s="33"/>
      <c r="Q3" s="34" t="s">
        <v>18</v>
      </c>
      <c r="R3" s="13"/>
      <c r="T3" s="13">
        <v>-30</v>
      </c>
      <c r="U3" s="14">
        <v>545.30999999999995</v>
      </c>
      <c r="V3" s="15"/>
      <c r="W3" s="27">
        <v>121961.4</v>
      </c>
    </row>
    <row r="4" spans="1:99" ht="14.1" customHeight="1" thickTop="1">
      <c r="B4" s="35"/>
      <c r="C4" s="3" t="s">
        <v>19</v>
      </c>
      <c r="D4" s="19">
        <v>69.831999999999994</v>
      </c>
      <c r="E4" s="37" t="s">
        <v>20</v>
      </c>
      <c r="F4" s="37"/>
      <c r="G4" s="38">
        <v>0.26100000000000001</v>
      </c>
      <c r="H4" s="13"/>
      <c r="I4" s="20"/>
      <c r="J4" s="30"/>
      <c r="K4" s="30"/>
      <c r="L4" s="30"/>
      <c r="M4" s="33"/>
      <c r="N4" s="39"/>
      <c r="O4" s="30"/>
      <c r="P4" s="30"/>
      <c r="Q4" s="30"/>
      <c r="R4" s="30"/>
      <c r="U4" s="14">
        <v>554.05999999999995</v>
      </c>
      <c r="V4" s="15"/>
      <c r="W4" s="27">
        <v>126597.3</v>
      </c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</row>
    <row r="5" spans="1:99" ht="14.1" customHeight="1" thickBot="1">
      <c r="A5" s="16"/>
      <c r="B5" s="30"/>
      <c r="C5" s="3"/>
      <c r="D5" s="41" t="s">
        <v>21</v>
      </c>
      <c r="E5" s="42">
        <f>AVERAGE(U1:U2)</f>
        <v>48.865000000000002</v>
      </c>
      <c r="F5" s="42"/>
      <c r="G5" s="19"/>
      <c r="H5" s="30"/>
      <c r="I5" s="30"/>
      <c r="J5" s="43" t="s">
        <v>22</v>
      </c>
      <c r="K5" s="43"/>
      <c r="L5" s="44" t="s">
        <v>23</v>
      </c>
      <c r="M5" s="45"/>
      <c r="N5" s="43" t="s">
        <v>22</v>
      </c>
      <c r="O5" s="44" t="s">
        <v>23</v>
      </c>
      <c r="P5" s="44" t="s">
        <v>24</v>
      </c>
      <c r="Q5" s="46"/>
      <c r="R5" s="46"/>
      <c r="T5" s="13">
        <v>-20</v>
      </c>
      <c r="U5" s="14">
        <v>546.47</v>
      </c>
      <c r="V5" s="15"/>
      <c r="W5" s="27">
        <v>126957.9</v>
      </c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</row>
    <row r="6" spans="1:99" s="1" customFormat="1" ht="14.1" customHeight="1">
      <c r="A6" s="47" t="s">
        <v>25</v>
      </c>
      <c r="B6" s="48" t="s">
        <v>26</v>
      </c>
      <c r="C6" s="48"/>
      <c r="D6" s="49" t="s">
        <v>27</v>
      </c>
      <c r="E6" s="48" t="s">
        <v>28</v>
      </c>
      <c r="F6" s="48"/>
      <c r="G6" s="48" t="s">
        <v>29</v>
      </c>
      <c r="H6" s="50" t="s">
        <v>30</v>
      </c>
      <c r="I6" s="50"/>
      <c r="J6" s="51" t="s">
        <v>31</v>
      </c>
      <c r="K6" s="52"/>
      <c r="L6" s="52" t="s">
        <v>31</v>
      </c>
      <c r="M6" s="52" t="s">
        <v>32</v>
      </c>
      <c r="N6" s="52" t="s">
        <v>33</v>
      </c>
      <c r="O6" s="53" t="s">
        <v>34</v>
      </c>
      <c r="P6" s="54"/>
      <c r="Q6" s="55"/>
      <c r="R6" s="55"/>
      <c r="S6" s="13"/>
      <c r="T6" s="13"/>
      <c r="U6" s="14">
        <v>515.53</v>
      </c>
      <c r="V6" s="15"/>
      <c r="W6" s="56" t="s">
        <v>35</v>
      </c>
      <c r="X6" s="13" t="s">
        <v>36</v>
      </c>
      <c r="Y6" s="57" t="s">
        <v>37</v>
      </c>
      <c r="Z6" s="58" t="s">
        <v>38</v>
      </c>
      <c r="AA6" s="40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60"/>
      <c r="AY6" s="60"/>
      <c r="AZ6" s="60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60"/>
      <c r="BO6" s="60"/>
      <c r="BP6" s="60"/>
      <c r="BQ6" s="59"/>
      <c r="BR6" s="59"/>
      <c r="BS6" s="59"/>
      <c r="BT6" s="59"/>
      <c r="BU6" s="59"/>
      <c r="BV6" s="59"/>
      <c r="BW6" s="59"/>
      <c r="BX6" s="59"/>
      <c r="BY6" s="59"/>
      <c r="BZ6" s="61"/>
      <c r="CA6" s="61"/>
      <c r="CB6" s="61"/>
      <c r="CC6" s="61"/>
      <c r="CD6" s="40"/>
      <c r="CE6" s="61"/>
      <c r="CF6" s="61"/>
      <c r="CG6" s="33"/>
      <c r="CH6" s="40"/>
      <c r="CI6" s="30"/>
      <c r="CJ6" s="30"/>
      <c r="CK6" s="30"/>
      <c r="CL6" s="30"/>
      <c r="CM6" s="30"/>
      <c r="CN6" s="30"/>
      <c r="CO6" s="30"/>
      <c r="CP6" s="62"/>
      <c r="CQ6" s="62"/>
      <c r="CR6" s="13"/>
      <c r="CS6" s="13"/>
      <c r="CT6" s="13"/>
      <c r="CU6" s="13"/>
    </row>
    <row r="7" spans="1:99" ht="14.1" customHeight="1">
      <c r="A7" s="63">
        <v>-30</v>
      </c>
      <c r="B7" s="64">
        <v>166</v>
      </c>
      <c r="C7" s="65"/>
      <c r="D7" s="42">
        <f>AVERAGE(U3:U4)</f>
        <v>549.68499999999995</v>
      </c>
      <c r="E7" s="66">
        <f>D7-$E$5</f>
        <v>500.81999999999994</v>
      </c>
      <c r="F7" s="66"/>
      <c r="G7" s="66">
        <f>($E7*7.1425)</f>
        <v>3577.1068499999997</v>
      </c>
      <c r="H7" s="66">
        <f>($G7/($B7*0.01))</f>
        <v>2154.8836445783127</v>
      </c>
      <c r="I7" s="66"/>
      <c r="J7" s="67">
        <f>$N$2/$H7/$D$2</f>
        <v>2.2969663525361903</v>
      </c>
      <c r="K7" s="67"/>
      <c r="L7" s="67">
        <f>J7/($D$4/$D$2)</f>
        <v>3.2234892677933709</v>
      </c>
      <c r="N7" s="68">
        <f>J7-M7</f>
        <v>2.2969663525361903</v>
      </c>
      <c r="O7" s="67">
        <f>N7/($D$4/$D$2)</f>
        <v>3.2234892677933709</v>
      </c>
      <c r="P7" s="67"/>
      <c r="Q7" s="30"/>
      <c r="R7" s="30"/>
      <c r="T7" s="13">
        <v>-10</v>
      </c>
      <c r="U7" s="196">
        <v>531</v>
      </c>
      <c r="V7" s="15"/>
      <c r="W7" s="27">
        <v>372692.5</v>
      </c>
      <c r="X7" s="69">
        <v>0.61699999999999999</v>
      </c>
      <c r="Y7" s="70">
        <v>-30</v>
      </c>
      <c r="Z7" s="71">
        <v>20.602</v>
      </c>
      <c r="AA7" s="40"/>
      <c r="AB7" s="72"/>
      <c r="AC7" s="72"/>
      <c r="AD7" s="72"/>
      <c r="AE7" s="72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19"/>
      <c r="AY7" s="74"/>
      <c r="AZ7" s="74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</row>
    <row r="8" spans="1:99" ht="14.1" customHeight="1">
      <c r="A8" s="63">
        <v>-20</v>
      </c>
      <c r="B8" s="195">
        <v>162</v>
      </c>
      <c r="C8" s="65"/>
      <c r="D8" s="66">
        <f>AVERAGE(U5:U6)</f>
        <v>531</v>
      </c>
      <c r="E8" s="66">
        <f>D8-$E$5</f>
        <v>482.13499999999999</v>
      </c>
      <c r="F8" s="66"/>
      <c r="G8" s="66">
        <f>($E8*7.1425)</f>
        <v>3443.6492374999998</v>
      </c>
      <c r="H8" s="66">
        <f>($G8/($B8*0.01))</f>
        <v>2125.7094058641974</v>
      </c>
      <c r="I8" s="66"/>
      <c r="J8" s="67">
        <f>$N$2/H8/$D$2</f>
        <v>2.3284910023788803</v>
      </c>
      <c r="K8" s="67"/>
      <c r="L8" s="67">
        <f>J8/($D$4/$D$2)</f>
        <v>3.2677299552229679</v>
      </c>
      <c r="N8" s="68">
        <f>J8-M8</f>
        <v>2.3284910023788803</v>
      </c>
      <c r="O8" s="67">
        <f>N8/($D$4/$D$2)</f>
        <v>3.2677299552229679</v>
      </c>
      <c r="P8" s="67"/>
      <c r="Q8" s="30"/>
      <c r="R8" s="30"/>
      <c r="U8" s="196">
        <v>511.65</v>
      </c>
      <c r="V8" s="15"/>
      <c r="W8" s="27">
        <v>372120.5</v>
      </c>
      <c r="X8" s="69">
        <v>0.61699999999999999</v>
      </c>
      <c r="Y8" s="70">
        <v>-20</v>
      </c>
      <c r="Z8" s="71">
        <v>26.506</v>
      </c>
      <c r="AA8" s="40"/>
      <c r="AB8" s="72"/>
      <c r="AC8" s="72"/>
      <c r="AD8" s="72"/>
      <c r="AE8" s="72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19"/>
      <c r="AY8" s="74"/>
      <c r="AZ8" s="74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</row>
    <row r="9" spans="1:99" ht="14.1" customHeight="1" thickBot="1">
      <c r="A9" s="63">
        <v>-10</v>
      </c>
      <c r="B9" s="75">
        <v>157</v>
      </c>
      <c r="C9" s="65"/>
      <c r="D9" s="66">
        <f>AVERAGE(U7:U8)</f>
        <v>521.32500000000005</v>
      </c>
      <c r="E9" s="66">
        <f>D9-$E$5</f>
        <v>472.46000000000004</v>
      </c>
      <c r="F9" s="66"/>
      <c r="G9" s="66">
        <f>($E9*7.1425)</f>
        <v>3374.5455500000003</v>
      </c>
      <c r="H9" s="66">
        <f>($G9/($B9*0.01))</f>
        <v>2149.3920700636945</v>
      </c>
      <c r="I9" s="66"/>
      <c r="J9" s="67">
        <f>$N$2/H9/$D$2</f>
        <v>2.3028349709507681</v>
      </c>
      <c r="K9" s="67"/>
      <c r="L9" s="67">
        <f>J9/($D$4/$D$2)</f>
        <v>3.2317250995700437</v>
      </c>
      <c r="N9" s="68">
        <f>J9-M9</f>
        <v>2.3028349709507681</v>
      </c>
      <c r="O9" s="67">
        <f>N9/($D$4/$D$2)</f>
        <v>3.2317250995700437</v>
      </c>
      <c r="P9" s="67"/>
      <c r="Q9" s="30"/>
      <c r="R9" s="30"/>
      <c r="T9" s="13">
        <v>-5</v>
      </c>
      <c r="U9" s="14">
        <v>495.02</v>
      </c>
      <c r="V9" s="15"/>
      <c r="W9" s="76"/>
      <c r="X9" s="69"/>
      <c r="Y9" s="70">
        <v>-10</v>
      </c>
      <c r="Z9" s="199">
        <v>24.797999999999998</v>
      </c>
      <c r="AA9" s="40"/>
      <c r="AB9" s="72"/>
      <c r="AC9" s="72"/>
      <c r="AD9" s="72"/>
      <c r="AE9" s="72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19"/>
      <c r="AY9" s="74"/>
      <c r="AZ9" s="74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</row>
    <row r="10" spans="1:99" s="80" customFormat="1" ht="14.1" customHeight="1">
      <c r="A10" s="77">
        <v>0</v>
      </c>
      <c r="B10" s="75">
        <v>163</v>
      </c>
      <c r="C10" s="65"/>
      <c r="D10" s="66">
        <f>AVERAGE(U11:U12)</f>
        <v>495.95500000000004</v>
      </c>
      <c r="E10" s="66">
        <f>D10-$E$5</f>
        <v>447.09000000000003</v>
      </c>
      <c r="F10" s="66"/>
      <c r="G10" s="78">
        <f>($E10*7.1425)</f>
        <v>3193.3403250000001</v>
      </c>
      <c r="H10" s="78">
        <f>($G10/($B10*0.01))</f>
        <v>1959.1044938650307</v>
      </c>
      <c r="I10" s="78"/>
      <c r="J10" s="79">
        <f>$N$2/H10/$D$2</f>
        <v>2.5265090457027664</v>
      </c>
      <c r="K10" s="79"/>
      <c r="L10" s="67">
        <f>J10/($D$4/$D$2)</f>
        <v>3.5456221571610596</v>
      </c>
      <c r="N10" s="81">
        <f>J10-M10</f>
        <v>2.5265090457027664</v>
      </c>
      <c r="O10" s="67">
        <f>N10/($D$4/$D$2)</f>
        <v>3.5456221571610596</v>
      </c>
      <c r="P10" s="67"/>
      <c r="Q10" s="30"/>
      <c r="R10" s="30"/>
      <c r="S10" s="13"/>
      <c r="T10" s="13" t="s">
        <v>39</v>
      </c>
      <c r="U10" s="14">
        <v>528.27</v>
      </c>
      <c r="V10" s="15"/>
      <c r="W10" s="15"/>
      <c r="X10" s="69">
        <v>0.64300000000000002</v>
      </c>
      <c r="Y10" s="70">
        <v>0</v>
      </c>
      <c r="Z10" s="82">
        <v>24.417999999999999</v>
      </c>
      <c r="AA10" s="30"/>
      <c r="AB10" s="83" t="s">
        <v>40</v>
      </c>
      <c r="AC10" s="83" t="s">
        <v>41</v>
      </c>
      <c r="AD10" s="83" t="s">
        <v>42</v>
      </c>
      <c r="AE10" s="83" t="s">
        <v>43</v>
      </c>
      <c r="AF10" s="83" t="s">
        <v>44</v>
      </c>
      <c r="AG10" s="83" t="s">
        <v>45</v>
      </c>
      <c r="AH10" s="83" t="s">
        <v>46</v>
      </c>
      <c r="AI10" s="83" t="s">
        <v>47</v>
      </c>
      <c r="AJ10" s="83" t="s">
        <v>48</v>
      </c>
      <c r="AK10" s="83" t="s">
        <v>49</v>
      </c>
      <c r="AL10" s="83" t="s">
        <v>50</v>
      </c>
      <c r="AM10" s="83" t="s">
        <v>51</v>
      </c>
      <c r="AN10" s="83" t="s">
        <v>52</v>
      </c>
      <c r="AO10" s="83" t="s">
        <v>53</v>
      </c>
      <c r="AP10" s="83" t="s">
        <v>54</v>
      </c>
      <c r="AQ10" s="83" t="s">
        <v>55</v>
      </c>
      <c r="AR10" s="83" t="s">
        <v>56</v>
      </c>
      <c r="AS10" s="83" t="s">
        <v>57</v>
      </c>
      <c r="AT10" s="83" t="s">
        <v>58</v>
      </c>
      <c r="AU10" s="83" t="s">
        <v>59</v>
      </c>
      <c r="AV10" s="84" t="s">
        <v>60</v>
      </c>
      <c r="AW10" s="84" t="s">
        <v>61</v>
      </c>
      <c r="AX10" s="85" t="s">
        <v>62</v>
      </c>
      <c r="AY10" s="85" t="s">
        <v>63</v>
      </c>
      <c r="AZ10" s="85" t="s">
        <v>64</v>
      </c>
      <c r="BA10" s="86" t="s">
        <v>65</v>
      </c>
      <c r="BB10" s="86" t="s">
        <v>66</v>
      </c>
      <c r="BC10" s="86" t="s">
        <v>67</v>
      </c>
      <c r="BD10" s="86" t="s">
        <v>68</v>
      </c>
      <c r="BE10" s="86" t="s">
        <v>69</v>
      </c>
      <c r="BF10" s="86" t="s">
        <v>70</v>
      </c>
      <c r="BG10" s="86" t="s">
        <v>71</v>
      </c>
      <c r="BH10" s="86" t="s">
        <v>72</v>
      </c>
      <c r="BI10" s="86" t="s">
        <v>73</v>
      </c>
      <c r="BJ10" s="86" t="s">
        <v>74</v>
      </c>
      <c r="BK10" s="86" t="s">
        <v>75</v>
      </c>
      <c r="BL10" s="86" t="s">
        <v>76</v>
      </c>
      <c r="BM10" s="86" t="s">
        <v>77</v>
      </c>
      <c r="BN10" s="87" t="s">
        <v>78</v>
      </c>
      <c r="BO10" s="87" t="s">
        <v>79</v>
      </c>
      <c r="BP10" s="87" t="s">
        <v>80</v>
      </c>
      <c r="BQ10" s="88" t="s">
        <v>81</v>
      </c>
      <c r="BR10" s="88" t="s">
        <v>82</v>
      </c>
      <c r="BS10" s="88" t="s">
        <v>83</v>
      </c>
      <c r="BT10" s="88" t="s">
        <v>84</v>
      </c>
      <c r="BU10" s="88" t="s">
        <v>85</v>
      </c>
      <c r="BV10" s="88" t="s">
        <v>86</v>
      </c>
      <c r="BW10" s="88" t="s">
        <v>87</v>
      </c>
      <c r="BX10" s="88" t="s">
        <v>88</v>
      </c>
      <c r="BY10" s="88" t="s">
        <v>89</v>
      </c>
      <c r="BZ10" s="88" t="s">
        <v>90</v>
      </c>
      <c r="CA10" s="88" t="s">
        <v>91</v>
      </c>
      <c r="CB10" s="88" t="s">
        <v>92</v>
      </c>
      <c r="CC10" s="88" t="s">
        <v>93</v>
      </c>
      <c r="CD10" s="40"/>
      <c r="CE10" s="89" t="s">
        <v>94</v>
      </c>
      <c r="CF10" s="89" t="s">
        <v>95</v>
      </c>
      <c r="CG10" s="90" t="s">
        <v>96</v>
      </c>
      <c r="CH10" s="40"/>
      <c r="CI10" s="91" t="s">
        <v>97</v>
      </c>
      <c r="CJ10" s="91" t="s">
        <v>98</v>
      </c>
      <c r="CK10" s="91" t="s">
        <v>99</v>
      </c>
      <c r="CL10" s="91" t="s">
        <v>100</v>
      </c>
      <c r="CM10" s="91" t="s">
        <v>101</v>
      </c>
      <c r="CN10" s="91" t="s">
        <v>102</v>
      </c>
      <c r="CO10" s="91" t="s">
        <v>103</v>
      </c>
      <c r="CP10" s="92" t="s">
        <v>104</v>
      </c>
      <c r="CQ10" s="92" t="s">
        <v>105</v>
      </c>
      <c r="CR10" s="13"/>
      <c r="CS10" s="13"/>
      <c r="CT10" s="13"/>
      <c r="CU10" s="13"/>
    </row>
    <row r="11" spans="1:99" s="49" customFormat="1" ht="14.1" customHeight="1">
      <c r="A11" s="93" t="s">
        <v>106</v>
      </c>
      <c r="B11" s="49">
        <f>AVERAGE(B7:B10)</f>
        <v>162</v>
      </c>
      <c r="E11" s="50">
        <f>AVERAGE(E7:E10)</f>
        <v>475.62625000000003</v>
      </c>
      <c r="G11" s="50">
        <f>AVERAGE(G7:G10)</f>
        <v>3397.1604906250004</v>
      </c>
      <c r="H11" s="50">
        <f>AVERAGE(H7:H10)</f>
        <v>2097.272403592809</v>
      </c>
      <c r="J11" s="94">
        <f>AVERAGE(J7:J10)</f>
        <v>2.3637003428921513</v>
      </c>
      <c r="K11" s="50" t="s">
        <v>39</v>
      </c>
      <c r="L11" s="50">
        <f>AVERAGE(L7:L10)</f>
        <v>3.3171416199368604</v>
      </c>
      <c r="M11" s="50"/>
      <c r="N11" s="94">
        <f>AVERAGE(N7:N10)</f>
        <v>2.3637003428921513</v>
      </c>
      <c r="O11" s="50">
        <f>AVERAGE(O7:O10)</f>
        <v>3.3171416199368604</v>
      </c>
      <c r="P11" s="95"/>
      <c r="Q11" s="95"/>
      <c r="R11" s="95"/>
      <c r="S11" s="6"/>
      <c r="T11" s="13">
        <v>0</v>
      </c>
      <c r="U11" s="14">
        <v>491.55</v>
      </c>
      <c r="V11" s="15"/>
      <c r="W11" s="15"/>
      <c r="X11" s="96">
        <f>AVERAGE(X7:X10)</f>
        <v>0.6256666666666667</v>
      </c>
      <c r="Y11" s="70" t="s">
        <v>107</v>
      </c>
      <c r="Z11" s="96">
        <f>AVERAGE(Z7:Z10)</f>
        <v>24.081000000000003</v>
      </c>
      <c r="AA11" s="30"/>
      <c r="AB11" s="72">
        <f>J11</f>
        <v>2.3637003428921513</v>
      </c>
      <c r="AC11" s="73">
        <f>AB11/($D$4/$D$2)</f>
        <v>3.3171416199368604</v>
      </c>
      <c r="AD11" s="73">
        <f>AB11/Z11</f>
        <v>9.8156236987340675E-2</v>
      </c>
      <c r="AE11" s="73">
        <f>AC11/Z11</f>
        <v>0.13774933017469623</v>
      </c>
      <c r="AF11" s="72">
        <f>N20</f>
        <v>1.7408635857698278</v>
      </c>
      <c r="AG11" s="72">
        <f>AF11/($D$4/$D$2)</f>
        <v>2.4430723938229342</v>
      </c>
      <c r="AH11" s="72">
        <f>AF11/Z18</f>
        <v>3.2849085885482021E-2</v>
      </c>
      <c r="AI11" s="72">
        <f>AG11/Z18</f>
        <v>4.6099358700556162E-2</v>
      </c>
      <c r="AJ11" s="73">
        <f>((AB11-AF11)/AB11)*100</f>
        <v>26.35007263062117</v>
      </c>
      <c r="AK11" s="73">
        <f>((AC11-AG11)/AC11)*100</f>
        <v>26.35007263062117</v>
      </c>
      <c r="AL11" s="73">
        <f>((AD11-AH11)/AD11)*100</f>
        <v>66.533878137852199</v>
      </c>
      <c r="AM11" s="73">
        <f>((AE11-AI11)/AE11)*100</f>
        <v>66.533878137852213</v>
      </c>
      <c r="AN11" s="72">
        <f>N29</f>
        <v>-0.69738829764803179</v>
      </c>
      <c r="AO11" s="72">
        <f>AN11/($D$4/$D$2)</f>
        <v>-0.97869247865601905</v>
      </c>
      <c r="AP11" s="72">
        <f>AN11/Z25</f>
        <v>-3.7180954845122882E-3</v>
      </c>
      <c r="AQ11" s="72">
        <f>AO11/Z25</f>
        <v>-5.2178565339988017E-3</v>
      </c>
      <c r="AR11" s="73">
        <f>((AB11-AN11)/AB11)*100</f>
        <v>129.50409089481829</v>
      </c>
      <c r="AS11" s="73">
        <f>((AC11-AO11)/AC11)*100</f>
        <v>129.50409089481829</v>
      </c>
      <c r="AT11" s="73">
        <f>((AD11-AP11)/AD11)*100</f>
        <v>103.78793604831429</v>
      </c>
      <c r="AU11" s="73">
        <f>((AE11-AQ11)/AE11)*100</f>
        <v>103.78793604831431</v>
      </c>
      <c r="AV11" s="72">
        <f>J11</f>
        <v>2.3637003428921513</v>
      </c>
      <c r="AW11" s="72">
        <f>AV11/($D$4/$D$2)</f>
        <v>3.3171416199368604</v>
      </c>
      <c r="AX11" s="95">
        <f>M20</f>
        <v>0</v>
      </c>
      <c r="AY11" s="95">
        <f>AX11/($D$4/$D$2)</f>
        <v>0</v>
      </c>
      <c r="AZ11" s="95">
        <f>AX11/Z11</f>
        <v>0</v>
      </c>
      <c r="BA11" s="73">
        <f>AY11/Z11</f>
        <v>0</v>
      </c>
      <c r="BB11" s="72">
        <f>P21</f>
        <v>0.17333333333333334</v>
      </c>
      <c r="BC11" s="73">
        <f>BB11/($D$4/$D$2)</f>
        <v>0.24325046778936116</v>
      </c>
      <c r="BD11" s="73">
        <f>BB11/Z18</f>
        <v>3.2706994390750465E-3</v>
      </c>
      <c r="BE11" s="73">
        <f>BC11/Z18</f>
        <v>4.5899952031927278E-3</v>
      </c>
      <c r="BF11" s="72">
        <f>K20</f>
        <v>1.7408635857698278</v>
      </c>
      <c r="BG11" s="73">
        <f>BF11/($D$4/$D$2)</f>
        <v>2.4430723938229342</v>
      </c>
      <c r="BH11" s="73">
        <f>BF11/Z18</f>
        <v>3.2849085885482021E-2</v>
      </c>
      <c r="BI11" s="73">
        <f>BG11/Z18</f>
        <v>4.6099358700556162E-2</v>
      </c>
      <c r="BJ11" s="72">
        <f>J21</f>
        <v>1.483861158370833</v>
      </c>
      <c r="BK11" s="73">
        <f>BJ11/($D$4/$D$2)</f>
        <v>2.082403389854818</v>
      </c>
      <c r="BL11" s="73">
        <f>BJ11/Z18</f>
        <v>2.7999599182781148E-2</v>
      </c>
      <c r="BM11" s="73">
        <f>BK11/Z18</f>
        <v>3.9293743841112283E-2</v>
      </c>
      <c r="BN11" s="95">
        <f>M29</f>
        <v>3.1059183673469386</v>
      </c>
      <c r="BO11" s="95">
        <f>BN11/($D$4/$D$2)</f>
        <v>4.3587467063810292</v>
      </c>
      <c r="BP11" s="95">
        <f>BN11/Z25</f>
        <v>1.655906916683695E-2</v>
      </c>
      <c r="BQ11" s="73">
        <f>BO11/Z25</f>
        <v>2.3238469159554662E-2</v>
      </c>
      <c r="BR11" s="72">
        <f>P30</f>
        <v>3.7125850340136051</v>
      </c>
      <c r="BS11" s="73">
        <f>BR11/($D$4/$D$2)</f>
        <v>5.2101233436437928</v>
      </c>
      <c r="BT11" s="73">
        <f>BR11/Z25</f>
        <v>1.9793486207594156E-2</v>
      </c>
      <c r="BU11" s="73">
        <f>BS11/Z25</f>
        <v>2.7777546802958925E-2</v>
      </c>
      <c r="BV11" s="72">
        <f>K29</f>
        <v>2.6855198656172741</v>
      </c>
      <c r="BW11" s="73">
        <f>BV11/($D$4/$D$2)</f>
        <v>3.7687728667443703</v>
      </c>
      <c r="BX11" s="73">
        <f>BV11/Z25</f>
        <v>1.4317732774688773E-2</v>
      </c>
      <c r="BY11" s="73">
        <f>BW11/Z25</f>
        <v>2.0093049202650645E-2</v>
      </c>
      <c r="BZ11" s="72">
        <f>J30</f>
        <v>4.8383897326291088</v>
      </c>
      <c r="CA11" s="73">
        <f>BZ11/($D$4/$D$2)</f>
        <v>6.7900417258227277</v>
      </c>
      <c r="CB11" s="73">
        <f>BZ11/Z25</f>
        <v>2.5795665166549957E-2</v>
      </c>
      <c r="CC11" s="73">
        <f>CA11/Z25</f>
        <v>3.6200813184813496E-2</v>
      </c>
      <c r="CD11" s="13"/>
      <c r="CE11" s="97">
        <f>B11</f>
        <v>162</v>
      </c>
      <c r="CF11" s="13">
        <f>Z11</f>
        <v>24.081000000000003</v>
      </c>
      <c r="CG11" s="40">
        <f>((CE11/18)*CF11)/22.5</f>
        <v>9.6324000000000023</v>
      </c>
      <c r="CH11" s="40"/>
      <c r="CI11" s="40">
        <f>X28</f>
        <v>0</v>
      </c>
      <c r="CJ11" s="40">
        <f>X29</f>
        <v>0</v>
      </c>
      <c r="CK11" s="40">
        <f>X30</f>
        <v>0</v>
      </c>
      <c r="CL11" s="40">
        <f>X31</f>
        <v>0</v>
      </c>
      <c r="CM11" s="40">
        <f>X32</f>
        <v>0</v>
      </c>
      <c r="CN11" s="40">
        <f>X33</f>
        <v>0</v>
      </c>
      <c r="CO11" s="13">
        <f>X11</f>
        <v>0.6256666666666667</v>
      </c>
      <c r="CP11" s="13">
        <f>X18</f>
        <v>0.23359999999999997</v>
      </c>
      <c r="CQ11" s="13">
        <f>X25</f>
        <v>7.1200000000000013E-2</v>
      </c>
      <c r="CR11" s="13"/>
      <c r="CS11" s="13"/>
      <c r="CT11" s="13"/>
      <c r="CU11" s="13"/>
    </row>
    <row r="12" spans="1:99" ht="14.1" customHeight="1" thickBot="1">
      <c r="B12" s="98"/>
      <c r="C12" s="65"/>
      <c r="D12" s="99"/>
      <c r="E12" s="13"/>
      <c r="F12" s="13"/>
      <c r="G12" s="13"/>
      <c r="H12" s="13"/>
      <c r="I12" s="13"/>
      <c r="J12" s="6" t="s">
        <v>108</v>
      </c>
      <c r="K12" s="13"/>
      <c r="L12" s="13"/>
      <c r="M12" s="12" t="s">
        <v>39</v>
      </c>
      <c r="N12" s="13"/>
      <c r="O12" s="13"/>
      <c r="P12" s="13"/>
      <c r="Q12" s="30"/>
      <c r="R12" s="30"/>
      <c r="U12" s="14">
        <v>500.36</v>
      </c>
      <c r="V12" s="15"/>
      <c r="W12" s="15"/>
      <c r="Y12" s="70"/>
      <c r="Z12" s="96"/>
      <c r="AA12" s="30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30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40"/>
      <c r="CG12" s="40"/>
      <c r="CH12" s="40"/>
      <c r="CI12" s="40"/>
      <c r="CJ12" s="40"/>
      <c r="CK12" s="40"/>
      <c r="CL12" s="40"/>
      <c r="CM12" s="40"/>
      <c r="CN12" s="40"/>
    </row>
    <row r="13" spans="1:99" ht="14.1" customHeight="1" thickBot="1">
      <c r="B13" s="98"/>
      <c r="C13" s="65"/>
      <c r="D13" s="99"/>
      <c r="E13" s="13"/>
      <c r="F13" s="13"/>
      <c r="G13" s="13"/>
      <c r="H13" s="13"/>
      <c r="I13" s="13"/>
      <c r="J13" s="6"/>
      <c r="K13" s="13"/>
      <c r="L13" s="13"/>
      <c r="M13" s="100" t="s">
        <v>32</v>
      </c>
      <c r="N13" s="101"/>
      <c r="O13" s="101"/>
      <c r="P13" s="101"/>
      <c r="Q13" s="30"/>
      <c r="R13" s="102" t="s">
        <v>25</v>
      </c>
      <c r="S13" s="103" t="s">
        <v>109</v>
      </c>
      <c r="T13" s="13">
        <v>30</v>
      </c>
      <c r="U13" s="14">
        <v>605.55999999999995</v>
      </c>
      <c r="V13" s="15"/>
      <c r="W13" s="15"/>
      <c r="X13" s="69">
        <v>0.25800000000000001</v>
      </c>
      <c r="Y13" s="30">
        <v>90</v>
      </c>
      <c r="Z13" s="71">
        <v>57.085999999999999</v>
      </c>
      <c r="AA13" s="40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19"/>
      <c r="AY13" s="74"/>
      <c r="AZ13" s="74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40"/>
      <c r="CG13" s="40"/>
      <c r="CH13" s="40"/>
      <c r="CI13" s="40"/>
      <c r="CJ13" s="40"/>
      <c r="CK13" s="40"/>
      <c r="CL13" s="40"/>
      <c r="CM13" s="40"/>
      <c r="CN13" s="40"/>
    </row>
    <row r="14" spans="1:99" ht="14.1" customHeight="1">
      <c r="A14" s="12">
        <v>90</v>
      </c>
      <c r="B14" s="75">
        <v>128</v>
      </c>
      <c r="C14" s="65"/>
      <c r="D14" s="104">
        <f>AVERAGE(U17:U18)</f>
        <v>526.495</v>
      </c>
      <c r="E14" s="78">
        <f>D14-$E$5</f>
        <v>477.63</v>
      </c>
      <c r="F14" s="78"/>
      <c r="G14" s="78">
        <f t="shared" ref="G14:G27" si="0">($E14*7.1425)</f>
        <v>3411.4722750000001</v>
      </c>
      <c r="H14" s="78">
        <f t="shared" ref="H14:H27" si="1">($G14/($B14*0.01))</f>
        <v>2665.2127148437498</v>
      </c>
      <c r="I14" s="33">
        <f>$C$15*A14+$C$16</f>
        <v>3506.5920085714279</v>
      </c>
      <c r="J14" s="105" t="s">
        <v>110</v>
      </c>
      <c r="K14" s="106" t="s">
        <v>111</v>
      </c>
      <c r="L14" s="13"/>
      <c r="M14" s="107">
        <f>(((S14/60)*$J$1)/$D$2)</f>
        <v>0</v>
      </c>
      <c r="N14" s="101"/>
      <c r="O14" s="101"/>
      <c r="P14" s="101"/>
      <c r="Q14" s="30"/>
      <c r="R14" s="108">
        <v>90</v>
      </c>
      <c r="S14" s="109">
        <v>0</v>
      </c>
      <c r="U14" s="14">
        <v>562.16</v>
      </c>
      <c r="V14" s="15"/>
      <c r="W14" s="110"/>
      <c r="X14" s="69">
        <v>0.24199999999999999</v>
      </c>
      <c r="Y14" s="30">
        <v>100</v>
      </c>
      <c r="Z14" s="71">
        <v>55.728000000000002</v>
      </c>
      <c r="AA14" s="40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19"/>
      <c r="AY14" s="74"/>
      <c r="AZ14" s="74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40"/>
      <c r="CG14" s="40"/>
      <c r="CH14" s="40"/>
      <c r="CI14" s="40"/>
      <c r="CJ14" s="40"/>
      <c r="CK14" s="40"/>
      <c r="CL14" s="40"/>
      <c r="CM14" s="40"/>
      <c r="CN14" s="40"/>
    </row>
    <row r="15" spans="1:99" s="115" customFormat="1" ht="14.1" customHeight="1">
      <c r="A15" s="12">
        <v>100</v>
      </c>
      <c r="B15" s="75">
        <v>127</v>
      </c>
      <c r="C15" s="65">
        <f>SLOPE(G15:G18,A15:A18)</f>
        <v>3.3561587142857494</v>
      </c>
      <c r="D15" s="104">
        <f>AVERAGE(U19:U20)</f>
        <v>550.56999999999994</v>
      </c>
      <c r="E15" s="66">
        <f>D15-$E$5</f>
        <v>501.70499999999993</v>
      </c>
      <c r="F15" s="111">
        <v>180</v>
      </c>
      <c r="G15" s="112">
        <f t="shared" si="0"/>
        <v>3583.4279624999995</v>
      </c>
      <c r="H15" s="78">
        <f t="shared" si="1"/>
        <v>2821.5968208661411</v>
      </c>
      <c r="I15" s="33">
        <f>$C$15*A15+$C$16</f>
        <v>3540.1535957142851</v>
      </c>
      <c r="J15" s="113">
        <f>((($N$2-(130*$D$2*(((B15+B14)*0.01)/2))*((I15-I14)/(A15-A14))))/((I15+I14)/2))/$D$2</f>
        <v>1.2469335960310759</v>
      </c>
      <c r="K15" s="114">
        <f>$N$2/H15/$D$2</f>
        <v>1.7542177495463507</v>
      </c>
      <c r="L15" s="114">
        <f>J15/($D$4/$D$2)</f>
        <v>1.7499068107894009</v>
      </c>
      <c r="M15" s="107">
        <f>(((S15/60)*$J$1)/$D$2)</f>
        <v>0</v>
      </c>
      <c r="N15" s="19">
        <f>K15-M15</f>
        <v>1.7542177495463507</v>
      </c>
      <c r="O15" s="74">
        <f>N15/($D$4/$D$2)</f>
        <v>2.4618132010474048</v>
      </c>
      <c r="P15" s="74"/>
      <c r="Q15" s="30"/>
      <c r="R15" s="108">
        <v>100</v>
      </c>
      <c r="S15" s="109">
        <v>0</v>
      </c>
      <c r="T15" s="13">
        <v>60</v>
      </c>
      <c r="U15" s="14">
        <v>555.96</v>
      </c>
      <c r="V15" s="15"/>
      <c r="W15" s="110"/>
      <c r="X15" s="69">
        <v>0.22700000000000001</v>
      </c>
      <c r="Y15" s="30">
        <v>110</v>
      </c>
      <c r="Z15" s="71">
        <v>52.616</v>
      </c>
      <c r="AA15" s="40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19"/>
      <c r="AY15" s="74"/>
      <c r="AZ15" s="74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40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40"/>
      <c r="CH15" s="40"/>
      <c r="CI15" s="40"/>
      <c r="CJ15" s="40"/>
      <c r="CK15" s="40"/>
      <c r="CL15" s="40"/>
      <c r="CM15" s="40"/>
      <c r="CN15" s="40"/>
      <c r="CO15" s="13"/>
      <c r="CP15" s="13"/>
      <c r="CQ15" s="13"/>
      <c r="CR15" s="13"/>
      <c r="CS15" s="13"/>
      <c r="CT15" s="13"/>
      <c r="CU15" s="13"/>
    </row>
    <row r="16" spans="1:99" ht="14.1" customHeight="1">
      <c r="A16" s="12">
        <v>110</v>
      </c>
      <c r="B16" s="75">
        <v>126</v>
      </c>
      <c r="C16" s="65">
        <f>INTERCEPT(G15:G18,A15:A18)</f>
        <v>3204.5377242857103</v>
      </c>
      <c r="D16" s="104">
        <f>AVERAGE(U21:U22)</f>
        <v>545.34500000000003</v>
      </c>
      <c r="E16" s="66">
        <f>D16-$E$5</f>
        <v>496.48</v>
      </c>
      <c r="F16" s="116">
        <v>210</v>
      </c>
      <c r="G16" s="66">
        <f t="shared" si="0"/>
        <v>3546.1084000000001</v>
      </c>
      <c r="H16" s="78">
        <f t="shared" si="1"/>
        <v>2814.3717460317462</v>
      </c>
      <c r="I16" s="33">
        <f>$C$15*A16+$C$16</f>
        <v>3573.7151828571427</v>
      </c>
      <c r="J16" s="113">
        <f>((($N$2-(130*$D$2*(((B16+B15)*0.01)/2))*((I16-I15)/(A16-A15))))/((I16+I15)/2))/$D$2</f>
        <v>1.2363947274118217</v>
      </c>
      <c r="K16" s="67">
        <f>$N$2/H16/$D$2</f>
        <v>1.758721189624644</v>
      </c>
      <c r="L16" s="67">
        <f>J16/($D$4/$D$2)</f>
        <v>1.735116898933992</v>
      </c>
      <c r="M16" s="107">
        <f>(((S16/60)*$J$1)/$D$2)</f>
        <v>0</v>
      </c>
      <c r="N16" s="19">
        <f>K16-M16</f>
        <v>1.758721189624644</v>
      </c>
      <c r="O16" s="67">
        <f>N16/($D$4/$D$2)</f>
        <v>2.4681331851187869</v>
      </c>
      <c r="P16" s="67"/>
      <c r="Q16" s="30"/>
      <c r="R16" s="108">
        <v>110</v>
      </c>
      <c r="S16" s="109">
        <v>0</v>
      </c>
      <c r="U16" s="14">
        <v>516.80999999999995</v>
      </c>
      <c r="V16" s="15"/>
      <c r="W16" s="110"/>
      <c r="X16" s="69">
        <v>0.223</v>
      </c>
      <c r="Y16" s="30">
        <v>115</v>
      </c>
      <c r="Z16" s="71">
        <v>51.98</v>
      </c>
      <c r="AA16" s="40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19"/>
      <c r="AY16" s="74"/>
      <c r="AZ16" s="74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40"/>
    </row>
    <row r="17" spans="1:67" ht="14.1" customHeight="1">
      <c r="A17" s="12">
        <v>115</v>
      </c>
      <c r="B17" s="75">
        <v>126</v>
      </c>
      <c r="C17" s="65"/>
      <c r="D17" s="104">
        <f>AVERAGE(U23:U24)</f>
        <v>535.05500000000006</v>
      </c>
      <c r="E17" s="66">
        <f>D17-$E$5</f>
        <v>486.19000000000005</v>
      </c>
      <c r="F17" s="116">
        <v>220</v>
      </c>
      <c r="G17" s="66">
        <f t="shared" si="0"/>
        <v>3472.6120750000005</v>
      </c>
      <c r="H17" s="78">
        <f t="shared" si="1"/>
        <v>2756.0413293650795</v>
      </c>
      <c r="I17" s="33">
        <f>$C$15*A17+$C$16</f>
        <v>3590.4959764285713</v>
      </c>
      <c r="J17" s="113">
        <f>((($N$2-(130*$D$2*(((B17+B16)*0.01)/2))*((I17-I16)/(A17-A16))))/((I17+I16)/2))/$D$2</f>
        <v>1.2283156735613645</v>
      </c>
      <c r="K17" s="67">
        <f>$N$2/H17/$D$2</f>
        <v>1.7959437590753478</v>
      </c>
      <c r="L17" s="67">
        <f>J17/($D$4/$D$2)</f>
        <v>1.7237790126161894</v>
      </c>
      <c r="M17" s="107">
        <f>(((S17/60)*$J$1)/$D$2)</f>
        <v>0</v>
      </c>
      <c r="N17" s="19">
        <f>K17-M17</f>
        <v>1.7959437590753478</v>
      </c>
      <c r="O17" s="67">
        <f>N17/($D$4/$D$2)</f>
        <v>2.5203701510680503</v>
      </c>
      <c r="P17" s="67"/>
      <c r="Q17" s="30"/>
      <c r="R17" s="108">
        <v>115</v>
      </c>
      <c r="S17" s="117">
        <v>0</v>
      </c>
      <c r="T17" s="40">
        <v>90</v>
      </c>
      <c r="U17" s="14">
        <v>541.91999999999996</v>
      </c>
      <c r="V17" s="15"/>
      <c r="W17" s="110"/>
      <c r="X17" s="69">
        <v>0.218</v>
      </c>
      <c r="Y17" s="30">
        <v>120</v>
      </c>
      <c r="Z17" s="71">
        <v>47.569000000000003</v>
      </c>
      <c r="AA17" s="40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19"/>
      <c r="AY17" s="74"/>
      <c r="AZ17" s="74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40"/>
    </row>
    <row r="18" spans="1:67" ht="14.1" customHeight="1">
      <c r="A18" s="12">
        <v>120</v>
      </c>
      <c r="B18" s="118">
        <v>124</v>
      </c>
      <c r="C18" s="65"/>
      <c r="D18" s="104">
        <f>AVERAGE(U25:U26)</f>
        <v>568.22</v>
      </c>
      <c r="E18" s="66">
        <f>D18-$E$5</f>
        <v>519.35500000000002</v>
      </c>
      <c r="F18" s="116">
        <v>225</v>
      </c>
      <c r="G18" s="66">
        <f t="shared" si="0"/>
        <v>3709.4930875</v>
      </c>
      <c r="H18" s="78">
        <f t="shared" si="1"/>
        <v>2991.5266834677418</v>
      </c>
      <c r="I18" s="33">
        <f>$C$15*A18+$C$16</f>
        <v>3607.2767700000004</v>
      </c>
      <c r="J18" s="113">
        <f>((($N$2-(130*$D$2*(((B18+B17)*0.01)/2))*((I18-I17)/(A18-A17))))/((I18+I17)/2))/$D$2</f>
        <v>1.2238006364790701</v>
      </c>
      <c r="K18" s="67">
        <f>$N$2/H18/$D$2</f>
        <v>1.6545716448329693</v>
      </c>
      <c r="L18" s="67">
        <f>J18/($D$4/$D$2)</f>
        <v>1.7174427536795291</v>
      </c>
      <c r="M18" s="107">
        <f>(((S18/60)*$J$1)/$D$2)</f>
        <v>0</v>
      </c>
      <c r="N18" s="19">
        <f>K18-M18</f>
        <v>1.6545716448329693</v>
      </c>
      <c r="O18" s="67">
        <f>N18/($D$4/$D$2)</f>
        <v>2.3219730380574952</v>
      </c>
      <c r="P18" s="67"/>
      <c r="Q18" s="30"/>
      <c r="R18" s="108">
        <v>120</v>
      </c>
      <c r="S18" s="117">
        <v>0</v>
      </c>
      <c r="T18" s="30"/>
      <c r="U18" s="14">
        <v>511.07</v>
      </c>
      <c r="V18" s="15"/>
      <c r="W18" s="110"/>
      <c r="X18" s="96">
        <f>AVERAGE(X13:X17)</f>
        <v>0.23359999999999997</v>
      </c>
      <c r="Y18" s="30" t="s">
        <v>107</v>
      </c>
      <c r="Z18" s="96">
        <f>AVERAGE(Z13:Z17)</f>
        <v>52.995799999999996</v>
      </c>
      <c r="AA18" s="30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5"/>
      <c r="AY18" s="95"/>
      <c r="AZ18" s="95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2"/>
      <c r="BO18" s="40"/>
    </row>
    <row r="19" spans="1:67" ht="14.1" customHeight="1" thickBot="1">
      <c r="A19" s="63"/>
      <c r="B19" s="98"/>
      <c r="C19" s="65"/>
      <c r="D19" s="99"/>
      <c r="E19" s="66"/>
      <c r="F19" s="63"/>
      <c r="G19" s="66"/>
      <c r="H19" s="66"/>
      <c r="I19" s="33"/>
      <c r="J19" s="113"/>
      <c r="K19" s="67"/>
      <c r="L19" s="67"/>
      <c r="M19" s="107"/>
      <c r="O19" s="67"/>
      <c r="P19" s="67"/>
      <c r="Q19" s="30"/>
      <c r="R19" s="108"/>
      <c r="S19" s="117"/>
      <c r="T19" s="41">
        <v>100</v>
      </c>
      <c r="U19" s="14">
        <v>554.98</v>
      </c>
      <c r="V19" s="15"/>
      <c r="W19" s="110"/>
      <c r="Y19" s="30"/>
      <c r="Z19" s="96"/>
      <c r="AA19" s="30"/>
      <c r="AB19" s="96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30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40"/>
    </row>
    <row r="20" spans="1:67" ht="14.1" customHeight="1" thickBot="1">
      <c r="A20" s="119" t="s">
        <v>112</v>
      </c>
      <c r="B20" s="120">
        <f>AVERAGE(B14:B19)</f>
        <v>126.2</v>
      </c>
      <c r="C20" s="121"/>
      <c r="D20" s="122">
        <f>AVERAGE(D14:D18)</f>
        <v>545.13700000000006</v>
      </c>
      <c r="E20" s="122">
        <f>AVERAGE(E14:E18)</f>
        <v>496.27200000000005</v>
      </c>
      <c r="F20" s="122"/>
      <c r="G20" s="122">
        <f>AVERAGE(G14:G18)</f>
        <v>3544.6227599999997</v>
      </c>
      <c r="H20" s="122">
        <f>AVERAGE(H14:H18)</f>
        <v>2809.7498589148918</v>
      </c>
      <c r="I20" s="122"/>
      <c r="J20" s="122">
        <f t="shared" ref="J20:O20" si="2">AVERAGE(J14:J18)</f>
        <v>1.233861158370833</v>
      </c>
      <c r="K20" s="123">
        <f t="shared" si="2"/>
        <v>1.7408635857698278</v>
      </c>
      <c r="L20" s="122">
        <f t="shared" si="2"/>
        <v>1.731561369004778</v>
      </c>
      <c r="M20" s="122">
        <f t="shared" si="2"/>
        <v>0</v>
      </c>
      <c r="N20" s="123">
        <f t="shared" si="2"/>
        <v>1.7408635857698278</v>
      </c>
      <c r="O20" s="122">
        <f t="shared" si="2"/>
        <v>2.4430723938229342</v>
      </c>
      <c r="P20" s="124"/>
      <c r="Q20" s="30"/>
      <c r="R20" s="108"/>
      <c r="S20" s="117"/>
      <c r="T20" s="41"/>
      <c r="U20" s="14">
        <v>546.16</v>
      </c>
      <c r="V20" s="15"/>
      <c r="W20" s="110"/>
      <c r="X20" s="69">
        <v>7.4999999999999997E-2</v>
      </c>
      <c r="Y20" s="70">
        <v>210</v>
      </c>
      <c r="Z20" s="71">
        <v>214.46</v>
      </c>
      <c r="AA20" s="40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4"/>
      <c r="AY20" s="74"/>
      <c r="AZ20" s="74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40"/>
    </row>
    <row r="21" spans="1:67" ht="14.1" customHeight="1" thickBot="1">
      <c r="A21" s="70"/>
      <c r="B21" s="118"/>
      <c r="C21" s="36"/>
      <c r="D21" s="99"/>
      <c r="E21" s="33"/>
      <c r="F21" s="125" t="s">
        <v>113</v>
      </c>
      <c r="G21" s="33"/>
      <c r="H21" s="33"/>
      <c r="I21" s="126" t="s">
        <v>114</v>
      </c>
      <c r="J21" s="127">
        <f>J20-((B18-B15)*0.25*$D$2*10)/(30*$D$2)</f>
        <v>1.483861158370833</v>
      </c>
      <c r="K21" s="74"/>
      <c r="L21" s="128" t="s">
        <v>33</v>
      </c>
      <c r="M21" s="129">
        <f>J21-M20</f>
        <v>1.483861158370833</v>
      </c>
      <c r="N21" s="19"/>
      <c r="O21" s="74"/>
      <c r="P21" s="130">
        <f>$M$20-(((B18-B14)*1.3)/(A18-A14))</f>
        <v>0.17333333333333334</v>
      </c>
      <c r="Q21" s="30"/>
      <c r="R21" s="131"/>
      <c r="S21" s="117"/>
      <c r="T21" s="41">
        <v>110</v>
      </c>
      <c r="U21" s="14">
        <v>553.73</v>
      </c>
      <c r="V21" s="15"/>
      <c r="W21" s="110"/>
      <c r="X21" s="69">
        <v>7.4999999999999997E-2</v>
      </c>
      <c r="Y21" s="70">
        <v>220</v>
      </c>
      <c r="Z21" s="71">
        <v>191.95</v>
      </c>
      <c r="AA21" s="40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4"/>
      <c r="AY21" s="74"/>
      <c r="AZ21" s="74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40"/>
    </row>
    <row r="22" spans="1:67" ht="14.1" customHeight="1" thickBot="1">
      <c r="A22" s="63"/>
      <c r="B22" s="98"/>
      <c r="C22" s="65"/>
      <c r="D22" s="99"/>
      <c r="E22" s="66"/>
      <c r="F22" s="63"/>
      <c r="G22" s="66"/>
      <c r="H22" s="66"/>
      <c r="I22" s="33"/>
      <c r="J22" s="132"/>
      <c r="K22" s="67"/>
      <c r="L22" s="133"/>
      <c r="M22" s="134"/>
      <c r="N22" s="101"/>
      <c r="O22" s="133"/>
      <c r="P22" s="133"/>
      <c r="Q22" s="30"/>
      <c r="R22" s="102" t="s">
        <v>25</v>
      </c>
      <c r="S22" s="103" t="s">
        <v>109</v>
      </c>
      <c r="T22" s="30"/>
      <c r="U22" s="14">
        <v>536.96</v>
      </c>
      <c r="V22" s="15"/>
      <c r="W22" s="110"/>
      <c r="X22" s="69">
        <v>7.0000000000000007E-2</v>
      </c>
      <c r="Y22" s="70">
        <v>230</v>
      </c>
      <c r="Z22" s="71">
        <v>134.29</v>
      </c>
      <c r="AA22" s="40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4"/>
      <c r="AY22" s="74"/>
      <c r="AZ22" s="74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40"/>
    </row>
    <row r="23" spans="1:67" ht="14.1" customHeight="1">
      <c r="A23" s="63">
        <v>210</v>
      </c>
      <c r="B23" s="75">
        <v>107</v>
      </c>
      <c r="C23" s="65"/>
      <c r="D23" s="104">
        <f>AVERAGE(U31:U32)</f>
        <v>349.76</v>
      </c>
      <c r="E23" s="78">
        <f>D23-$E$5</f>
        <v>300.89499999999998</v>
      </c>
      <c r="F23" s="78"/>
      <c r="G23" s="78">
        <f t="shared" si="0"/>
        <v>2149.1425374999999</v>
      </c>
      <c r="H23" s="78">
        <f t="shared" si="1"/>
        <v>2008.5444275700931</v>
      </c>
      <c r="I23" s="33">
        <f>$C$24*A23+$C$25</f>
        <v>2095.1697260714282</v>
      </c>
      <c r="J23" s="105" t="s">
        <v>110</v>
      </c>
      <c r="K23" s="106" t="s">
        <v>111</v>
      </c>
      <c r="L23" s="67"/>
      <c r="M23" s="19">
        <f>(((S23/60)*$J$1)/$D$2)</f>
        <v>1.9979591836734696</v>
      </c>
      <c r="N23" s="101"/>
      <c r="O23" s="133"/>
      <c r="P23" s="133"/>
      <c r="Q23" s="30"/>
      <c r="R23" s="131">
        <v>210</v>
      </c>
      <c r="S23" s="117">
        <v>66</v>
      </c>
      <c r="T23" s="13">
        <v>115</v>
      </c>
      <c r="U23" s="14">
        <v>555.76</v>
      </c>
      <c r="V23" s="15"/>
      <c r="W23" s="110"/>
      <c r="X23" s="69">
        <v>7.0000000000000007E-2</v>
      </c>
      <c r="Y23" s="70">
        <v>235</v>
      </c>
      <c r="Z23" s="71">
        <v>192.47</v>
      </c>
      <c r="AA23" s="40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4"/>
      <c r="AY23" s="74"/>
      <c r="AZ23" s="74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40"/>
    </row>
    <row r="24" spans="1:67" ht="14.1" customHeight="1">
      <c r="A24" s="63">
        <v>220</v>
      </c>
      <c r="B24" s="75">
        <v>99</v>
      </c>
      <c r="C24" s="65">
        <f>SLOPE(G24:G27,A24:A27)</f>
        <v>-18.467035785714273</v>
      </c>
      <c r="D24" s="104">
        <f>AVERAGE(U33:U34)</f>
        <v>315.32499999999999</v>
      </c>
      <c r="E24" s="66">
        <f>D24-$E$5</f>
        <v>266.45999999999998</v>
      </c>
      <c r="F24" s="111">
        <v>180</v>
      </c>
      <c r="G24" s="112">
        <f t="shared" si="0"/>
        <v>1903.1905499999998</v>
      </c>
      <c r="H24" s="112">
        <f t="shared" si="1"/>
        <v>1922.4146969696967</v>
      </c>
      <c r="I24" s="33">
        <f>$C$24*A24+$C$25</f>
        <v>1910.4993682142854</v>
      </c>
      <c r="J24" s="113">
        <f>((($N$2-(130*$D$2*(((B24+B23)*0.01)/2))*((I24-I23)/(A24-A23))))/((I24+I23)/2))/$D$2</f>
        <v>3.7059632946328742</v>
      </c>
      <c r="K24" s="114">
        <f>$N$2/H24/$D$2</f>
        <v>2.5747281442600007</v>
      </c>
      <c r="L24" s="114">
        <f>J24/($D$4/$D$2)</f>
        <v>5.2008306059402809</v>
      </c>
      <c r="M24" s="107">
        <f>(((S24/60)*$J$1)/$D$2)</f>
        <v>2.5125850340136053</v>
      </c>
      <c r="N24" s="19">
        <f>K24-M24</f>
        <v>6.2143110246395405E-2</v>
      </c>
      <c r="O24" s="74">
        <f>N24/($D$4/$D$2)</f>
        <v>8.7209657523008799E-2</v>
      </c>
      <c r="P24" s="74"/>
      <c r="Q24" s="30"/>
      <c r="R24" s="131">
        <v>220</v>
      </c>
      <c r="S24" s="117">
        <v>83</v>
      </c>
      <c r="U24" s="14">
        <v>514.35</v>
      </c>
      <c r="V24" s="15"/>
      <c r="W24" s="110"/>
      <c r="X24" s="69">
        <v>6.6000000000000003E-2</v>
      </c>
      <c r="Y24" s="70">
        <v>240</v>
      </c>
      <c r="Z24" s="71">
        <v>204.66</v>
      </c>
      <c r="AA24" s="40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4"/>
      <c r="AY24" s="74"/>
      <c r="AZ24" s="74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40"/>
    </row>
    <row r="25" spans="1:67" ht="14.1" customHeight="1">
      <c r="A25" s="63">
        <v>230</v>
      </c>
      <c r="B25" s="75">
        <v>89</v>
      </c>
      <c r="C25" s="65">
        <f>INTERCEPT(G24:G27,A24:A27)</f>
        <v>5973.2472410714254</v>
      </c>
      <c r="D25" s="104">
        <f>AVERAGE(U35:U36)</f>
        <v>293.60000000000002</v>
      </c>
      <c r="E25" s="66">
        <f>D25-$E$5</f>
        <v>244.73500000000001</v>
      </c>
      <c r="F25" s="111">
        <v>180</v>
      </c>
      <c r="G25" s="112">
        <f t="shared" si="0"/>
        <v>1748.0197375</v>
      </c>
      <c r="H25" s="112">
        <f t="shared" si="1"/>
        <v>1964.0671207865169</v>
      </c>
      <c r="I25" s="33">
        <f>$C$24*A25+$C$25</f>
        <v>1725.8290103571426</v>
      </c>
      <c r="J25" s="113">
        <f>((($N$2-(130*$D$2*(((B25+B24)*0.01)/2))*((I25-I24)/(A25-A24))))/((I25+I24)/2))/$D$2</f>
        <v>3.9635402790945555</v>
      </c>
      <c r="K25" s="114">
        <f>$N$2/H25/$D$2</f>
        <v>2.5201252914639793</v>
      </c>
      <c r="L25" s="114">
        <f>J25/($D$4/$D$2)</f>
        <v>5.5623059249522635</v>
      </c>
      <c r="M25" s="107">
        <f>(((S25/60)*$J$1)/$D$2)</f>
        <v>2.9969387755102042</v>
      </c>
      <c r="N25" s="19">
        <f>K25-M25</f>
        <v>-0.47681348404622481</v>
      </c>
      <c r="O25" s="114">
        <f>N25/($D$4/$D$2)</f>
        <v>-0.6691448252453035</v>
      </c>
      <c r="P25" s="74"/>
      <c r="Q25" s="30"/>
      <c r="R25" s="131">
        <v>230</v>
      </c>
      <c r="S25" s="117">
        <v>99</v>
      </c>
      <c r="T25" s="13">
        <v>120</v>
      </c>
      <c r="U25" s="14">
        <v>585.28</v>
      </c>
      <c r="V25" s="15"/>
      <c r="W25" s="110"/>
      <c r="X25" s="96">
        <f>AVERAGE(X20:X24)</f>
        <v>7.1200000000000013E-2</v>
      </c>
      <c r="Y25" s="57" t="s">
        <v>107</v>
      </c>
      <c r="Z25" s="96">
        <f>AVERAGE(Z20:Z24)</f>
        <v>187.56599999999997</v>
      </c>
      <c r="AA25" s="30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5"/>
      <c r="AY25" s="95"/>
      <c r="AZ25" s="95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40"/>
    </row>
    <row r="26" spans="1:67" ht="14.1" customHeight="1">
      <c r="A26" s="63">
        <v>235</v>
      </c>
      <c r="B26" s="75">
        <v>87</v>
      </c>
      <c r="C26" s="65"/>
      <c r="D26" s="104">
        <f>AVERAGE(U37:U38)</f>
        <v>275.44499999999999</v>
      </c>
      <c r="E26" s="66">
        <f>D26-$E$5</f>
        <v>226.57999999999998</v>
      </c>
      <c r="F26" s="111">
        <v>180</v>
      </c>
      <c r="G26" s="112">
        <f t="shared" si="0"/>
        <v>1618.3476499999999</v>
      </c>
      <c r="H26" s="112">
        <f t="shared" si="1"/>
        <v>1860.1697126436782</v>
      </c>
      <c r="I26" s="33">
        <f>$C$24*A26+$C$25</f>
        <v>1633.493831428571</v>
      </c>
      <c r="J26" s="113">
        <f>((($N$2-(130*$D$2*(((B26+B25)*0.01)/2))*((I26-I25)/(A26-A25))))/((I26+I25)/2))/$D$2</f>
        <v>4.204611733809152</v>
      </c>
      <c r="K26" s="114">
        <f>$N$2/H26/$D$2</f>
        <v>2.6608836772169671</v>
      </c>
      <c r="L26" s="114">
        <f>J26/($D$4/$D$2)</f>
        <v>5.9006179103175755</v>
      </c>
      <c r="M26" s="107">
        <f>(((S26/60)*$J$1)/$D$2)</f>
        <v>3.5115646258503399</v>
      </c>
      <c r="N26" s="19">
        <f>K26-M26</f>
        <v>-0.85068094863337285</v>
      </c>
      <c r="O26" s="114">
        <f>N26/($D$4/$D$2)</f>
        <v>-1.1938184924686468</v>
      </c>
      <c r="P26" s="74"/>
      <c r="Q26" s="30"/>
      <c r="R26" s="131">
        <v>235</v>
      </c>
      <c r="S26" s="117">
        <v>116</v>
      </c>
      <c r="U26" s="14">
        <v>551.16</v>
      </c>
      <c r="V26" s="15"/>
      <c r="W26" s="11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</row>
    <row r="27" spans="1:67" ht="14.1" customHeight="1">
      <c r="A27" s="63">
        <v>240</v>
      </c>
      <c r="B27" s="118">
        <v>93</v>
      </c>
      <c r="C27" s="65"/>
      <c r="D27" s="104">
        <f>AVERAGE(U39:U40)</f>
        <v>264.67500000000001</v>
      </c>
      <c r="E27" s="66">
        <f>D27-$E$5</f>
        <v>215.81</v>
      </c>
      <c r="F27" s="111">
        <v>180</v>
      </c>
      <c r="G27" s="112">
        <f t="shared" si="0"/>
        <v>1541.4229250000001</v>
      </c>
      <c r="H27" s="112">
        <f t="shared" si="1"/>
        <v>1657.4440053763442</v>
      </c>
      <c r="I27" s="33">
        <f>$C$24*A27+$C$25</f>
        <v>1541.1586525000002</v>
      </c>
      <c r="J27" s="113">
        <f>((($N$2-(130*$D$2*(((B27+B26)*0.01)/2))*((I27-I26)/(A27-A26))))/((I27+I26)/2))/$D$2</f>
        <v>4.4794436229798533</v>
      </c>
      <c r="K27" s="114">
        <f>$N$2/H27/$D$2</f>
        <v>2.98634234952815</v>
      </c>
      <c r="L27" s="114">
        <f>J27/($D$4/$D$2)</f>
        <v>6.286308211880308</v>
      </c>
      <c r="M27" s="107">
        <f>(((S27/60)*$J$1)/$D$2)</f>
        <v>4.5105442176870749</v>
      </c>
      <c r="N27" s="19">
        <f>K27-M27</f>
        <v>-1.5242018681589249</v>
      </c>
      <c r="O27" s="114">
        <f>N27/($D$4/$D$2)</f>
        <v>-2.1390162544331344</v>
      </c>
      <c r="P27" s="74"/>
      <c r="Q27" s="30"/>
      <c r="R27" s="131">
        <v>240</v>
      </c>
      <c r="S27" s="117">
        <v>149</v>
      </c>
      <c r="T27" s="13">
        <v>150</v>
      </c>
      <c r="U27" s="14">
        <v>483.21</v>
      </c>
      <c r="V27" s="15"/>
      <c r="W27" s="11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</row>
    <row r="28" spans="1:67" ht="14.1" customHeight="1" thickBot="1">
      <c r="A28" s="63"/>
      <c r="B28" s="118"/>
      <c r="C28" s="65"/>
      <c r="D28" s="99"/>
      <c r="E28" s="66"/>
      <c r="F28" s="135"/>
      <c r="G28" s="112"/>
      <c r="H28" s="112"/>
      <c r="I28" s="33"/>
      <c r="J28" s="113"/>
      <c r="K28" s="114"/>
      <c r="L28" s="114"/>
      <c r="M28" s="107"/>
      <c r="N28" s="107"/>
      <c r="O28" s="114"/>
      <c r="P28" s="74"/>
      <c r="Q28" s="30"/>
      <c r="R28" s="108"/>
      <c r="S28" s="117"/>
      <c r="U28" s="14">
        <v>471.79</v>
      </c>
      <c r="V28" s="15"/>
      <c r="W28" s="110"/>
      <c r="X28" s="69"/>
      <c r="Y28" s="13" t="s">
        <v>115</v>
      </c>
    </row>
    <row r="29" spans="1:67" ht="14.1" customHeight="1" thickBot="1">
      <c r="A29" s="119" t="s">
        <v>112</v>
      </c>
      <c r="B29" s="122">
        <f>AVERAGE(B23:B28)</f>
        <v>95</v>
      </c>
      <c r="C29" s="121"/>
      <c r="D29" s="122">
        <f>AVERAGE(D23:D28)</f>
        <v>299.76100000000002</v>
      </c>
      <c r="E29" s="122">
        <f>AVERAGE(E23:E28)</f>
        <v>250.89600000000002</v>
      </c>
      <c r="F29" s="122">
        <f>AVERAGE(F24:F28)</f>
        <v>180</v>
      </c>
      <c r="G29" s="122">
        <f>AVERAGE(G23:G28)</f>
        <v>1792.02468</v>
      </c>
      <c r="H29" s="122">
        <f>AVERAGE(H23:H28)</f>
        <v>1882.527992669266</v>
      </c>
      <c r="I29" s="122"/>
      <c r="J29" s="122">
        <f t="shared" ref="J29:O29" si="3">AVERAGE(J23:J28)</f>
        <v>4.0883897326291088</v>
      </c>
      <c r="K29" s="123">
        <f t="shared" si="3"/>
        <v>2.6855198656172741</v>
      </c>
      <c r="L29" s="122">
        <f t="shared" si="3"/>
        <v>5.7375156632726068</v>
      </c>
      <c r="M29" s="122">
        <f t="shared" si="3"/>
        <v>3.1059183673469386</v>
      </c>
      <c r="N29" s="123">
        <f t="shared" si="3"/>
        <v>-0.69738829764803179</v>
      </c>
      <c r="O29" s="122">
        <f t="shared" si="3"/>
        <v>-0.97869247865601894</v>
      </c>
      <c r="P29" s="122"/>
      <c r="Q29" s="136"/>
      <c r="R29" s="137"/>
      <c r="S29" s="138"/>
      <c r="T29" s="13">
        <v>180</v>
      </c>
      <c r="U29" s="14">
        <v>378.88</v>
      </c>
      <c r="V29" s="15"/>
      <c r="W29" s="110"/>
      <c r="X29" s="69"/>
      <c r="Y29" s="13" t="s">
        <v>116</v>
      </c>
    </row>
    <row r="30" spans="1:67" ht="14.1" customHeight="1">
      <c r="A30" s="70"/>
      <c r="B30" s="139"/>
      <c r="C30" s="36"/>
      <c r="D30" s="99"/>
      <c r="E30" s="33"/>
      <c r="F30" s="125" t="s">
        <v>117</v>
      </c>
      <c r="G30" s="33"/>
      <c r="H30" s="33"/>
      <c r="I30" s="140" t="s">
        <v>114</v>
      </c>
      <c r="J30" s="141">
        <f>J29-((B27-B24)*0.25*$D$2*10)/(20*$D$2)</f>
        <v>4.8383897326291088</v>
      </c>
      <c r="K30" s="74"/>
      <c r="L30" s="142" t="s">
        <v>33</v>
      </c>
      <c r="M30" s="143">
        <f>J30-M29</f>
        <v>1.7324713652821702</v>
      </c>
      <c r="N30" s="19">
        <f>AVERAGE(J24:J25)-M29</f>
        <v>0.72883341951677627</v>
      </c>
      <c r="O30" s="74"/>
      <c r="P30" s="130">
        <f>$M$29-(((B27-B23)*1.3)/(A27-A23))</f>
        <v>3.7125850340136051</v>
      </c>
      <c r="Q30" s="30"/>
      <c r="R30" s="63"/>
      <c r="S30" s="144"/>
      <c r="U30" s="14">
        <v>386.61</v>
      </c>
      <c r="V30" s="15"/>
      <c r="W30" s="110"/>
      <c r="X30" s="69"/>
      <c r="Y30" s="13" t="s">
        <v>118</v>
      </c>
    </row>
    <row r="31" spans="1:67" ht="14.1" customHeight="1">
      <c r="A31" s="145"/>
      <c r="B31" s="139"/>
      <c r="C31" s="146"/>
      <c r="D31" s="147"/>
      <c r="E31" s="148"/>
      <c r="F31" s="145"/>
      <c r="G31" s="148"/>
      <c r="H31" s="148"/>
      <c r="I31" s="148"/>
      <c r="J31" s="149"/>
      <c r="K31" s="150"/>
      <c r="L31" s="133"/>
      <c r="M31" s="134"/>
      <c r="N31" s="101"/>
      <c r="O31" s="150"/>
      <c r="P31" s="150"/>
      <c r="Q31" s="96"/>
      <c r="R31" s="151"/>
      <c r="S31" s="101" t="s">
        <v>32</v>
      </c>
      <c r="T31" s="13">
        <v>210</v>
      </c>
      <c r="U31" s="14">
        <v>361.22</v>
      </c>
      <c r="V31" s="15"/>
      <c r="W31" s="110"/>
      <c r="X31" s="69"/>
      <c r="Y31" s="13" t="s">
        <v>119</v>
      </c>
    </row>
    <row r="32" spans="1:67" ht="14.1" customHeight="1">
      <c r="A32" s="145"/>
      <c r="B32" s="148"/>
      <c r="C32" s="146"/>
      <c r="D32" s="147"/>
      <c r="E32" s="148"/>
      <c r="F32" s="148"/>
      <c r="G32" s="148"/>
      <c r="H32" s="148"/>
      <c r="I32" s="148"/>
      <c r="J32" s="152"/>
      <c r="K32" s="153"/>
      <c r="L32" s="58"/>
      <c r="M32" s="124"/>
      <c r="N32" s="101"/>
      <c r="O32" s="150"/>
      <c r="P32" s="150"/>
      <c r="Q32" s="96"/>
      <c r="R32" s="145"/>
      <c r="S32" s="58"/>
      <c r="U32" s="14">
        <v>338.3</v>
      </c>
      <c r="V32" s="15"/>
      <c r="W32" s="110"/>
      <c r="X32" s="69"/>
      <c r="Y32" s="13" t="s">
        <v>120</v>
      </c>
    </row>
    <row r="33" spans="1:99" ht="14.1" customHeight="1">
      <c r="A33" s="145"/>
      <c r="B33" s="148"/>
      <c r="C33" s="146"/>
      <c r="D33" s="147"/>
      <c r="E33" s="148"/>
      <c r="F33" s="145"/>
      <c r="G33" s="148"/>
      <c r="H33" s="148"/>
      <c r="I33" s="148"/>
      <c r="J33" s="149"/>
      <c r="K33" s="150"/>
      <c r="L33" s="150"/>
      <c r="M33" s="124"/>
      <c r="N33" s="124"/>
      <c r="O33" s="150"/>
      <c r="P33" s="150"/>
      <c r="Q33" s="96"/>
      <c r="R33" s="145"/>
      <c r="S33" s="58"/>
      <c r="T33" s="13">
        <v>220</v>
      </c>
      <c r="U33" s="14">
        <v>313.14999999999998</v>
      </c>
      <c r="V33" s="15"/>
      <c r="W33" s="110"/>
      <c r="X33" s="69"/>
      <c r="Y33" s="20" t="s">
        <v>121</v>
      </c>
    </row>
    <row r="34" spans="1:99" ht="14.1" customHeight="1">
      <c r="A34" s="145"/>
      <c r="B34" s="148"/>
      <c r="C34" s="146"/>
      <c r="D34" s="147"/>
      <c r="E34" s="148"/>
      <c r="F34" s="145"/>
      <c r="G34" s="148"/>
      <c r="H34" s="148"/>
      <c r="I34" s="148"/>
      <c r="J34" s="149"/>
      <c r="K34" s="150"/>
      <c r="L34" s="150"/>
      <c r="M34" s="124"/>
      <c r="N34" s="124"/>
      <c r="O34" s="150"/>
      <c r="P34" s="150"/>
      <c r="Q34" s="96"/>
      <c r="R34" s="145"/>
      <c r="S34" s="58"/>
      <c r="U34" s="14">
        <v>317.5</v>
      </c>
      <c r="V34" s="15"/>
      <c r="W34" s="110"/>
    </row>
    <row r="35" spans="1:99" ht="14.1" customHeight="1">
      <c r="A35" s="145"/>
      <c r="B35" s="148"/>
      <c r="C35" s="146"/>
      <c r="D35" s="147"/>
      <c r="E35" s="148"/>
      <c r="F35" s="145"/>
      <c r="G35" s="148"/>
      <c r="H35" s="148"/>
      <c r="I35" s="148"/>
      <c r="J35" s="149"/>
      <c r="K35" s="150"/>
      <c r="L35" s="150"/>
      <c r="M35" s="124"/>
      <c r="N35" s="124"/>
      <c r="O35" s="150"/>
      <c r="P35" s="150"/>
      <c r="Q35" s="96"/>
      <c r="R35" s="145"/>
      <c r="S35" s="58"/>
      <c r="T35" s="13">
        <v>230</v>
      </c>
      <c r="U35" s="14">
        <v>310.37</v>
      </c>
      <c r="V35" s="15"/>
      <c r="W35" s="110"/>
    </row>
    <row r="36" spans="1:99" ht="14.1" customHeight="1">
      <c r="A36" s="145"/>
      <c r="B36" s="139"/>
      <c r="C36" s="146"/>
      <c r="D36" s="147"/>
      <c r="E36" s="148"/>
      <c r="F36" s="145"/>
      <c r="G36" s="148"/>
      <c r="H36" s="148"/>
      <c r="I36" s="148"/>
      <c r="J36" s="149"/>
      <c r="K36" s="150"/>
      <c r="L36" s="150"/>
      <c r="M36" s="124"/>
      <c r="N36" s="124"/>
      <c r="O36" s="150"/>
      <c r="P36" s="150"/>
      <c r="Q36" s="96"/>
      <c r="R36" s="145"/>
      <c r="S36" s="58"/>
      <c r="U36" s="14">
        <v>276.83</v>
      </c>
      <c r="V36" s="15"/>
      <c r="W36" s="110"/>
      <c r="X36"/>
    </row>
    <row r="37" spans="1:99" ht="14.1" customHeight="1">
      <c r="A37" s="145"/>
      <c r="B37" s="139"/>
      <c r="C37" s="146"/>
      <c r="D37" s="147"/>
      <c r="E37" s="148"/>
      <c r="F37" s="145"/>
      <c r="G37" s="148"/>
      <c r="H37" s="148"/>
      <c r="I37" s="148"/>
      <c r="J37" s="149"/>
      <c r="K37" s="150"/>
      <c r="L37" s="150"/>
      <c r="M37" s="124"/>
      <c r="N37" s="124"/>
      <c r="O37" s="150"/>
      <c r="P37" s="150"/>
      <c r="Q37" s="96"/>
      <c r="R37" s="96"/>
      <c r="S37" s="58"/>
      <c r="T37" s="13">
        <v>235</v>
      </c>
      <c r="U37" s="14">
        <v>269.93</v>
      </c>
      <c r="V37" s="15"/>
      <c r="W37" s="15"/>
      <c r="X37" s="6"/>
    </row>
    <row r="38" spans="1:99" s="156" customFormat="1" ht="14.1" customHeight="1">
      <c r="A38" s="154"/>
      <c r="B38" s="139"/>
      <c r="C38" s="155"/>
      <c r="D38" s="139"/>
      <c r="E38" s="139"/>
      <c r="F38" s="139"/>
      <c r="G38" s="139"/>
      <c r="H38" s="139"/>
      <c r="I38" s="139"/>
      <c r="J38" s="124"/>
      <c r="K38" s="124"/>
      <c r="L38" s="124"/>
      <c r="M38" s="124"/>
      <c r="N38" s="124"/>
      <c r="O38" s="124"/>
      <c r="P38" s="124"/>
      <c r="Q38" s="155"/>
      <c r="R38" s="145"/>
      <c r="S38" s="58"/>
      <c r="T38" s="13"/>
      <c r="U38" s="14">
        <v>280.95999999999998</v>
      </c>
      <c r="V38" s="15"/>
      <c r="W38" s="15"/>
      <c r="X38" s="6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</row>
    <row r="39" spans="1:99" s="3" customFormat="1" ht="14.1" customHeight="1">
      <c r="A39" s="157"/>
      <c r="B39" s="158"/>
      <c r="C39" s="159"/>
      <c r="D39" s="160"/>
      <c r="E39" s="160"/>
      <c r="F39" s="161"/>
      <c r="G39" s="160"/>
      <c r="H39" s="148"/>
      <c r="I39" s="162"/>
      <c r="J39" s="163"/>
      <c r="K39" s="150"/>
      <c r="L39" s="155"/>
      <c r="M39" s="134"/>
      <c r="N39" s="155"/>
      <c r="O39" s="155"/>
      <c r="P39" s="155"/>
      <c r="Q39" s="58"/>
      <c r="R39" s="58"/>
      <c r="S39" s="58"/>
      <c r="T39" s="13">
        <v>240</v>
      </c>
      <c r="U39" s="14">
        <v>268.06</v>
      </c>
      <c r="V39" s="15"/>
      <c r="W39" s="15"/>
      <c r="X39" s="6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</row>
    <row r="40" spans="1:99" ht="14.1" customHeight="1">
      <c r="A40" s="164"/>
      <c r="B40" s="165"/>
      <c r="C40" s="164"/>
      <c r="D40" s="148"/>
      <c r="E40" s="164"/>
      <c r="F40" s="164"/>
      <c r="G40" s="96"/>
      <c r="H40" s="101"/>
      <c r="I40" s="58"/>
      <c r="J40" s="155"/>
      <c r="K40" s="166"/>
      <c r="L40" s="167"/>
      <c r="M40" s="168"/>
      <c r="N40" s="134"/>
      <c r="O40" s="169"/>
      <c r="P40" s="169"/>
      <c r="Q40" s="58"/>
      <c r="R40" s="58"/>
      <c r="S40" s="58"/>
      <c r="U40" s="14">
        <v>261.29000000000002</v>
      </c>
      <c r="V40" s="15"/>
      <c r="W40" s="15"/>
    </row>
    <row r="41" spans="1:99" ht="14.1" customHeight="1">
      <c r="A41" s="164"/>
      <c r="B41" s="170"/>
      <c r="C41" s="164"/>
      <c r="D41" s="171"/>
      <c r="E41" s="164"/>
      <c r="F41" s="164"/>
      <c r="G41" s="124"/>
      <c r="H41" s="58"/>
      <c r="I41" s="58"/>
      <c r="J41" s="170"/>
      <c r="K41" s="170"/>
      <c r="L41" s="96"/>
      <c r="M41" s="172"/>
      <c r="N41" s="160"/>
      <c r="O41" s="58"/>
      <c r="P41" s="58"/>
      <c r="Q41" s="58"/>
      <c r="R41" s="58"/>
      <c r="S41" s="58"/>
      <c r="U41" s="173"/>
      <c r="V41" s="174"/>
      <c r="W41" s="175"/>
    </row>
    <row r="42" spans="1:99" ht="14.1" customHeight="1">
      <c r="A42" s="3"/>
      <c r="B42" s="3"/>
      <c r="C42" s="3"/>
      <c r="D42" s="33"/>
      <c r="E42" s="3"/>
      <c r="F42" s="3"/>
      <c r="G42" s="19"/>
      <c r="H42" s="40"/>
      <c r="I42" s="40"/>
      <c r="J42" s="30"/>
      <c r="K42" s="30"/>
      <c r="L42" s="30"/>
      <c r="M42" s="30"/>
      <c r="N42" s="33"/>
      <c r="O42" s="33"/>
      <c r="P42" s="33"/>
      <c r="Q42" s="40"/>
      <c r="R42" s="40"/>
      <c r="U42" s="173"/>
      <c r="V42" s="174"/>
      <c r="W42" s="175"/>
    </row>
    <row r="43" spans="1:99" ht="14.1" customHeight="1">
      <c r="A43" s="30"/>
      <c r="B43" s="176"/>
      <c r="C43" s="3"/>
      <c r="D43" s="33"/>
      <c r="E43" s="177"/>
      <c r="F43" s="177"/>
      <c r="G43" s="33"/>
      <c r="H43" s="174"/>
      <c r="I43" s="40"/>
      <c r="J43" s="30"/>
      <c r="K43" s="30"/>
      <c r="L43" s="30"/>
      <c r="M43" s="33"/>
      <c r="N43" s="178"/>
      <c r="O43" s="33"/>
      <c r="P43" s="33"/>
      <c r="Q43" s="40"/>
      <c r="R43" s="40"/>
      <c r="U43" s="173"/>
      <c r="V43" s="174"/>
      <c r="W43" s="175"/>
    </row>
    <row r="44" spans="1:99" ht="14.1" customHeight="1">
      <c r="A44" s="3"/>
      <c r="B44" s="30"/>
      <c r="C44" s="3"/>
      <c r="D44" s="41"/>
      <c r="E44" s="42"/>
      <c r="F44" s="42"/>
      <c r="G44" s="19"/>
      <c r="H44" s="19"/>
      <c r="I44" s="30"/>
      <c r="J44" s="179"/>
      <c r="K44" s="179"/>
      <c r="L44" s="180"/>
      <c r="M44" s="39"/>
      <c r="N44" s="179"/>
      <c r="O44" s="180"/>
      <c r="P44" s="180"/>
      <c r="Q44" s="46"/>
      <c r="R44" s="46"/>
      <c r="U44" s="173"/>
      <c r="V44" s="174"/>
      <c r="W44" s="175"/>
    </row>
    <row r="45" spans="1:99" s="1" customFormat="1" ht="14.1" customHeight="1">
      <c r="A45" s="3"/>
      <c r="B45" s="181"/>
      <c r="C45" s="181"/>
      <c r="D45" s="25"/>
      <c r="E45" s="181"/>
      <c r="F45" s="181"/>
      <c r="G45" s="181"/>
      <c r="H45" s="95"/>
      <c r="I45" s="95"/>
      <c r="J45" s="182"/>
      <c r="K45" s="182"/>
      <c r="L45" s="182"/>
      <c r="M45" s="182"/>
      <c r="N45" s="182"/>
      <c r="O45" s="54"/>
      <c r="P45" s="54"/>
      <c r="Q45" s="55"/>
      <c r="R45" s="55"/>
      <c r="S45" s="13"/>
      <c r="T45" s="13"/>
      <c r="U45" s="173"/>
      <c r="V45" s="40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</row>
    <row r="46" spans="1:99" ht="14.1" customHeight="1">
      <c r="A46" s="70"/>
      <c r="B46" s="33"/>
      <c r="C46" s="36"/>
      <c r="D46" s="33"/>
      <c r="E46" s="33"/>
      <c r="F46" s="33"/>
      <c r="G46" s="33"/>
      <c r="H46" s="33"/>
      <c r="I46" s="33"/>
      <c r="J46" s="74"/>
      <c r="K46" s="74"/>
      <c r="L46" s="74"/>
      <c r="M46" s="30"/>
      <c r="N46" s="19"/>
      <c r="O46" s="74"/>
      <c r="P46" s="74"/>
      <c r="Q46" s="30"/>
      <c r="R46" s="30"/>
      <c r="U46" s="173"/>
    </row>
    <row r="47" spans="1:99" ht="14.1" customHeight="1">
      <c r="A47" s="70"/>
      <c r="B47" s="33"/>
      <c r="C47" s="36"/>
      <c r="D47" s="33"/>
      <c r="E47" s="33"/>
      <c r="F47" s="33"/>
      <c r="G47" s="33"/>
      <c r="H47" s="33"/>
      <c r="I47" s="33"/>
      <c r="J47" s="74"/>
      <c r="K47" s="74"/>
      <c r="L47" s="74"/>
      <c r="M47" s="30"/>
      <c r="N47" s="19"/>
      <c r="O47" s="74"/>
      <c r="P47" s="74"/>
      <c r="Q47" s="30"/>
      <c r="R47" s="30"/>
      <c r="T47" s="40"/>
      <c r="U47" s="173"/>
    </row>
    <row r="48" spans="1:99" s="80" customFormat="1" ht="14.1" customHeight="1">
      <c r="A48" s="183"/>
      <c r="B48" s="25"/>
      <c r="C48" s="184"/>
      <c r="D48" s="25"/>
      <c r="E48" s="25"/>
      <c r="F48" s="25"/>
      <c r="G48" s="25"/>
      <c r="H48" s="25"/>
      <c r="I48" s="25"/>
      <c r="J48" s="95"/>
      <c r="K48" s="95"/>
      <c r="L48" s="95"/>
      <c r="M48" s="95"/>
      <c r="N48" s="95"/>
      <c r="O48" s="95"/>
      <c r="P48" s="95"/>
      <c r="Q48" s="95"/>
      <c r="R48" s="95"/>
      <c r="S48" s="13"/>
      <c r="T48" s="40"/>
      <c r="U48" s="17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</row>
    <row r="49" spans="1:99" ht="14.1" customHeight="1">
      <c r="A49" s="30"/>
      <c r="B49" s="176"/>
      <c r="C49" s="185"/>
      <c r="D49" s="33"/>
      <c r="E49" s="40"/>
      <c r="F49" s="40"/>
      <c r="G49" s="40"/>
      <c r="H49" s="40"/>
      <c r="I49" s="40"/>
      <c r="J49" s="40"/>
      <c r="K49" s="40"/>
      <c r="L49" s="40"/>
      <c r="M49" s="30"/>
      <c r="N49" s="40"/>
      <c r="O49" s="40"/>
      <c r="P49" s="40"/>
      <c r="Q49" s="30"/>
      <c r="R49" s="30"/>
      <c r="T49" s="40"/>
      <c r="U49" s="173"/>
    </row>
    <row r="50" spans="1:99" ht="14.1" customHeight="1">
      <c r="A50" s="30"/>
      <c r="B50" s="176"/>
      <c r="C50" s="185"/>
      <c r="D50" s="33"/>
      <c r="E50" s="40"/>
      <c r="F50" s="40"/>
      <c r="G50" s="40"/>
      <c r="H50" s="40"/>
      <c r="I50" s="40"/>
      <c r="J50" s="40"/>
      <c r="K50" s="40"/>
      <c r="L50" s="40"/>
      <c r="M50" s="30"/>
      <c r="N50" s="40"/>
      <c r="O50" s="40"/>
      <c r="P50" s="40"/>
      <c r="Q50" s="30"/>
      <c r="R50" s="30"/>
      <c r="T50" s="40"/>
      <c r="U50" s="173"/>
    </row>
    <row r="51" spans="1:99" ht="14.1" customHeight="1">
      <c r="A51" s="30"/>
      <c r="B51" s="176"/>
      <c r="C51" s="185"/>
      <c r="D51" s="33"/>
      <c r="E51" s="40"/>
      <c r="F51" s="40"/>
      <c r="G51" s="40"/>
      <c r="H51" s="40"/>
      <c r="I51" s="40"/>
      <c r="J51" s="40"/>
      <c r="K51" s="40"/>
      <c r="L51" s="40"/>
      <c r="M51" s="19"/>
      <c r="N51" s="40"/>
      <c r="O51" s="40"/>
      <c r="P51" s="40"/>
      <c r="Q51" s="30"/>
      <c r="R51" s="30"/>
      <c r="T51" s="40"/>
      <c r="U51" s="173"/>
    </row>
    <row r="52" spans="1:99" ht="14.1" customHeight="1">
      <c r="A52" s="30"/>
      <c r="B52" s="176"/>
      <c r="C52" s="185"/>
      <c r="D52" s="33"/>
      <c r="E52" s="40"/>
      <c r="F52" s="40"/>
      <c r="G52" s="40"/>
      <c r="H52" s="40"/>
      <c r="I52" s="40"/>
      <c r="J52" s="40"/>
      <c r="K52" s="40"/>
      <c r="L52" s="40"/>
      <c r="M52" s="19"/>
      <c r="N52" s="40"/>
      <c r="O52" s="40"/>
      <c r="P52" s="40"/>
      <c r="Q52" s="30"/>
      <c r="R52" s="30"/>
      <c r="U52" s="173"/>
    </row>
    <row r="53" spans="1:99" ht="14.1" customHeight="1">
      <c r="A53" s="30"/>
      <c r="B53" s="176"/>
      <c r="C53" s="186"/>
      <c r="D53" s="33"/>
      <c r="E53" s="33"/>
      <c r="F53" s="33"/>
      <c r="G53" s="33"/>
      <c r="H53" s="33"/>
      <c r="I53" s="33"/>
      <c r="J53" s="187"/>
      <c r="K53" s="188"/>
      <c r="L53" s="40"/>
      <c r="M53" s="19"/>
      <c r="N53" s="40"/>
      <c r="O53" s="40"/>
      <c r="P53" s="40"/>
      <c r="Q53" s="30"/>
      <c r="R53" s="30"/>
      <c r="U53" s="173"/>
    </row>
    <row r="54" spans="1:99" ht="14.1" customHeight="1">
      <c r="A54" s="70"/>
      <c r="B54" s="189"/>
      <c r="C54" s="36"/>
      <c r="D54" s="33"/>
      <c r="E54" s="33"/>
      <c r="F54" s="33"/>
      <c r="G54" s="33"/>
      <c r="H54" s="33"/>
      <c r="I54" s="33"/>
      <c r="J54" s="132"/>
      <c r="K54" s="74"/>
      <c r="L54" s="74"/>
      <c r="M54" s="19"/>
      <c r="N54" s="19"/>
      <c r="O54" s="74"/>
      <c r="P54" s="74"/>
      <c r="Q54" s="30"/>
      <c r="R54" s="30"/>
      <c r="U54" s="173"/>
    </row>
    <row r="55" spans="1:99" ht="14.1" customHeight="1">
      <c r="A55" s="70"/>
      <c r="B55" s="189"/>
      <c r="C55" s="36"/>
      <c r="D55" s="33"/>
      <c r="E55" s="33"/>
      <c r="F55" s="33"/>
      <c r="G55" s="33"/>
      <c r="H55" s="33"/>
      <c r="I55" s="33"/>
      <c r="J55" s="132"/>
      <c r="K55" s="74"/>
      <c r="L55" s="74"/>
      <c r="M55" s="19"/>
      <c r="N55" s="19"/>
      <c r="O55" s="74"/>
      <c r="P55" s="74"/>
      <c r="Q55" s="30"/>
      <c r="R55" s="30"/>
      <c r="U55" s="173"/>
    </row>
    <row r="56" spans="1:99" s="30" customFormat="1" ht="14.1" customHeight="1">
      <c r="A56" s="70"/>
      <c r="B56" s="189"/>
      <c r="C56" s="36"/>
      <c r="D56" s="33"/>
      <c r="E56" s="33"/>
      <c r="F56" s="33"/>
      <c r="G56" s="33"/>
      <c r="H56" s="33"/>
      <c r="I56" s="33"/>
      <c r="J56" s="132"/>
      <c r="K56" s="74"/>
      <c r="L56" s="74"/>
      <c r="M56" s="19"/>
      <c r="N56" s="19"/>
      <c r="O56" s="74"/>
      <c r="P56" s="74"/>
      <c r="S56" s="13"/>
      <c r="T56" s="13"/>
      <c r="U56" s="17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</row>
    <row r="57" spans="1:99" ht="14.1" customHeight="1">
      <c r="A57" s="70"/>
      <c r="B57" s="189"/>
      <c r="C57" s="36"/>
      <c r="D57" s="33"/>
      <c r="E57" s="33"/>
      <c r="F57" s="33"/>
      <c r="G57" s="33"/>
      <c r="H57" s="33"/>
      <c r="I57" s="33"/>
      <c r="J57" s="132"/>
      <c r="K57" s="74"/>
      <c r="L57" s="74"/>
      <c r="M57" s="19"/>
      <c r="N57" s="19"/>
      <c r="O57" s="74"/>
      <c r="P57" s="74"/>
      <c r="Q57" s="30"/>
      <c r="R57" s="30"/>
      <c r="U57" s="173"/>
    </row>
    <row r="58" spans="1:99" ht="14.1" customHeight="1">
      <c r="A58" s="183"/>
      <c r="B58" s="25"/>
      <c r="C58" s="184"/>
      <c r="D58" s="25"/>
      <c r="E58" s="25"/>
      <c r="F58" s="25"/>
      <c r="G58" s="25"/>
      <c r="H58" s="25"/>
      <c r="I58" s="25"/>
      <c r="J58" s="95"/>
      <c r="K58" s="95"/>
      <c r="L58" s="95"/>
      <c r="M58" s="95"/>
      <c r="N58" s="95"/>
      <c r="O58" s="95"/>
      <c r="P58" s="95"/>
      <c r="Q58" s="95"/>
      <c r="R58" s="95"/>
      <c r="U58" s="173"/>
    </row>
    <row r="59" spans="1:99" s="115" customFormat="1" ht="14.1" customHeight="1">
      <c r="A59" s="40"/>
      <c r="B59" s="40"/>
      <c r="C59" s="40"/>
      <c r="D59" s="19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13"/>
      <c r="T59" s="13"/>
      <c r="U59" s="17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</row>
    <row r="60" spans="1:99" s="30" customFormat="1" ht="14.1" customHeight="1">
      <c r="A60" s="191"/>
      <c r="B60" s="40"/>
      <c r="C60" s="40"/>
      <c r="D60" s="19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13"/>
      <c r="T60" s="13"/>
      <c r="U60" s="17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</row>
    <row r="61" spans="1:99" ht="14.1" customHeight="1">
      <c r="A61" s="40"/>
      <c r="B61" s="40"/>
      <c r="C61" s="40"/>
      <c r="D61" s="19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U61" s="173"/>
    </row>
    <row r="62" spans="1:99" ht="14.1" customHeight="1">
      <c r="A62" s="40"/>
      <c r="B62" s="40"/>
      <c r="C62" s="40"/>
      <c r="D62" s="19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U62" s="173"/>
    </row>
    <row r="63" spans="1:99" ht="14.1" customHeight="1">
      <c r="A63" s="40"/>
      <c r="B63" s="40"/>
      <c r="C63" s="40"/>
      <c r="D63" s="19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U63" s="173"/>
    </row>
    <row r="64" spans="1:99" s="156" customFormat="1" ht="14.1" customHeight="1">
      <c r="A64" s="30"/>
      <c r="B64" s="189"/>
      <c r="C64" s="36"/>
      <c r="D64" s="33"/>
      <c r="E64" s="189"/>
      <c r="F64" s="189"/>
      <c r="G64" s="19"/>
      <c r="H64" s="30"/>
      <c r="I64" s="30"/>
      <c r="J64" s="30"/>
      <c r="K64" s="30"/>
      <c r="L64" s="30"/>
      <c r="M64" s="30"/>
      <c r="N64" s="19"/>
      <c r="O64" s="30"/>
      <c r="P64" s="30"/>
      <c r="Q64" s="40"/>
      <c r="R64" s="40"/>
      <c r="S64" s="13"/>
      <c r="T64" s="13"/>
      <c r="U64" s="17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</row>
    <row r="65" spans="1:21" s="13" customFormat="1" ht="14.1" customHeight="1">
      <c r="A65" s="30"/>
      <c r="B65" s="189"/>
      <c r="C65" s="36"/>
      <c r="D65" s="33"/>
      <c r="E65" s="189"/>
      <c r="F65" s="189"/>
      <c r="G65" s="19"/>
      <c r="H65" s="30"/>
      <c r="I65" s="30"/>
      <c r="J65" s="30"/>
      <c r="K65" s="30"/>
      <c r="L65" s="30"/>
      <c r="M65" s="30"/>
      <c r="N65" s="19"/>
      <c r="O65" s="30"/>
      <c r="P65" s="30"/>
      <c r="Q65" s="40"/>
      <c r="R65" s="40"/>
      <c r="U65" s="173"/>
    </row>
    <row r="66" spans="1:21" s="13" customFormat="1" ht="14.1" customHeight="1">
      <c r="A66" s="12"/>
      <c r="B66" s="192"/>
      <c r="C66" s="65"/>
      <c r="D66" s="66"/>
      <c r="E66" s="192"/>
      <c r="F66" s="192"/>
      <c r="G66" s="68"/>
      <c r="H66" s="12"/>
      <c r="I66" s="12"/>
      <c r="J66" s="12"/>
      <c r="K66" s="12"/>
      <c r="L66" s="12"/>
      <c r="M66" s="12"/>
      <c r="N66" s="68"/>
      <c r="O66" s="12"/>
      <c r="P66" s="12"/>
      <c r="U66" s="173"/>
    </row>
    <row r="67" spans="1:21" ht="14.1" customHeight="1">
      <c r="C67" s="65"/>
      <c r="U67" s="173"/>
    </row>
    <row r="68" spans="1:21" ht="14.1" customHeight="1">
      <c r="A68" s="13"/>
      <c r="B68" s="13"/>
      <c r="C68" s="13"/>
      <c r="D68" s="97"/>
      <c r="E68" s="13"/>
      <c r="F68" s="13"/>
      <c r="G68" s="13"/>
      <c r="H68" s="13"/>
      <c r="I68" s="13"/>
      <c r="J68" s="13"/>
      <c r="M68" s="13"/>
      <c r="N68" s="13"/>
      <c r="O68" s="13"/>
      <c r="P68" s="13"/>
      <c r="U68" s="173"/>
    </row>
    <row r="69" spans="1:21" ht="14.1" customHeight="1">
      <c r="A69" s="13"/>
      <c r="B69" s="13"/>
      <c r="C69" s="13"/>
      <c r="D69" s="97"/>
      <c r="E69" s="13"/>
      <c r="F69" s="13"/>
      <c r="G69" s="13"/>
      <c r="H69" s="13"/>
      <c r="I69" s="13"/>
      <c r="J69" s="13"/>
      <c r="M69" s="13"/>
      <c r="N69" s="13"/>
      <c r="O69" s="13"/>
      <c r="P69" s="13"/>
      <c r="U69" s="173"/>
    </row>
    <row r="70" spans="1:21" ht="14.1" customHeight="1">
      <c r="C70" s="65"/>
      <c r="U70" s="173"/>
    </row>
    <row r="71" spans="1:21" ht="14.1" customHeight="1">
      <c r="C71" s="65"/>
      <c r="Q71" s="13"/>
      <c r="R71" s="13"/>
    </row>
    <row r="72" spans="1:21" ht="14.1" customHeight="1">
      <c r="C72" s="65"/>
      <c r="Q72" s="13"/>
      <c r="R72" s="13"/>
    </row>
    <row r="73" spans="1:21" ht="14.1" customHeight="1">
      <c r="C73" s="65"/>
    </row>
    <row r="74" spans="1:21" ht="14.1" customHeight="1">
      <c r="C74" s="65"/>
    </row>
  </sheetData>
  <pageMargins left="0.75" right="0.5" top="1" bottom="0.5" header="0.5" footer="0.5"/>
  <pageSetup scale="70" orientation="landscape" r:id="rId1"/>
  <headerFooter alignWithMargins="0">
    <oddHeader>&amp;R&amp;D</oddHead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U74"/>
  <sheetViews>
    <sheetView topLeftCell="P1" zoomScale="87" zoomScaleNormal="87" workbookViewId="0">
      <selection activeCell="AB11" sqref="AB11:CQ11"/>
    </sheetView>
  </sheetViews>
  <sheetFormatPr defaultColWidth="13.7109375" defaultRowHeight="14.1" customHeight="1"/>
  <cols>
    <col min="1" max="1" width="6.28515625" style="12" customWidth="1"/>
    <col min="2" max="2" width="16.5703125" style="192" customWidth="1"/>
    <col min="3" max="3" width="8.28515625" style="12" customWidth="1"/>
    <col min="4" max="4" width="11.140625" style="66" customWidth="1"/>
    <col min="5" max="5" width="12.85546875" style="192" customWidth="1"/>
    <col min="6" max="6" width="9.28515625" style="192" customWidth="1"/>
    <col min="7" max="7" width="9.140625" style="68" customWidth="1"/>
    <col min="8" max="8" width="10.85546875" style="12" customWidth="1"/>
    <col min="9" max="9" width="13.140625" style="12" customWidth="1"/>
    <col min="10" max="10" width="12.28515625" style="12" customWidth="1"/>
    <col min="11" max="11" width="10.140625" style="12" customWidth="1"/>
    <col min="12" max="12" width="14.42578125" style="12" customWidth="1"/>
    <col min="13" max="13" width="8.85546875" style="12" customWidth="1"/>
    <col min="14" max="14" width="17.140625" style="68" customWidth="1"/>
    <col min="15" max="15" width="15.7109375" style="12" customWidth="1"/>
    <col min="16" max="16" width="10.85546875" style="12" customWidth="1"/>
    <col min="17" max="17" width="6.140625" style="12" customWidth="1"/>
    <col min="18" max="18" width="7.28515625" style="12" customWidth="1"/>
    <col min="19" max="19" width="12" style="13" customWidth="1"/>
    <col min="20" max="20" width="10.42578125" style="13" customWidth="1"/>
    <col min="21" max="21" width="13.7109375" style="13" customWidth="1"/>
    <col min="22" max="22" width="2.5703125" style="13" customWidth="1"/>
    <col min="23" max="29" width="13.7109375" style="13" customWidth="1"/>
    <col min="30" max="31" width="25" style="13" customWidth="1"/>
    <col min="32" max="34" width="13.7109375" style="13" customWidth="1"/>
    <col min="35" max="35" width="19.85546875" style="13" customWidth="1"/>
    <col min="36" max="36" width="19.5703125" style="13" customWidth="1"/>
    <col min="37" max="37" width="27.42578125" style="13" customWidth="1"/>
    <col min="38" max="38" width="31.42578125" style="13" customWidth="1"/>
    <col min="39" max="39" width="31.28515625" style="13" customWidth="1"/>
    <col min="40" max="45" width="27.42578125" style="13" customWidth="1"/>
    <col min="46" max="46" width="31.28515625" style="13" customWidth="1"/>
    <col min="47" max="47" width="35.42578125" style="13" customWidth="1"/>
    <col min="48" max="50" width="13.7109375" style="13" customWidth="1"/>
    <col min="51" max="52" width="17.28515625" style="13" customWidth="1"/>
    <col min="53" max="60" width="17.5703125" style="13" customWidth="1"/>
    <col min="61" max="65" width="20.42578125" style="13" customWidth="1"/>
    <col min="66" max="68" width="13.7109375" style="13" customWidth="1"/>
    <col min="69" max="69" width="18.7109375" style="13" customWidth="1"/>
    <col min="70" max="72" width="13.7109375" style="13" customWidth="1"/>
    <col min="73" max="73" width="17.28515625" style="13" customWidth="1"/>
    <col min="74" max="74" width="16.85546875" style="13" customWidth="1"/>
    <col min="75" max="75" width="13.7109375" style="13" customWidth="1"/>
    <col min="76" max="76" width="17" style="13" customWidth="1"/>
    <col min="77" max="81" width="17.85546875" style="13" customWidth="1"/>
    <col min="82" max="92" width="13.7109375" style="13" customWidth="1"/>
    <col min="93" max="93" width="26.140625" style="13" customWidth="1"/>
    <col min="94" max="94" width="25.7109375" style="13" customWidth="1"/>
    <col min="95" max="95" width="22.85546875" style="13" customWidth="1"/>
    <col min="96" max="99" width="13.7109375" style="13" customWidth="1"/>
    <col min="100" max="16384" width="13.7109375" style="12"/>
  </cols>
  <sheetData>
    <row r="1" spans="1:99" ht="14.1" customHeight="1">
      <c r="A1" s="1" t="s">
        <v>0</v>
      </c>
      <c r="B1" s="2" t="s">
        <v>135</v>
      </c>
      <c r="C1" s="3" t="s">
        <v>1</v>
      </c>
      <c r="D1" s="4" t="s">
        <v>165</v>
      </c>
      <c r="E1" s="1" t="s">
        <v>2</v>
      </c>
      <c r="F1" s="1"/>
      <c r="G1" s="5">
        <v>38</v>
      </c>
      <c r="H1" s="6"/>
      <c r="I1" s="6" t="s">
        <v>3</v>
      </c>
      <c r="J1" s="5">
        <v>178</v>
      </c>
      <c r="K1" s="7"/>
      <c r="L1" s="7"/>
      <c r="M1" s="8" t="s">
        <v>4</v>
      </c>
      <c r="N1" s="9">
        <f>((AVERAGE(W7:W8))*20)</f>
        <v>7400920</v>
      </c>
      <c r="O1" s="10">
        <f>(O3*20)</f>
        <v>7654562.3454299979</v>
      </c>
      <c r="P1" s="10"/>
      <c r="Q1" s="11" t="s">
        <v>5</v>
      </c>
      <c r="S1" s="13">
        <v>-120</v>
      </c>
      <c r="T1" s="13" t="s">
        <v>6</v>
      </c>
      <c r="U1" s="14">
        <v>50.88</v>
      </c>
      <c r="V1" s="15"/>
      <c r="W1" s="15" t="s">
        <v>7</v>
      </c>
    </row>
    <row r="2" spans="1:99" ht="14.1" customHeight="1" thickBot="1">
      <c r="A2" s="16" t="s">
        <v>8</v>
      </c>
      <c r="B2" s="17">
        <v>42586</v>
      </c>
      <c r="C2" s="3" t="s">
        <v>9</v>
      </c>
      <c r="D2" s="18">
        <v>100</v>
      </c>
      <c r="E2" s="3" t="s">
        <v>10</v>
      </c>
      <c r="F2" s="3"/>
      <c r="G2" s="19">
        <f>D2/(D3/100*D3/100)</f>
        <v>30.932899117917447</v>
      </c>
      <c r="H2" s="13"/>
      <c r="I2" s="20" t="s">
        <v>11</v>
      </c>
      <c r="J2" s="21"/>
      <c r="K2" s="22"/>
      <c r="L2" s="23"/>
      <c r="M2" s="24" t="s">
        <v>12</v>
      </c>
      <c r="N2" s="25">
        <f>(O1*0.068)</f>
        <v>520510.23948923987</v>
      </c>
      <c r="O2" s="13"/>
      <c r="P2" s="13"/>
      <c r="Q2" s="11"/>
      <c r="R2" s="26"/>
      <c r="T2" s="13" t="s">
        <v>6</v>
      </c>
      <c r="U2" s="14">
        <v>43.02</v>
      </c>
      <c r="V2" s="15"/>
      <c r="W2" s="27">
        <v>135701.20000000001</v>
      </c>
    </row>
    <row r="3" spans="1:99" ht="14.1" customHeight="1" thickTop="1" thickBot="1">
      <c r="A3" s="16" t="s">
        <v>13</v>
      </c>
      <c r="B3" s="28" t="s">
        <v>167</v>
      </c>
      <c r="C3" s="3" t="s">
        <v>15</v>
      </c>
      <c r="D3" s="29">
        <v>179.8</v>
      </c>
      <c r="E3" s="3" t="s">
        <v>16</v>
      </c>
      <c r="F3" s="3"/>
      <c r="G3" s="19">
        <f>SQRT(((D2*D3)/3600))</f>
        <v>2.2348253722482312</v>
      </c>
      <c r="H3" s="13"/>
      <c r="I3" s="20"/>
      <c r="J3" s="30"/>
      <c r="K3" s="30"/>
      <c r="L3" s="30"/>
      <c r="M3" s="31" t="s">
        <v>17</v>
      </c>
      <c r="N3" s="32">
        <f>($O$1/$N$1)*100</f>
        <v>103.42717318157739</v>
      </c>
      <c r="O3" s="33">
        <f>((AVERAGE(W2:W5))*2.85714)</f>
        <v>382728.11727149988</v>
      </c>
      <c r="P3" s="33"/>
      <c r="Q3" s="34" t="s">
        <v>18</v>
      </c>
      <c r="R3" s="13"/>
      <c r="T3" s="13">
        <v>-30</v>
      </c>
      <c r="U3" s="14">
        <v>613.27</v>
      </c>
      <c r="V3" s="15"/>
      <c r="W3" s="27">
        <v>133061.4</v>
      </c>
    </row>
    <row r="4" spans="1:99" ht="14.1" customHeight="1" thickTop="1">
      <c r="B4" s="35"/>
      <c r="C4" s="3" t="s">
        <v>19</v>
      </c>
      <c r="D4" s="19">
        <v>69.831999999999994</v>
      </c>
      <c r="E4" s="37" t="s">
        <v>20</v>
      </c>
      <c r="F4" s="37"/>
      <c r="G4" s="38">
        <v>0.26100000000000001</v>
      </c>
      <c r="H4" s="13"/>
      <c r="I4" s="20"/>
      <c r="J4" s="30"/>
      <c r="K4" s="30"/>
      <c r="L4" s="30"/>
      <c r="M4" s="33"/>
      <c r="N4" s="39"/>
      <c r="O4" s="30"/>
      <c r="P4" s="30"/>
      <c r="Q4" s="30"/>
      <c r="R4" s="30"/>
      <c r="U4" s="14">
        <v>616.57000000000005</v>
      </c>
      <c r="V4" s="15"/>
      <c r="W4" s="27">
        <v>133786.79999999999</v>
      </c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</row>
    <row r="5" spans="1:99" ht="14.1" customHeight="1" thickBot="1">
      <c r="A5" s="16"/>
      <c r="B5" s="30"/>
      <c r="C5" s="3"/>
      <c r="D5" s="41" t="s">
        <v>21</v>
      </c>
      <c r="E5" s="42">
        <f>AVERAGE(U1:U2)</f>
        <v>46.95</v>
      </c>
      <c r="F5" s="42"/>
      <c r="G5" s="19"/>
      <c r="H5" s="30"/>
      <c r="I5" s="30"/>
      <c r="J5" s="43" t="s">
        <v>22</v>
      </c>
      <c r="K5" s="43"/>
      <c r="L5" s="44" t="s">
        <v>23</v>
      </c>
      <c r="M5" s="45"/>
      <c r="N5" s="43" t="s">
        <v>22</v>
      </c>
      <c r="O5" s="44" t="s">
        <v>23</v>
      </c>
      <c r="P5" s="44" t="s">
        <v>24</v>
      </c>
      <c r="Q5" s="46"/>
      <c r="R5" s="46"/>
      <c r="T5" s="13">
        <v>-20</v>
      </c>
      <c r="U5" s="14">
        <v>614.37</v>
      </c>
      <c r="V5" s="15"/>
      <c r="W5" s="27">
        <v>133270.5</v>
      </c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</row>
    <row r="6" spans="1:99" s="1" customFormat="1" ht="14.1" customHeight="1">
      <c r="A6" s="47" t="s">
        <v>25</v>
      </c>
      <c r="B6" s="48" t="s">
        <v>26</v>
      </c>
      <c r="C6" s="48"/>
      <c r="D6" s="49" t="s">
        <v>27</v>
      </c>
      <c r="E6" s="48" t="s">
        <v>28</v>
      </c>
      <c r="F6" s="48"/>
      <c r="G6" s="48" t="s">
        <v>29</v>
      </c>
      <c r="H6" s="50" t="s">
        <v>30</v>
      </c>
      <c r="I6" s="50"/>
      <c r="J6" s="51" t="s">
        <v>31</v>
      </c>
      <c r="K6" s="52"/>
      <c r="L6" s="52" t="s">
        <v>31</v>
      </c>
      <c r="M6" s="52" t="s">
        <v>32</v>
      </c>
      <c r="N6" s="52" t="s">
        <v>33</v>
      </c>
      <c r="O6" s="53" t="s">
        <v>34</v>
      </c>
      <c r="P6" s="54"/>
      <c r="Q6" s="55"/>
      <c r="R6" s="55"/>
      <c r="S6" s="13"/>
      <c r="T6" s="13"/>
      <c r="U6" s="14">
        <v>625.80999999999995</v>
      </c>
      <c r="V6" s="15"/>
      <c r="W6" s="56" t="s">
        <v>35</v>
      </c>
      <c r="X6" s="13" t="s">
        <v>36</v>
      </c>
      <c r="Y6" s="57" t="s">
        <v>37</v>
      </c>
      <c r="Z6" s="58" t="s">
        <v>38</v>
      </c>
      <c r="AA6" s="40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60"/>
      <c r="AY6" s="60"/>
      <c r="AZ6" s="60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60"/>
      <c r="BO6" s="60"/>
      <c r="BP6" s="60"/>
      <c r="BQ6" s="59"/>
      <c r="BR6" s="59"/>
      <c r="BS6" s="59"/>
      <c r="BT6" s="59"/>
      <c r="BU6" s="59"/>
      <c r="BV6" s="59"/>
      <c r="BW6" s="59"/>
      <c r="BX6" s="59"/>
      <c r="BY6" s="59"/>
      <c r="BZ6" s="61"/>
      <c r="CA6" s="61"/>
      <c r="CB6" s="61"/>
      <c r="CC6" s="61"/>
      <c r="CD6" s="40"/>
      <c r="CE6" s="61"/>
      <c r="CF6" s="61"/>
      <c r="CG6" s="33"/>
      <c r="CH6" s="40"/>
      <c r="CI6" s="30"/>
      <c r="CJ6" s="30"/>
      <c r="CK6" s="30"/>
      <c r="CL6" s="30"/>
      <c r="CM6" s="30"/>
      <c r="CN6" s="30"/>
      <c r="CO6" s="30"/>
      <c r="CP6" s="62"/>
      <c r="CQ6" s="62"/>
      <c r="CR6" s="13"/>
      <c r="CS6" s="13"/>
      <c r="CT6" s="13"/>
      <c r="CU6" s="13"/>
    </row>
    <row r="7" spans="1:99" ht="14.1" customHeight="1">
      <c r="A7" s="63">
        <v>-30</v>
      </c>
      <c r="B7" s="64">
        <v>152</v>
      </c>
      <c r="C7" s="65"/>
      <c r="D7" s="42">
        <f>AVERAGE(U3:U4)</f>
        <v>614.92000000000007</v>
      </c>
      <c r="E7" s="66">
        <f>D7-$E$5</f>
        <v>567.97</v>
      </c>
      <c r="F7" s="66"/>
      <c r="G7" s="66">
        <f>($E7*7.1425)</f>
        <v>4056.7257250000002</v>
      </c>
      <c r="H7" s="66">
        <f>($G7/($B7*0.01))</f>
        <v>2668.8985032894739</v>
      </c>
      <c r="I7" s="66"/>
      <c r="J7" s="67">
        <f>$N$2/$H7/$D$2</f>
        <v>1.950281132263741</v>
      </c>
      <c r="K7" s="67"/>
      <c r="L7" s="67">
        <f>J7/($D$4/$D$2)</f>
        <v>2.7928186680372051</v>
      </c>
      <c r="N7" s="68">
        <f>J7-M7</f>
        <v>1.950281132263741</v>
      </c>
      <c r="O7" s="67">
        <f>N7/($D$4/$D$2)</f>
        <v>2.7928186680372051</v>
      </c>
      <c r="P7" s="67"/>
      <c r="Q7" s="30"/>
      <c r="R7" s="30"/>
      <c r="T7" s="13">
        <v>-10</v>
      </c>
      <c r="U7" s="14">
        <v>597.11</v>
      </c>
      <c r="V7" s="15"/>
      <c r="W7" s="27">
        <v>370135</v>
      </c>
      <c r="X7" s="69">
        <v>0.76500000000000001</v>
      </c>
      <c r="Y7" s="70">
        <v>-30</v>
      </c>
      <c r="Z7" s="71">
        <v>17.251999999999999</v>
      </c>
      <c r="AA7" s="40"/>
      <c r="AB7" s="72"/>
      <c r="AC7" s="72"/>
      <c r="AD7" s="72"/>
      <c r="AE7" s="72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19"/>
      <c r="AY7" s="74"/>
      <c r="AZ7" s="74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</row>
    <row r="8" spans="1:99" ht="14.1" customHeight="1">
      <c r="A8" s="63">
        <v>-20</v>
      </c>
      <c r="B8" s="64">
        <v>154</v>
      </c>
      <c r="C8" s="65"/>
      <c r="D8" s="66">
        <f>AVERAGE(U5:U6)</f>
        <v>620.08999999999992</v>
      </c>
      <c r="E8" s="66">
        <f>D8-$E$5</f>
        <v>573.13999999999987</v>
      </c>
      <c r="F8" s="66"/>
      <c r="G8" s="66">
        <f>($E8*7.1425)</f>
        <v>4093.6524499999991</v>
      </c>
      <c r="H8" s="66">
        <f>($G8/($B8*0.01))</f>
        <v>2658.2158766233761</v>
      </c>
      <c r="I8" s="66"/>
      <c r="J8" s="67">
        <f>$N$2/H8/$D$2</f>
        <v>1.9581187670522189</v>
      </c>
      <c r="K8" s="67"/>
      <c r="L8" s="67">
        <f>J8/($D$4/$D$2)</f>
        <v>2.8040422257019979</v>
      </c>
      <c r="N8" s="68">
        <f>J8-M8</f>
        <v>1.9581187670522189</v>
      </c>
      <c r="O8" s="67">
        <f>N8/($D$4/$D$2)</f>
        <v>2.8040422257019979</v>
      </c>
      <c r="P8" s="67"/>
      <c r="Q8" s="30"/>
      <c r="R8" s="30"/>
      <c r="U8" s="14">
        <v>579.95000000000005</v>
      </c>
      <c r="V8" s="15"/>
      <c r="W8" s="27">
        <v>369957</v>
      </c>
      <c r="X8" s="69">
        <v>0.81599999999999995</v>
      </c>
      <c r="Y8" s="70">
        <v>-20</v>
      </c>
      <c r="Z8" s="71">
        <v>18.98</v>
      </c>
      <c r="AA8" s="40"/>
      <c r="AB8" s="72"/>
      <c r="AC8" s="72"/>
      <c r="AD8" s="72"/>
      <c r="AE8" s="72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19"/>
      <c r="AY8" s="74"/>
      <c r="AZ8" s="74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</row>
    <row r="9" spans="1:99" ht="14.1" customHeight="1" thickBot="1">
      <c r="A9" s="63">
        <v>-10</v>
      </c>
      <c r="B9" s="75">
        <v>152</v>
      </c>
      <c r="C9" s="65"/>
      <c r="D9" s="66">
        <f>AVERAGE(U7:U8)</f>
        <v>588.53</v>
      </c>
      <c r="E9" s="66">
        <f>D9-$E$5</f>
        <v>541.57999999999993</v>
      </c>
      <c r="F9" s="66"/>
      <c r="G9" s="66">
        <f>($E9*7.1425)</f>
        <v>3868.2351499999995</v>
      </c>
      <c r="H9" s="66">
        <f>($G9/($B9*0.01))</f>
        <v>2544.8915460526314</v>
      </c>
      <c r="I9" s="66"/>
      <c r="J9" s="67">
        <f>$N$2/H9/$D$2</f>
        <v>2.0453140342919554</v>
      </c>
      <c r="K9" s="67"/>
      <c r="L9" s="67">
        <f>J9/($D$4/$D$2)</f>
        <v>2.9289065676079096</v>
      </c>
      <c r="N9" s="68">
        <f>J9-M9</f>
        <v>2.0453140342919554</v>
      </c>
      <c r="O9" s="67">
        <f>N9/($D$4/$D$2)</f>
        <v>2.9289065676079096</v>
      </c>
      <c r="P9" s="67"/>
      <c r="Q9" s="30"/>
      <c r="R9" s="30"/>
      <c r="T9" s="13">
        <v>-5</v>
      </c>
      <c r="U9" s="14">
        <v>667.28</v>
      </c>
      <c r="V9" s="15"/>
      <c r="W9" s="76">
        <v>360317</v>
      </c>
      <c r="X9" s="69">
        <v>0.78</v>
      </c>
      <c r="Y9" s="70">
        <v>-10</v>
      </c>
      <c r="Z9" s="71">
        <v>16.437000000000001</v>
      </c>
      <c r="AA9" s="40"/>
      <c r="AB9" s="72"/>
      <c r="AC9" s="72"/>
      <c r="AD9" s="72"/>
      <c r="AE9" s="72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19"/>
      <c r="AY9" s="74"/>
      <c r="AZ9" s="74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</row>
    <row r="10" spans="1:99" s="80" customFormat="1" ht="14.1" customHeight="1">
      <c r="A10" s="77">
        <v>0</v>
      </c>
      <c r="B10" s="75">
        <v>155</v>
      </c>
      <c r="C10" s="65"/>
      <c r="D10" s="66">
        <f>AVERAGE(U11:U12)</f>
        <v>610.86</v>
      </c>
      <c r="E10" s="66">
        <f>D10-$E$5</f>
        <v>563.91</v>
      </c>
      <c r="F10" s="66"/>
      <c r="G10" s="78">
        <f>($E10*7.1425)</f>
        <v>4027.727175</v>
      </c>
      <c r="H10" s="78">
        <f>($G10/($B10*0.01))</f>
        <v>2598.5336612903225</v>
      </c>
      <c r="I10" s="78"/>
      <c r="J10" s="79">
        <f>$N$2/H10/$D$2</f>
        <v>2.0030921563308763</v>
      </c>
      <c r="K10" s="79"/>
      <c r="L10" s="67">
        <f>J10/($D$4/$D$2)</f>
        <v>2.8684444901060782</v>
      </c>
      <c r="N10" s="81">
        <f>J10-M10</f>
        <v>2.0030921563308763</v>
      </c>
      <c r="O10" s="67">
        <f>N10/($D$4/$D$2)</f>
        <v>2.8684444901060782</v>
      </c>
      <c r="P10" s="67"/>
      <c r="Q10" s="30"/>
      <c r="R10" s="30"/>
      <c r="S10" s="13"/>
      <c r="T10" s="13" t="s">
        <v>39</v>
      </c>
      <c r="U10" s="14">
        <v>640.79</v>
      </c>
      <c r="V10" s="15"/>
      <c r="W10" s="15"/>
      <c r="X10" s="69">
        <v>0.81399999999999995</v>
      </c>
      <c r="Y10" s="70">
        <v>0</v>
      </c>
      <c r="Z10" s="82">
        <v>18.542999999999999</v>
      </c>
      <c r="AA10" s="30"/>
      <c r="AB10" s="83" t="s">
        <v>40</v>
      </c>
      <c r="AC10" s="83" t="s">
        <v>41</v>
      </c>
      <c r="AD10" s="83" t="s">
        <v>42</v>
      </c>
      <c r="AE10" s="83" t="s">
        <v>43</v>
      </c>
      <c r="AF10" s="83" t="s">
        <v>44</v>
      </c>
      <c r="AG10" s="83" t="s">
        <v>45</v>
      </c>
      <c r="AH10" s="83" t="s">
        <v>46</v>
      </c>
      <c r="AI10" s="83" t="s">
        <v>47</v>
      </c>
      <c r="AJ10" s="83" t="s">
        <v>48</v>
      </c>
      <c r="AK10" s="83" t="s">
        <v>49</v>
      </c>
      <c r="AL10" s="83" t="s">
        <v>50</v>
      </c>
      <c r="AM10" s="83" t="s">
        <v>51</v>
      </c>
      <c r="AN10" s="83" t="s">
        <v>52</v>
      </c>
      <c r="AO10" s="83" t="s">
        <v>53</v>
      </c>
      <c r="AP10" s="83" t="s">
        <v>54</v>
      </c>
      <c r="AQ10" s="83" t="s">
        <v>55</v>
      </c>
      <c r="AR10" s="83" t="s">
        <v>56</v>
      </c>
      <c r="AS10" s="83" t="s">
        <v>57</v>
      </c>
      <c r="AT10" s="83" t="s">
        <v>58</v>
      </c>
      <c r="AU10" s="83" t="s">
        <v>59</v>
      </c>
      <c r="AV10" s="84" t="s">
        <v>60</v>
      </c>
      <c r="AW10" s="84" t="s">
        <v>61</v>
      </c>
      <c r="AX10" s="85" t="s">
        <v>62</v>
      </c>
      <c r="AY10" s="85" t="s">
        <v>63</v>
      </c>
      <c r="AZ10" s="85" t="s">
        <v>64</v>
      </c>
      <c r="BA10" s="86" t="s">
        <v>65</v>
      </c>
      <c r="BB10" s="86" t="s">
        <v>66</v>
      </c>
      <c r="BC10" s="86" t="s">
        <v>67</v>
      </c>
      <c r="BD10" s="86" t="s">
        <v>68</v>
      </c>
      <c r="BE10" s="86" t="s">
        <v>69</v>
      </c>
      <c r="BF10" s="86" t="s">
        <v>70</v>
      </c>
      <c r="BG10" s="86" t="s">
        <v>71</v>
      </c>
      <c r="BH10" s="86" t="s">
        <v>72</v>
      </c>
      <c r="BI10" s="86" t="s">
        <v>73</v>
      </c>
      <c r="BJ10" s="86" t="s">
        <v>74</v>
      </c>
      <c r="BK10" s="86" t="s">
        <v>75</v>
      </c>
      <c r="BL10" s="86" t="s">
        <v>76</v>
      </c>
      <c r="BM10" s="86" t="s">
        <v>77</v>
      </c>
      <c r="BN10" s="87" t="s">
        <v>78</v>
      </c>
      <c r="BO10" s="87" t="s">
        <v>79</v>
      </c>
      <c r="BP10" s="87" t="s">
        <v>80</v>
      </c>
      <c r="BQ10" s="88" t="s">
        <v>81</v>
      </c>
      <c r="BR10" s="88" t="s">
        <v>82</v>
      </c>
      <c r="BS10" s="88" t="s">
        <v>83</v>
      </c>
      <c r="BT10" s="88" t="s">
        <v>84</v>
      </c>
      <c r="BU10" s="88" t="s">
        <v>85</v>
      </c>
      <c r="BV10" s="88" t="s">
        <v>86</v>
      </c>
      <c r="BW10" s="88" t="s">
        <v>87</v>
      </c>
      <c r="BX10" s="88" t="s">
        <v>88</v>
      </c>
      <c r="BY10" s="88" t="s">
        <v>89</v>
      </c>
      <c r="BZ10" s="88" t="s">
        <v>90</v>
      </c>
      <c r="CA10" s="88" t="s">
        <v>91</v>
      </c>
      <c r="CB10" s="88" t="s">
        <v>92</v>
      </c>
      <c r="CC10" s="88" t="s">
        <v>93</v>
      </c>
      <c r="CD10" s="40"/>
      <c r="CE10" s="89" t="s">
        <v>94</v>
      </c>
      <c r="CF10" s="89" t="s">
        <v>95</v>
      </c>
      <c r="CG10" s="90" t="s">
        <v>96</v>
      </c>
      <c r="CH10" s="40"/>
      <c r="CI10" s="91" t="s">
        <v>97</v>
      </c>
      <c r="CJ10" s="91" t="s">
        <v>98</v>
      </c>
      <c r="CK10" s="91" t="s">
        <v>99</v>
      </c>
      <c r="CL10" s="91" t="s">
        <v>100</v>
      </c>
      <c r="CM10" s="91" t="s">
        <v>101</v>
      </c>
      <c r="CN10" s="91" t="s">
        <v>102</v>
      </c>
      <c r="CO10" s="91" t="s">
        <v>103</v>
      </c>
      <c r="CP10" s="92" t="s">
        <v>104</v>
      </c>
      <c r="CQ10" s="92" t="s">
        <v>105</v>
      </c>
      <c r="CR10" s="13"/>
      <c r="CS10" s="13"/>
      <c r="CT10" s="13"/>
      <c r="CU10" s="13"/>
    </row>
    <row r="11" spans="1:99" s="49" customFormat="1" ht="14.1" customHeight="1">
      <c r="A11" s="93" t="s">
        <v>106</v>
      </c>
      <c r="B11" s="49">
        <f>AVERAGE(B7:B10)</f>
        <v>153.25</v>
      </c>
      <c r="E11" s="50">
        <f>AVERAGE(E7:E10)</f>
        <v>561.65</v>
      </c>
      <c r="G11" s="50">
        <f>AVERAGE(G7:G10)</f>
        <v>4011.5851249999996</v>
      </c>
      <c r="H11" s="50">
        <f>AVERAGE(H7:H10)</f>
        <v>2617.6348968139509</v>
      </c>
      <c r="J11" s="94">
        <f>AVERAGE(J7:J10)</f>
        <v>1.9892015224846977</v>
      </c>
      <c r="K11" s="50" t="s">
        <v>39</v>
      </c>
      <c r="L11" s="50">
        <f>AVERAGE(L7:L10)</f>
        <v>2.8485529878632976</v>
      </c>
      <c r="M11" s="50"/>
      <c r="N11" s="94">
        <f>AVERAGE(N7:N10)</f>
        <v>1.9892015224846977</v>
      </c>
      <c r="O11" s="50">
        <f>AVERAGE(O7:O10)</f>
        <v>2.8485529878632976</v>
      </c>
      <c r="P11" s="95"/>
      <c r="Q11" s="95"/>
      <c r="R11" s="95"/>
      <c r="S11" s="6"/>
      <c r="T11" s="13">
        <v>0</v>
      </c>
      <c r="U11" s="14">
        <v>623.24</v>
      </c>
      <c r="V11" s="15"/>
      <c r="W11" s="15"/>
      <c r="X11" s="96">
        <f>AVERAGE(X7:X10)</f>
        <v>0.79374999999999996</v>
      </c>
      <c r="Y11" s="70" t="s">
        <v>107</v>
      </c>
      <c r="Z11" s="96">
        <f>AVERAGE(Z7:Z10)</f>
        <v>17.802999999999997</v>
      </c>
      <c r="AA11" s="30"/>
      <c r="AB11" s="72">
        <f>J11</f>
        <v>1.9892015224846977</v>
      </c>
      <c r="AC11" s="73">
        <f>AB11/($D$4/$D$2)</f>
        <v>2.8485529878632976</v>
      </c>
      <c r="AD11" s="73">
        <f>AB11/Z11</f>
        <v>0.11173406293797102</v>
      </c>
      <c r="AE11" s="73">
        <f>AC11/Z11</f>
        <v>0.16000409975078908</v>
      </c>
      <c r="AF11" s="72">
        <f>N20</f>
        <v>1.6492878711647281</v>
      </c>
      <c r="AG11" s="72">
        <f>AF11/($D$4/$D$2)</f>
        <v>2.3617938354403831</v>
      </c>
      <c r="AH11" s="72">
        <f>AF11/Z18</f>
        <v>3.8290349246508919E-2</v>
      </c>
      <c r="AI11" s="72">
        <f>AG11/Z18</f>
        <v>5.4832095953873478E-2</v>
      </c>
      <c r="AJ11" s="73">
        <f>((AB11-AF11)/AB11)*100</f>
        <v>17.087944458004731</v>
      </c>
      <c r="AK11" s="73">
        <f>((AC11-AG11)/AC11)*100</f>
        <v>17.087944458004728</v>
      </c>
      <c r="AL11" s="73">
        <f>((AD11-AH11)/AD11)*100</f>
        <v>65.730818123238095</v>
      </c>
      <c r="AM11" s="73">
        <f>((AE11-AI11)/AE11)*100</f>
        <v>65.73081812323808</v>
      </c>
      <c r="AN11" s="72">
        <f>N29</f>
        <v>0.3050486722671234</v>
      </c>
      <c r="AO11" s="72">
        <f>AN11/($D$4/$D$2)</f>
        <v>0.43683221484007823</v>
      </c>
      <c r="AP11" s="72">
        <f>AN11/Z25</f>
        <v>1.4169461658775926E-3</v>
      </c>
      <c r="AQ11" s="72">
        <f>AO11/Z25</f>
        <v>2.0290785970294317E-3</v>
      </c>
      <c r="AR11" s="73">
        <f>((AB11-AN11)/AB11)*100</f>
        <v>84.664767806627793</v>
      </c>
      <c r="AS11" s="73">
        <f>((AC11-AO11)/AC11)*100</f>
        <v>84.664767806627808</v>
      </c>
      <c r="AT11" s="73">
        <f>((AD11-AP11)/AD11)*100</f>
        <v>98.731858371010631</v>
      </c>
      <c r="AU11" s="73">
        <f>((AE11-AQ11)/AE11)*100</f>
        <v>98.731858371010631</v>
      </c>
      <c r="AV11" s="72">
        <f>J11</f>
        <v>1.9892015224846977</v>
      </c>
      <c r="AW11" s="72">
        <f>AV11/($D$4/$D$2)</f>
        <v>2.8485529878632976</v>
      </c>
      <c r="AX11" s="95">
        <f>M20</f>
        <v>0</v>
      </c>
      <c r="AY11" s="95">
        <f>AX11/($D$4/$D$2)</f>
        <v>0</v>
      </c>
      <c r="AZ11" s="95">
        <f>AX11/Z11</f>
        <v>0</v>
      </c>
      <c r="BA11" s="73">
        <f>AY11/Z11</f>
        <v>0</v>
      </c>
      <c r="BB11" s="72">
        <f>P21</f>
        <v>0.60666666666666669</v>
      </c>
      <c r="BC11" s="73">
        <f>BB11/($D$4/$D$2)</f>
        <v>0.86875167067628989</v>
      </c>
      <c r="BD11" s="73">
        <f>BB11/Z18</f>
        <v>1.4084550640924441E-2</v>
      </c>
      <c r="BE11" s="73">
        <f>BC11/Z18</f>
        <v>2.0169192692353712E-2</v>
      </c>
      <c r="BF11" s="72">
        <f>K20</f>
        <v>1.6492878711647281</v>
      </c>
      <c r="BG11" s="73">
        <f>BF11/($D$4/$D$2)</f>
        <v>2.3617938354403831</v>
      </c>
      <c r="BH11" s="73">
        <f>BF11/Z18</f>
        <v>3.8290349246508919E-2</v>
      </c>
      <c r="BI11" s="73">
        <f>BG11/Z18</f>
        <v>5.4832095953873478E-2</v>
      </c>
      <c r="BJ11" s="72">
        <f>J21</f>
        <v>2.7424682332396637</v>
      </c>
      <c r="BK11" s="73">
        <f>BJ11/($D$4/$D$2)</f>
        <v>3.9272371308850729</v>
      </c>
      <c r="BL11" s="73">
        <f>BJ11/Z18</f>
        <v>6.3669944031083447E-2</v>
      </c>
      <c r="BM11" s="73">
        <f>BK11/Z18</f>
        <v>9.1175885025609263E-2</v>
      </c>
      <c r="BN11" s="95">
        <f>M29</f>
        <v>2.492</v>
      </c>
      <c r="BO11" s="95">
        <f>BN11/($D$4/$D$2)</f>
        <v>3.5685645549318368</v>
      </c>
      <c r="BP11" s="95">
        <f>BN11/Z25</f>
        <v>1.1575299833709578E-2</v>
      </c>
      <c r="BQ11" s="73">
        <f>BO11/Z25</f>
        <v>1.6575924839199188E-2</v>
      </c>
      <c r="BR11" s="72">
        <f>P30</f>
        <v>3.3153333333333332</v>
      </c>
      <c r="BS11" s="73">
        <f>BR11/($D$4/$D$2)</f>
        <v>4.7475846794210872</v>
      </c>
      <c r="BT11" s="73">
        <f>BR11/Z25</f>
        <v>1.5399669896478792E-2</v>
      </c>
      <c r="BU11" s="73">
        <f>BS11/Z25</f>
        <v>2.2052454313894479E-2</v>
      </c>
      <c r="BV11" s="72">
        <f>K29</f>
        <v>2.7970486722671235</v>
      </c>
      <c r="BW11" s="73">
        <f>BV11/($D$4/$D$2)</f>
        <v>4.0053967697719148</v>
      </c>
      <c r="BX11" s="73">
        <f>BV11/Z25</f>
        <v>1.2992245999587169E-2</v>
      </c>
      <c r="BY11" s="73">
        <f>BW11/Z25</f>
        <v>1.8605003436228621E-2</v>
      </c>
      <c r="BZ11" s="72">
        <f>J30</f>
        <v>5.4824560000038565</v>
      </c>
      <c r="CA11" s="73">
        <f>BZ11/($D$4/$D$2)</f>
        <v>7.8509222133174719</v>
      </c>
      <c r="CB11" s="73">
        <f>BZ11/Z25</f>
        <v>2.5465919753276368E-2</v>
      </c>
      <c r="CC11" s="73">
        <f>CA11/Z25</f>
        <v>3.6467407138956881E-2</v>
      </c>
      <c r="CD11" s="13"/>
      <c r="CE11" s="97">
        <f>B11</f>
        <v>153.25</v>
      </c>
      <c r="CF11" s="13">
        <f>Z11</f>
        <v>17.802999999999997</v>
      </c>
      <c r="CG11" s="40">
        <f>((CE11/18)*CF11)/22.5</f>
        <v>6.7365672839506168</v>
      </c>
      <c r="CH11" s="40"/>
      <c r="CI11" s="40">
        <f>X28</f>
        <v>0</v>
      </c>
      <c r="CJ11" s="40">
        <f>X29</f>
        <v>0</v>
      </c>
      <c r="CK11" s="40">
        <f>X30</f>
        <v>0</v>
      </c>
      <c r="CL11" s="40">
        <f>X31</f>
        <v>0</v>
      </c>
      <c r="CM11" s="40">
        <f>X32</f>
        <v>0</v>
      </c>
      <c r="CN11" s="40">
        <f>X33</f>
        <v>0</v>
      </c>
      <c r="CO11" s="13">
        <f>X11</f>
        <v>0.79374999999999996</v>
      </c>
      <c r="CP11" s="13">
        <f>X18</f>
        <v>0.25719999999999998</v>
      </c>
      <c r="CQ11" s="13">
        <f>X25</f>
        <v>0.1026</v>
      </c>
      <c r="CR11" s="13"/>
      <c r="CS11" s="13"/>
      <c r="CT11" s="13"/>
      <c r="CU11" s="13"/>
    </row>
    <row r="12" spans="1:99" ht="14.1" customHeight="1" thickBot="1">
      <c r="B12" s="98"/>
      <c r="C12" s="65"/>
      <c r="D12" s="99"/>
      <c r="E12" s="13"/>
      <c r="F12" s="13"/>
      <c r="G12" s="13"/>
      <c r="H12" s="13"/>
      <c r="I12" s="13"/>
      <c r="J12" s="6" t="s">
        <v>108</v>
      </c>
      <c r="K12" s="13"/>
      <c r="L12" s="13"/>
      <c r="M12" s="12" t="s">
        <v>39</v>
      </c>
      <c r="N12" s="13"/>
      <c r="O12" s="13"/>
      <c r="P12" s="13"/>
      <c r="Q12" s="30"/>
      <c r="R12" s="30"/>
      <c r="U12" s="14">
        <v>598.48</v>
      </c>
      <c r="V12" s="15"/>
      <c r="W12" s="15"/>
      <c r="Y12" s="70"/>
      <c r="Z12" s="96"/>
      <c r="AA12" s="30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30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40"/>
      <c r="CG12" s="40"/>
      <c r="CH12" s="40"/>
      <c r="CI12" s="40"/>
      <c r="CJ12" s="40"/>
      <c r="CK12" s="40"/>
      <c r="CL12" s="40"/>
      <c r="CM12" s="40"/>
      <c r="CN12" s="40"/>
    </row>
    <row r="13" spans="1:99" ht="14.1" customHeight="1" thickBot="1">
      <c r="B13" s="98"/>
      <c r="C13" s="65"/>
      <c r="D13" s="99"/>
      <c r="E13" s="13"/>
      <c r="F13" s="13"/>
      <c r="G13" s="13"/>
      <c r="H13" s="13"/>
      <c r="I13" s="13"/>
      <c r="J13" s="6"/>
      <c r="K13" s="13"/>
      <c r="L13" s="13"/>
      <c r="M13" s="100" t="s">
        <v>32</v>
      </c>
      <c r="N13" s="101"/>
      <c r="O13" s="101"/>
      <c r="P13" s="101"/>
      <c r="Q13" s="30"/>
      <c r="R13" s="102" t="s">
        <v>25</v>
      </c>
      <c r="S13" s="103" t="s">
        <v>109</v>
      </c>
      <c r="T13" s="13">
        <v>30</v>
      </c>
      <c r="U13" s="14">
        <v>619.95000000000005</v>
      </c>
      <c r="V13" s="15"/>
      <c r="W13" s="15"/>
      <c r="X13" s="69">
        <v>0.316</v>
      </c>
      <c r="Y13" s="30">
        <v>90</v>
      </c>
      <c r="Z13" s="71">
        <v>40.679000000000002</v>
      </c>
      <c r="AA13" s="40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19"/>
      <c r="AY13" s="74"/>
      <c r="AZ13" s="74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40"/>
      <c r="CG13" s="40"/>
      <c r="CH13" s="40"/>
      <c r="CI13" s="40"/>
      <c r="CJ13" s="40"/>
      <c r="CK13" s="40"/>
      <c r="CL13" s="40"/>
      <c r="CM13" s="40"/>
      <c r="CN13" s="40"/>
    </row>
    <row r="14" spans="1:99" ht="14.1" customHeight="1">
      <c r="A14" s="12">
        <v>90</v>
      </c>
      <c r="B14" s="75">
        <v>131</v>
      </c>
      <c r="C14" s="65"/>
      <c r="D14" s="104">
        <f>AVERAGE(U17:U18)</f>
        <v>627.04</v>
      </c>
      <c r="E14" s="78">
        <f>D14-$E$5</f>
        <v>580.08999999999992</v>
      </c>
      <c r="F14" s="78"/>
      <c r="G14" s="78">
        <f t="shared" ref="G14:G27" si="0">($E14*7.1425)</f>
        <v>4143.2928249999995</v>
      </c>
      <c r="H14" s="78">
        <f t="shared" ref="H14:H27" si="1">($G14/($B14*0.01))</f>
        <v>3162.8189503816789</v>
      </c>
      <c r="I14" s="33">
        <f>$C$15*A14+$C$16</f>
        <v>4164.624411428571</v>
      </c>
      <c r="J14" s="105" t="s">
        <v>110</v>
      </c>
      <c r="K14" s="106" t="s">
        <v>111</v>
      </c>
      <c r="L14" s="13"/>
      <c r="M14" s="107">
        <f>(((S14/60)*$J$1)/$D$2)</f>
        <v>0</v>
      </c>
      <c r="N14" s="101"/>
      <c r="O14" s="101"/>
      <c r="P14" s="101"/>
      <c r="Q14" s="30"/>
      <c r="R14" s="108">
        <v>90</v>
      </c>
      <c r="S14" s="109">
        <v>0</v>
      </c>
      <c r="U14" s="14">
        <v>603.26</v>
      </c>
      <c r="V14" s="15"/>
      <c r="W14" s="110"/>
      <c r="X14" s="69">
        <v>0.312</v>
      </c>
      <c r="Y14" s="30">
        <v>100</v>
      </c>
      <c r="Z14" s="71">
        <v>50.328000000000003</v>
      </c>
      <c r="AA14" s="40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19"/>
      <c r="AY14" s="74"/>
      <c r="AZ14" s="74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40"/>
      <c r="CG14" s="40"/>
      <c r="CH14" s="40"/>
      <c r="CI14" s="40"/>
      <c r="CJ14" s="40"/>
      <c r="CK14" s="40"/>
      <c r="CL14" s="40"/>
      <c r="CM14" s="40"/>
      <c r="CN14" s="40"/>
    </row>
    <row r="15" spans="1:99" s="115" customFormat="1" ht="14.1" customHeight="1">
      <c r="A15" s="12">
        <v>100</v>
      </c>
      <c r="B15" s="75">
        <v>127</v>
      </c>
      <c r="C15" s="65">
        <f>SLOPE(G15:G18,A15:A18)</f>
        <v>-14.059909214285698</v>
      </c>
      <c r="D15" s="104">
        <f>AVERAGE(U19:U20)</f>
        <v>608.48</v>
      </c>
      <c r="E15" s="66">
        <f>D15-$E$5</f>
        <v>561.53</v>
      </c>
      <c r="F15" s="111">
        <v>180</v>
      </c>
      <c r="G15" s="112">
        <f t="shared" si="0"/>
        <v>4010.7280249999999</v>
      </c>
      <c r="H15" s="78">
        <f t="shared" si="1"/>
        <v>3158.053562992126</v>
      </c>
      <c r="I15" s="33">
        <f>$C$15*A15+$C$16</f>
        <v>4024.0253192857144</v>
      </c>
      <c r="J15" s="113">
        <f>((($N$2-(130*$D$2*(((B15+B14)*0.01)/2))*((I15-I14)/(A15-A14))))/((I15+I14)/2))/$D$2</f>
        <v>1.8471785749390934</v>
      </c>
      <c r="K15" s="114">
        <f>$N$2/H15/$D$2</f>
        <v>1.6481995289404709</v>
      </c>
      <c r="L15" s="114">
        <f>J15/($D$4/$D$2)</f>
        <v>2.6451749555205257</v>
      </c>
      <c r="M15" s="107">
        <f>(((S15/60)*$J$1)/$D$2)</f>
        <v>0</v>
      </c>
      <c r="N15" s="19">
        <f>K15-M15</f>
        <v>1.6481995289404709</v>
      </c>
      <c r="O15" s="74">
        <f>N15/($D$4/$D$2)</f>
        <v>2.3602353203982003</v>
      </c>
      <c r="P15" s="74"/>
      <c r="Q15" s="30"/>
      <c r="R15" s="108">
        <v>100</v>
      </c>
      <c r="S15" s="109">
        <v>0</v>
      </c>
      <c r="T15" s="13">
        <v>60</v>
      </c>
      <c r="U15" s="14">
        <v>612.53</v>
      </c>
      <c r="V15" s="15"/>
      <c r="W15" s="110"/>
      <c r="X15" s="69">
        <v>0.24399999999999999</v>
      </c>
      <c r="Y15" s="30">
        <v>110</v>
      </c>
      <c r="Z15" s="71">
        <v>38.441000000000003</v>
      </c>
      <c r="AA15" s="40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19"/>
      <c r="AY15" s="74"/>
      <c r="AZ15" s="74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40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40"/>
      <c r="CH15" s="40"/>
      <c r="CI15" s="40"/>
      <c r="CJ15" s="40"/>
      <c r="CK15" s="40"/>
      <c r="CL15" s="40"/>
      <c r="CM15" s="40"/>
      <c r="CN15" s="40"/>
      <c r="CO15" s="13"/>
      <c r="CP15" s="13"/>
      <c r="CQ15" s="13"/>
      <c r="CR15" s="13"/>
      <c r="CS15" s="13"/>
      <c r="CT15" s="13"/>
      <c r="CU15" s="13"/>
    </row>
    <row r="16" spans="1:99" ht="14.1" customHeight="1">
      <c r="A16" s="12">
        <v>110</v>
      </c>
      <c r="B16" s="75">
        <v>124</v>
      </c>
      <c r="C16" s="65">
        <f>INTERCEPT(G15:G18,A15:A18)</f>
        <v>5430.0162407142843</v>
      </c>
      <c r="D16" s="104">
        <f>AVERAGE(U21:U22)</f>
        <v>591.92000000000007</v>
      </c>
      <c r="E16" s="66">
        <f>D16-$E$5</f>
        <v>544.97</v>
      </c>
      <c r="F16" s="116">
        <v>210</v>
      </c>
      <c r="G16" s="66">
        <f t="shared" si="0"/>
        <v>3892.4482250000001</v>
      </c>
      <c r="H16" s="78">
        <f t="shared" si="1"/>
        <v>3139.0711491935485</v>
      </c>
      <c r="I16" s="33">
        <f>$C$15*A16+$C$16</f>
        <v>3883.4262271428579</v>
      </c>
      <c r="J16" s="113">
        <f>((($N$2-(130*$D$2*(((B16+B15)*0.01)/2))*((I16-I15)/(A16-A15))))/((I16+I15)/2))/$D$2</f>
        <v>1.8966860660916833</v>
      </c>
      <c r="K16" s="67">
        <f>$N$2/H16/$D$2</f>
        <v>1.6581664280625272</v>
      </c>
      <c r="L16" s="67">
        <f>J16/($D$4/$D$2)</f>
        <v>2.7160700912070159</v>
      </c>
      <c r="M16" s="107">
        <f>(((S16/60)*$J$1)/$D$2)</f>
        <v>0</v>
      </c>
      <c r="N16" s="19">
        <f>K16-M16</f>
        <v>1.6581664280625272</v>
      </c>
      <c r="O16" s="67">
        <f>N16/($D$4/$D$2)</f>
        <v>2.3745080021516314</v>
      </c>
      <c r="P16" s="67"/>
      <c r="Q16" s="30"/>
      <c r="R16" s="108">
        <v>110</v>
      </c>
      <c r="S16" s="109">
        <v>0</v>
      </c>
      <c r="U16" s="14">
        <v>589.70000000000005</v>
      </c>
      <c r="V16" s="15"/>
      <c r="W16" s="110"/>
      <c r="X16" s="69">
        <v>0.183</v>
      </c>
      <c r="Y16" s="30">
        <v>115</v>
      </c>
      <c r="Z16" s="71">
        <v>49.792000000000002</v>
      </c>
      <c r="AA16" s="40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19"/>
      <c r="AY16" s="74"/>
      <c r="AZ16" s="74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40"/>
    </row>
    <row r="17" spans="1:67" ht="14.1" customHeight="1">
      <c r="A17" s="12">
        <v>115</v>
      </c>
      <c r="B17" s="75">
        <v>122</v>
      </c>
      <c r="C17" s="65"/>
      <c r="D17" s="104">
        <f>AVERAGE(U23:U24)</f>
        <v>585.73500000000001</v>
      </c>
      <c r="E17" s="66">
        <f>D17-$E$5</f>
        <v>538.78499999999997</v>
      </c>
      <c r="F17" s="116">
        <v>220</v>
      </c>
      <c r="G17" s="66">
        <f t="shared" si="0"/>
        <v>3848.2718624999998</v>
      </c>
      <c r="H17" s="78">
        <f t="shared" si="1"/>
        <v>3154.3211987704917</v>
      </c>
      <c r="I17" s="33">
        <f>$C$15*A17+$C$16</f>
        <v>3813.1266810714292</v>
      </c>
      <c r="J17" s="113">
        <f>((($N$2-(130*$D$2*(((B17+B16)*0.01)/2))*((I17-I16)/(A17-A16))))/((I17+I16)/2))/$D$2</f>
        <v>1.9367844195034474</v>
      </c>
      <c r="K17" s="67">
        <f>$N$2/H17/$D$2</f>
        <v>1.6501497681723953</v>
      </c>
      <c r="L17" s="67">
        <f>J17/($D$4/$D$2)</f>
        <v>2.7734912640386176</v>
      </c>
      <c r="M17" s="107">
        <f>(((S17/60)*$J$1)/$D$2)</f>
        <v>0</v>
      </c>
      <c r="N17" s="19">
        <f>K17-M17</f>
        <v>1.6501497681723953</v>
      </c>
      <c r="O17" s="67">
        <f>N17/($D$4/$D$2)</f>
        <v>2.3630280790646059</v>
      </c>
      <c r="P17" s="67"/>
      <c r="Q17" s="30"/>
      <c r="R17" s="108">
        <v>115</v>
      </c>
      <c r="S17" s="117">
        <v>0</v>
      </c>
      <c r="T17" s="40">
        <v>90</v>
      </c>
      <c r="U17" s="14">
        <v>660.51</v>
      </c>
      <c r="V17" s="15"/>
      <c r="W17" s="110"/>
      <c r="X17" s="69">
        <v>0.23100000000000001</v>
      </c>
      <c r="Y17" s="30">
        <v>120</v>
      </c>
      <c r="Z17" s="71">
        <v>36.125999999999998</v>
      </c>
      <c r="AA17" s="40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19"/>
      <c r="AY17" s="74"/>
      <c r="AZ17" s="74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40"/>
    </row>
    <row r="18" spans="1:67" ht="14.1" customHeight="1">
      <c r="A18" s="12">
        <v>120</v>
      </c>
      <c r="B18" s="118">
        <v>117</v>
      </c>
      <c r="C18" s="65"/>
      <c r="D18" s="104">
        <f>AVERAGE(U25:U26)</f>
        <v>566.65000000000009</v>
      </c>
      <c r="E18" s="66">
        <f>D18-$E$5</f>
        <v>519.70000000000005</v>
      </c>
      <c r="F18" s="116">
        <v>225</v>
      </c>
      <c r="G18" s="66">
        <f t="shared" si="0"/>
        <v>3711.9572500000004</v>
      </c>
      <c r="H18" s="78">
        <f t="shared" si="1"/>
        <v>3172.6130341880348</v>
      </c>
      <c r="I18" s="33">
        <f>$C$15*A18+$C$16</f>
        <v>3742.8271350000005</v>
      </c>
      <c r="J18" s="113">
        <f>((($N$2-(130*$D$2*(((B18+B17)*0.01)/2))*((I18-I17)/(A18-A17))))/((I18+I17)/2))/$D$2</f>
        <v>1.9558905390910968</v>
      </c>
      <c r="K18" s="67">
        <f>$N$2/H18/$D$2</f>
        <v>1.640635759483519</v>
      </c>
      <c r="L18" s="67">
        <f>J18/($D$4/$D$2)</f>
        <v>2.8008513848824279</v>
      </c>
      <c r="M18" s="107">
        <f>(((S18/60)*$J$1)/$D$2)</f>
        <v>0</v>
      </c>
      <c r="N18" s="19">
        <f>K18-M18</f>
        <v>1.640635759483519</v>
      </c>
      <c r="O18" s="67">
        <f>N18/($D$4/$D$2)</f>
        <v>2.3494039401470945</v>
      </c>
      <c r="P18" s="67"/>
      <c r="Q18" s="30"/>
      <c r="R18" s="108">
        <v>120</v>
      </c>
      <c r="S18" s="117">
        <v>0</v>
      </c>
      <c r="T18" s="30"/>
      <c r="U18" s="14">
        <v>593.57000000000005</v>
      </c>
      <c r="V18" s="15"/>
      <c r="W18" s="110"/>
      <c r="X18" s="96">
        <f>AVERAGE(X13:X17)</f>
        <v>0.25719999999999998</v>
      </c>
      <c r="Y18" s="30" t="s">
        <v>107</v>
      </c>
      <c r="Z18" s="96">
        <f>AVERAGE(Z13:Z17)</f>
        <v>43.0732</v>
      </c>
      <c r="AA18" s="30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5"/>
      <c r="AY18" s="95"/>
      <c r="AZ18" s="95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2"/>
      <c r="BO18" s="40"/>
    </row>
    <row r="19" spans="1:67" ht="14.1" customHeight="1" thickBot="1">
      <c r="A19" s="63"/>
      <c r="B19" s="98"/>
      <c r="C19" s="65"/>
      <c r="D19" s="99"/>
      <c r="E19" s="66"/>
      <c r="F19" s="63"/>
      <c r="G19" s="66"/>
      <c r="H19" s="66"/>
      <c r="I19" s="33"/>
      <c r="J19" s="113"/>
      <c r="K19" s="67"/>
      <c r="L19" s="67"/>
      <c r="M19" s="107"/>
      <c r="O19" s="67"/>
      <c r="P19" s="67"/>
      <c r="Q19" s="30"/>
      <c r="R19" s="108"/>
      <c r="S19" s="117"/>
      <c r="T19" s="41">
        <v>100</v>
      </c>
      <c r="U19" s="14">
        <v>597.29999999999995</v>
      </c>
      <c r="V19" s="15"/>
      <c r="W19" s="110"/>
      <c r="Y19" s="30"/>
      <c r="Z19" s="96"/>
      <c r="AA19" s="30"/>
      <c r="AB19" s="96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30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40"/>
    </row>
    <row r="20" spans="1:67" ht="14.1" customHeight="1" thickBot="1">
      <c r="A20" s="119" t="s">
        <v>112</v>
      </c>
      <c r="B20" s="120">
        <f>AVERAGE(B14:B19)</f>
        <v>124.2</v>
      </c>
      <c r="C20" s="121"/>
      <c r="D20" s="122">
        <f>AVERAGE(D14:D18)</f>
        <v>595.96500000000003</v>
      </c>
      <c r="E20" s="122">
        <f>AVERAGE(E14:E18)</f>
        <v>549.01499999999999</v>
      </c>
      <c r="F20" s="122"/>
      <c r="G20" s="122">
        <f>AVERAGE(G14:G18)</f>
        <v>3921.3396374999998</v>
      </c>
      <c r="H20" s="122">
        <f>AVERAGE(H14:H18)</f>
        <v>3157.3755791051758</v>
      </c>
      <c r="I20" s="122"/>
      <c r="J20" s="122">
        <f t="shared" ref="J20:O20" si="2">AVERAGE(J14:J18)</f>
        <v>1.9091348999063302</v>
      </c>
      <c r="K20" s="123">
        <f t="shared" si="2"/>
        <v>1.6492878711647281</v>
      </c>
      <c r="L20" s="122">
        <f t="shared" si="2"/>
        <v>2.7338969239121464</v>
      </c>
      <c r="M20" s="122">
        <f t="shared" si="2"/>
        <v>0</v>
      </c>
      <c r="N20" s="123">
        <f t="shared" si="2"/>
        <v>1.6492878711647281</v>
      </c>
      <c r="O20" s="122">
        <f t="shared" si="2"/>
        <v>2.3617938354403831</v>
      </c>
      <c r="P20" s="124"/>
      <c r="Q20" s="30"/>
      <c r="R20" s="108"/>
      <c r="S20" s="117"/>
      <c r="T20" s="41"/>
      <c r="U20" s="14">
        <v>619.66</v>
      </c>
      <c r="V20" s="15"/>
      <c r="W20" s="110"/>
      <c r="X20" s="69">
        <v>0.105</v>
      </c>
      <c r="Y20" s="70">
        <v>210</v>
      </c>
      <c r="Z20" s="71">
        <v>190.78</v>
      </c>
      <c r="AA20" s="40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4"/>
      <c r="AY20" s="74"/>
      <c r="AZ20" s="74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40"/>
    </row>
    <row r="21" spans="1:67" ht="14.1" customHeight="1" thickBot="1">
      <c r="A21" s="70"/>
      <c r="B21" s="118"/>
      <c r="C21" s="36"/>
      <c r="D21" s="99"/>
      <c r="E21" s="33"/>
      <c r="F21" s="125" t="s">
        <v>113</v>
      </c>
      <c r="G21" s="33"/>
      <c r="H21" s="33"/>
      <c r="I21" s="126" t="s">
        <v>114</v>
      </c>
      <c r="J21" s="127">
        <f>J20-((B18-B15)*0.25*$D$2*10)/(30*$D$2)</f>
        <v>2.7424682332396637</v>
      </c>
      <c r="K21" s="74"/>
      <c r="L21" s="128" t="s">
        <v>33</v>
      </c>
      <c r="M21" s="129">
        <f>J21-M20</f>
        <v>2.7424682332396637</v>
      </c>
      <c r="N21" s="19"/>
      <c r="O21" s="74"/>
      <c r="P21" s="130">
        <f>$M$20-(((B18-B14)*1.3)/(A18-A14))</f>
        <v>0.60666666666666669</v>
      </c>
      <c r="Q21" s="30"/>
      <c r="R21" s="131"/>
      <c r="S21" s="117"/>
      <c r="T21" s="41">
        <v>110</v>
      </c>
      <c r="U21" s="14">
        <v>578.49</v>
      </c>
      <c r="V21" s="15"/>
      <c r="W21" s="110"/>
      <c r="X21" s="69">
        <v>0.109</v>
      </c>
      <c r="Y21" s="70">
        <v>220</v>
      </c>
      <c r="Z21" s="71">
        <v>214.83</v>
      </c>
      <c r="AA21" s="40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4"/>
      <c r="AY21" s="74"/>
      <c r="AZ21" s="74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40"/>
    </row>
    <row r="22" spans="1:67" ht="14.1" customHeight="1" thickBot="1">
      <c r="A22" s="63"/>
      <c r="B22" s="98"/>
      <c r="C22" s="65"/>
      <c r="D22" s="99"/>
      <c r="E22" s="66"/>
      <c r="F22" s="63"/>
      <c r="G22" s="66"/>
      <c r="H22" s="66"/>
      <c r="I22" s="33"/>
      <c r="J22" s="132"/>
      <c r="K22" s="67"/>
      <c r="L22" s="133"/>
      <c r="M22" s="134"/>
      <c r="N22" s="101"/>
      <c r="O22" s="133"/>
      <c r="P22" s="133"/>
      <c r="Q22" s="30"/>
      <c r="R22" s="102" t="s">
        <v>25</v>
      </c>
      <c r="S22" s="103" t="s">
        <v>109</v>
      </c>
      <c r="T22" s="30"/>
      <c r="U22" s="14">
        <v>605.35</v>
      </c>
      <c r="V22" s="15"/>
      <c r="W22" s="110"/>
      <c r="X22" s="69">
        <v>9.6000000000000002E-2</v>
      </c>
      <c r="Y22" s="70">
        <v>230</v>
      </c>
      <c r="Z22" s="71">
        <v>234.33</v>
      </c>
      <c r="AA22" s="40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4"/>
      <c r="AY22" s="74"/>
      <c r="AZ22" s="74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40"/>
    </row>
    <row r="23" spans="1:67" ht="14.1" customHeight="1">
      <c r="A23" s="63">
        <v>210</v>
      </c>
      <c r="B23" s="75">
        <v>108</v>
      </c>
      <c r="C23" s="65"/>
      <c r="D23" s="104">
        <f>AVERAGE(U31:U32)</f>
        <v>369.79999999999995</v>
      </c>
      <c r="E23" s="78">
        <f>D23-$E$5</f>
        <v>322.84999999999997</v>
      </c>
      <c r="F23" s="78"/>
      <c r="G23" s="78">
        <f t="shared" si="0"/>
        <v>2305.9561249999997</v>
      </c>
      <c r="H23" s="78">
        <f t="shared" si="1"/>
        <v>2135.1445601851847</v>
      </c>
      <c r="I23" s="33">
        <f>$C$24*A23+$C$25</f>
        <v>2076.7033025000001</v>
      </c>
      <c r="J23" s="105" t="s">
        <v>110</v>
      </c>
      <c r="K23" s="106" t="s">
        <v>111</v>
      </c>
      <c r="L23" s="67"/>
      <c r="M23" s="19">
        <f>(((S23/60)*$J$1)/$D$2)</f>
        <v>2.492</v>
      </c>
      <c r="N23" s="101"/>
      <c r="O23" s="133"/>
      <c r="P23" s="133"/>
      <c r="Q23" s="30"/>
      <c r="R23" s="131">
        <v>210</v>
      </c>
      <c r="S23" s="117">
        <v>84</v>
      </c>
      <c r="T23" s="13">
        <v>115</v>
      </c>
      <c r="U23" s="14">
        <v>593.24</v>
      </c>
      <c r="V23" s="15"/>
      <c r="W23" s="110"/>
      <c r="X23" s="69">
        <v>0.109</v>
      </c>
      <c r="Y23" s="70">
        <v>235</v>
      </c>
      <c r="Z23" s="71">
        <v>211.18</v>
      </c>
      <c r="AA23" s="40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4"/>
      <c r="AY23" s="74"/>
      <c r="AZ23" s="74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40"/>
    </row>
    <row r="24" spans="1:67" ht="14.1" customHeight="1">
      <c r="A24" s="63">
        <v>220</v>
      </c>
      <c r="B24" s="75">
        <v>103</v>
      </c>
      <c r="C24" s="65">
        <f>SLOPE(G24:G27,A24:A27)</f>
        <v>-13.036491000000007</v>
      </c>
      <c r="D24" s="104">
        <f>AVERAGE(U33:U34)</f>
        <v>315.72500000000002</v>
      </c>
      <c r="E24" s="66">
        <f>D24-$E$5</f>
        <v>268.77500000000003</v>
      </c>
      <c r="F24" s="111">
        <v>180</v>
      </c>
      <c r="G24" s="112">
        <f t="shared" si="0"/>
        <v>1919.7254375000002</v>
      </c>
      <c r="H24" s="112">
        <f t="shared" si="1"/>
        <v>1863.8111043689323</v>
      </c>
      <c r="I24" s="33">
        <f>$C$24*A24+$C$25</f>
        <v>1946.3383924999998</v>
      </c>
      <c r="J24" s="113">
        <f>((($N$2-(130*$D$2*(((B24+B23)*0.01)/2))*((I24-I23)/(A24-A23))))/((I24+I23)/2))/$D$2</f>
        <v>3.4765024405457483</v>
      </c>
      <c r="K24" s="114">
        <f>$N$2/H24/$D$2</f>
        <v>2.7927199181779714</v>
      </c>
      <c r="L24" s="114">
        <f>J24/($D$4/$D$2)</f>
        <v>4.9783801703312935</v>
      </c>
      <c r="M24" s="107">
        <f>(((S24/60)*$J$1)/$D$2)</f>
        <v>2.492</v>
      </c>
      <c r="N24" s="19">
        <f>K24-M24</f>
        <v>0.30071991817797139</v>
      </c>
      <c r="O24" s="74">
        <f>N24/($D$4/$D$2)</f>
        <v>0.43063340327925798</v>
      </c>
      <c r="P24" s="74"/>
      <c r="Q24" s="30"/>
      <c r="R24" s="131">
        <v>220</v>
      </c>
      <c r="S24" s="117">
        <v>84</v>
      </c>
      <c r="U24" s="14">
        <v>578.23</v>
      </c>
      <c r="V24" s="15"/>
      <c r="W24" s="110"/>
      <c r="X24" s="69">
        <v>9.4E-2</v>
      </c>
      <c r="Y24" s="70">
        <v>240</v>
      </c>
      <c r="Z24" s="71">
        <v>225.31</v>
      </c>
      <c r="AA24" s="40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4"/>
      <c r="AY24" s="74"/>
      <c r="AZ24" s="74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40"/>
    </row>
    <row r="25" spans="1:67" ht="14.1" customHeight="1">
      <c r="A25" s="63">
        <v>230</v>
      </c>
      <c r="B25" s="75">
        <v>101</v>
      </c>
      <c r="C25" s="65">
        <f>INTERCEPT(G24:G27,A24:A27)</f>
        <v>4814.3664125000014</v>
      </c>
      <c r="D25" s="104">
        <f>AVERAGE(U35:U36)</f>
        <v>299.23500000000001</v>
      </c>
      <c r="E25" s="66">
        <f>D25-$E$5</f>
        <v>252.28500000000003</v>
      </c>
      <c r="F25" s="111">
        <v>180</v>
      </c>
      <c r="G25" s="112">
        <f t="shared" si="0"/>
        <v>1801.9456125000002</v>
      </c>
      <c r="H25" s="112">
        <f t="shared" si="1"/>
        <v>1784.1045668316833</v>
      </c>
      <c r="I25" s="33">
        <f>$C$24*A25+$C$25</f>
        <v>1815.9734824999996</v>
      </c>
      <c r="J25" s="113">
        <f>((($N$2-(130*$D$2*(((B25+B24)*0.01)/2))*((I25-I24)/(A25-A24))))/((I25+I24)/2))/$D$2</f>
        <v>3.6858938503030947</v>
      </c>
      <c r="K25" s="114">
        <f>$N$2/H25/$D$2</f>
        <v>2.9174872883913539</v>
      </c>
      <c r="L25" s="114">
        <f>J25/($D$4/$D$2)</f>
        <v>5.2782303962411143</v>
      </c>
      <c r="M25" s="107">
        <f>(((S25/60)*$J$1)/$D$2)</f>
        <v>2.492</v>
      </c>
      <c r="N25" s="19">
        <f>K25-M25</f>
        <v>0.42548728839135386</v>
      </c>
      <c r="O25" s="114">
        <f>N25/($D$4/$D$2)</f>
        <v>0.60930130655194448</v>
      </c>
      <c r="P25" s="74"/>
      <c r="Q25" s="30"/>
      <c r="R25" s="131">
        <v>230</v>
      </c>
      <c r="S25" s="117">
        <v>84</v>
      </c>
      <c r="T25" s="13">
        <v>120</v>
      </c>
      <c r="U25" s="14">
        <v>570.86</v>
      </c>
      <c r="V25" s="15"/>
      <c r="W25" s="110"/>
      <c r="X25" s="96">
        <f>AVERAGE(X20:X24)</f>
        <v>0.1026</v>
      </c>
      <c r="Y25" s="57" t="s">
        <v>107</v>
      </c>
      <c r="Z25" s="96">
        <f>AVERAGE(Z20:Z24)</f>
        <v>215.286</v>
      </c>
      <c r="AA25" s="30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5"/>
      <c r="AY25" s="95"/>
      <c r="AZ25" s="95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40"/>
    </row>
    <row r="26" spans="1:67" ht="14.1" customHeight="1">
      <c r="A26" s="63">
        <v>235</v>
      </c>
      <c r="B26" s="75">
        <v>93</v>
      </c>
      <c r="C26" s="65"/>
      <c r="D26" s="104">
        <f>AVERAGE(U37:U38)</f>
        <v>310.90499999999997</v>
      </c>
      <c r="E26" s="66">
        <f>D26-$E$5</f>
        <v>263.95499999999998</v>
      </c>
      <c r="F26" s="111">
        <v>180</v>
      </c>
      <c r="G26" s="112">
        <f t="shared" si="0"/>
        <v>1885.2985874999999</v>
      </c>
      <c r="H26" s="112">
        <f t="shared" si="1"/>
        <v>2027.2027822580644</v>
      </c>
      <c r="I26" s="33">
        <f>$C$24*A26+$C$25</f>
        <v>1750.7910274999999</v>
      </c>
      <c r="J26" s="113">
        <f>((($N$2-(130*$D$2*(((B26+B25)*0.01)/2))*((I26-I25)/(A26-A25))))/((I26+I25)/2))/$D$2</f>
        <v>3.8404575860223478</v>
      </c>
      <c r="K26" s="114">
        <f>$N$2/H26/$D$2</f>
        <v>2.5676278862909458</v>
      </c>
      <c r="L26" s="114">
        <f>J26/($D$4/$D$2)</f>
        <v>5.4995669406895811</v>
      </c>
      <c r="M26" s="107">
        <f>(((S26/60)*$J$1)/$D$2)</f>
        <v>2.492</v>
      </c>
      <c r="N26" s="19">
        <f>K26-M26</f>
        <v>7.5627886290945856E-2</v>
      </c>
      <c r="O26" s="114">
        <f>N26/($D$4/$D$2)</f>
        <v>0.10829975697523465</v>
      </c>
      <c r="P26" s="74"/>
      <c r="Q26" s="30"/>
      <c r="R26" s="131">
        <v>235</v>
      </c>
      <c r="S26" s="117">
        <v>84</v>
      </c>
      <c r="U26" s="14">
        <v>562.44000000000005</v>
      </c>
      <c r="V26" s="15"/>
      <c r="W26" s="11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</row>
    <row r="27" spans="1:67" ht="14.1" customHeight="1">
      <c r="A27" s="63">
        <v>240</v>
      </c>
      <c r="B27" s="118">
        <v>89</v>
      </c>
      <c r="C27" s="65"/>
      <c r="D27" s="104">
        <f>AVERAGE(U39:U40)</f>
        <v>269.80500000000001</v>
      </c>
      <c r="E27" s="66">
        <f>D27-$E$5</f>
        <v>222.85500000000002</v>
      </c>
      <c r="F27" s="111">
        <v>180</v>
      </c>
      <c r="G27" s="112">
        <f t="shared" si="0"/>
        <v>1591.7418375000002</v>
      </c>
      <c r="H27" s="112">
        <f t="shared" si="1"/>
        <v>1788.4739747191013</v>
      </c>
      <c r="I27" s="33">
        <f>$C$24*A27+$C$25</f>
        <v>1685.6085724999998</v>
      </c>
      <c r="J27" s="113">
        <f>((($N$2-(130*$D$2*(((B27+B26)*0.01)/2))*((I27-I26)/(A27-A26))))/((I27+I26)/2))/$D$2</f>
        <v>3.926970123144236</v>
      </c>
      <c r="K27" s="114">
        <f>$N$2/H27/$D$2</f>
        <v>2.9103595962082225</v>
      </c>
      <c r="L27" s="114">
        <f>J27/($D$4/$D$2)</f>
        <v>5.6234536074353256</v>
      </c>
      <c r="M27" s="107">
        <f>(((S27/60)*$J$1)/$D$2)</f>
        <v>2.492</v>
      </c>
      <c r="N27" s="19">
        <f>K27-M27</f>
        <v>0.4183595962082225</v>
      </c>
      <c r="O27" s="114">
        <f>N27/($D$4/$D$2)</f>
        <v>0.59909439255387575</v>
      </c>
      <c r="P27" s="74"/>
      <c r="Q27" s="30"/>
      <c r="R27" s="131">
        <v>240</v>
      </c>
      <c r="S27" s="117">
        <v>84</v>
      </c>
      <c r="T27" s="13">
        <v>150</v>
      </c>
      <c r="U27" s="14">
        <v>484.42</v>
      </c>
      <c r="V27" s="15"/>
      <c r="W27" s="11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</row>
    <row r="28" spans="1:67" ht="14.1" customHeight="1" thickBot="1">
      <c r="A28" s="63"/>
      <c r="B28" s="118"/>
      <c r="C28" s="65"/>
      <c r="D28" s="99"/>
      <c r="E28" s="66"/>
      <c r="F28" s="135"/>
      <c r="G28" s="112"/>
      <c r="H28" s="112"/>
      <c r="I28" s="33"/>
      <c r="J28" s="113"/>
      <c r="K28" s="114"/>
      <c r="L28" s="114"/>
      <c r="M28" s="107"/>
      <c r="N28" s="107"/>
      <c r="O28" s="114"/>
      <c r="P28" s="74"/>
      <c r="Q28" s="30"/>
      <c r="R28" s="108"/>
      <c r="S28" s="117"/>
      <c r="U28" s="14">
        <v>515.55999999999995</v>
      </c>
      <c r="V28" s="15"/>
      <c r="W28" s="110"/>
      <c r="X28" s="69"/>
      <c r="Y28" s="13" t="s">
        <v>115</v>
      </c>
    </row>
    <row r="29" spans="1:67" ht="14.1" customHeight="1" thickBot="1">
      <c r="A29" s="119" t="s">
        <v>112</v>
      </c>
      <c r="B29" s="122">
        <f>AVERAGE(B23:B28)</f>
        <v>98.8</v>
      </c>
      <c r="C29" s="121"/>
      <c r="D29" s="122">
        <f>AVERAGE(D23:D28)</f>
        <v>313.09399999999999</v>
      </c>
      <c r="E29" s="122">
        <f>AVERAGE(E23:E28)</f>
        <v>266.14400000000001</v>
      </c>
      <c r="F29" s="122">
        <f>AVERAGE(F24:F28)</f>
        <v>180</v>
      </c>
      <c r="G29" s="122">
        <f>AVERAGE(G23:G28)</f>
        <v>1900.9335199999998</v>
      </c>
      <c r="H29" s="122">
        <f>AVERAGE(H23:H28)</f>
        <v>1919.747397672593</v>
      </c>
      <c r="I29" s="122"/>
      <c r="J29" s="122">
        <f t="shared" ref="J29:O29" si="3">AVERAGE(J23:J28)</f>
        <v>3.7324560000038565</v>
      </c>
      <c r="K29" s="123">
        <f t="shared" si="3"/>
        <v>2.7970486722671235</v>
      </c>
      <c r="L29" s="122">
        <f t="shared" si="3"/>
        <v>5.3449077786743286</v>
      </c>
      <c r="M29" s="122">
        <f t="shared" si="3"/>
        <v>2.492</v>
      </c>
      <c r="N29" s="123">
        <f t="shared" si="3"/>
        <v>0.3050486722671234</v>
      </c>
      <c r="O29" s="122">
        <f t="shared" si="3"/>
        <v>0.43683221484007817</v>
      </c>
      <c r="P29" s="122"/>
      <c r="Q29" s="136"/>
      <c r="R29" s="137"/>
      <c r="S29" s="138"/>
      <c r="T29" s="13">
        <v>180</v>
      </c>
      <c r="U29" s="14">
        <v>400.29</v>
      </c>
      <c r="V29" s="15"/>
      <c r="W29" s="110"/>
      <c r="X29" s="69"/>
      <c r="Y29" s="13" t="s">
        <v>116</v>
      </c>
    </row>
    <row r="30" spans="1:67" ht="14.1" customHeight="1">
      <c r="A30" s="70"/>
      <c r="B30" s="139"/>
      <c r="C30" s="36"/>
      <c r="D30" s="99"/>
      <c r="E30" s="33"/>
      <c r="F30" s="125" t="s">
        <v>117</v>
      </c>
      <c r="G30" s="33"/>
      <c r="H30" s="33"/>
      <c r="I30" s="140" t="s">
        <v>114</v>
      </c>
      <c r="J30" s="141">
        <f>J29-((B27-B24)*0.25*$D$2*10)/(20*$D$2)</f>
        <v>5.4824560000038565</v>
      </c>
      <c r="K30" s="74"/>
      <c r="L30" s="142" t="s">
        <v>33</v>
      </c>
      <c r="M30" s="143">
        <f>J30-M29</f>
        <v>2.9904560000038565</v>
      </c>
      <c r="N30" s="19">
        <f>AVERAGE(J24:J25)-M29</f>
        <v>1.0891981454244215</v>
      </c>
      <c r="O30" s="74"/>
      <c r="P30" s="130">
        <f>$M$29-(((B27-B23)*1.3)/(A27-A23))</f>
        <v>3.3153333333333332</v>
      </c>
      <c r="Q30" s="30"/>
      <c r="R30" s="63"/>
      <c r="S30" s="144"/>
      <c r="U30" s="14">
        <v>392.75</v>
      </c>
      <c r="V30" s="15"/>
      <c r="W30" s="110"/>
      <c r="X30" s="69"/>
      <c r="Y30" s="13" t="s">
        <v>118</v>
      </c>
    </row>
    <row r="31" spans="1:67" ht="14.1" customHeight="1">
      <c r="A31" s="145"/>
      <c r="B31" s="139"/>
      <c r="C31" s="146"/>
      <c r="D31" s="147"/>
      <c r="E31" s="148"/>
      <c r="F31" s="145"/>
      <c r="G31" s="148"/>
      <c r="H31" s="148"/>
      <c r="I31" s="148"/>
      <c r="J31" s="149"/>
      <c r="K31" s="150"/>
      <c r="L31" s="133"/>
      <c r="M31" s="134"/>
      <c r="N31" s="101"/>
      <c r="O31" s="150"/>
      <c r="P31" s="150"/>
      <c r="Q31" s="96"/>
      <c r="R31" s="151"/>
      <c r="S31" s="101" t="s">
        <v>32</v>
      </c>
      <c r="T31" s="13">
        <v>210</v>
      </c>
      <c r="U31" s="14">
        <v>380.65</v>
      </c>
      <c r="V31" s="15"/>
      <c r="W31" s="110"/>
      <c r="X31" s="69"/>
      <c r="Y31" s="13" t="s">
        <v>119</v>
      </c>
    </row>
    <row r="32" spans="1:67" ht="14.1" customHeight="1">
      <c r="A32" s="145"/>
      <c r="B32" s="148"/>
      <c r="C32" s="146"/>
      <c r="D32" s="147"/>
      <c r="E32" s="148"/>
      <c r="F32" s="148"/>
      <c r="G32" s="148"/>
      <c r="H32" s="148"/>
      <c r="I32" s="148"/>
      <c r="J32" s="152"/>
      <c r="K32" s="153"/>
      <c r="L32" s="58"/>
      <c r="M32" s="124"/>
      <c r="N32" s="101"/>
      <c r="O32" s="150"/>
      <c r="P32" s="150"/>
      <c r="Q32" s="96"/>
      <c r="R32" s="145"/>
      <c r="S32" s="58"/>
      <c r="U32" s="14">
        <v>358.95</v>
      </c>
      <c r="V32" s="15"/>
      <c r="W32" s="110"/>
      <c r="X32" s="69"/>
      <c r="Y32" s="13" t="s">
        <v>120</v>
      </c>
    </row>
    <row r="33" spans="1:99" ht="14.1" customHeight="1">
      <c r="A33" s="145"/>
      <c r="B33" s="148"/>
      <c r="C33" s="146"/>
      <c r="D33" s="147"/>
      <c r="E33" s="148"/>
      <c r="F33" s="145"/>
      <c r="G33" s="148"/>
      <c r="H33" s="148"/>
      <c r="I33" s="148"/>
      <c r="J33" s="149"/>
      <c r="K33" s="150"/>
      <c r="L33" s="150"/>
      <c r="M33" s="124"/>
      <c r="N33" s="124"/>
      <c r="O33" s="150"/>
      <c r="P33" s="150"/>
      <c r="Q33" s="96"/>
      <c r="R33" s="145"/>
      <c r="S33" s="58"/>
      <c r="T33" s="13">
        <v>220</v>
      </c>
      <c r="U33" s="14">
        <v>335.7</v>
      </c>
      <c r="V33" s="15"/>
      <c r="W33" s="110"/>
      <c r="X33" s="69"/>
      <c r="Y33" s="20" t="s">
        <v>121</v>
      </c>
    </row>
    <row r="34" spans="1:99" ht="14.1" customHeight="1">
      <c r="A34" s="145"/>
      <c r="B34" s="148"/>
      <c r="C34" s="146"/>
      <c r="D34" s="147"/>
      <c r="E34" s="148"/>
      <c r="F34" s="145"/>
      <c r="G34" s="148"/>
      <c r="H34" s="148"/>
      <c r="I34" s="148"/>
      <c r="J34" s="149"/>
      <c r="K34" s="150"/>
      <c r="L34" s="150"/>
      <c r="M34" s="124"/>
      <c r="N34" s="124"/>
      <c r="O34" s="150"/>
      <c r="P34" s="150"/>
      <c r="Q34" s="96"/>
      <c r="R34" s="145"/>
      <c r="S34" s="58"/>
      <c r="U34" s="14">
        <v>295.75</v>
      </c>
      <c r="V34" s="15"/>
      <c r="W34" s="110"/>
    </row>
    <row r="35" spans="1:99" ht="14.1" customHeight="1">
      <c r="A35" s="145"/>
      <c r="B35" s="148"/>
      <c r="C35" s="146"/>
      <c r="D35" s="147"/>
      <c r="E35" s="148"/>
      <c r="F35" s="145"/>
      <c r="G35" s="148"/>
      <c r="H35" s="148"/>
      <c r="I35" s="148"/>
      <c r="J35" s="149"/>
      <c r="K35" s="150"/>
      <c r="L35" s="150"/>
      <c r="M35" s="124"/>
      <c r="N35" s="124"/>
      <c r="O35" s="150"/>
      <c r="P35" s="150"/>
      <c r="Q35" s="96"/>
      <c r="R35" s="145"/>
      <c r="S35" s="58"/>
      <c r="T35" s="13">
        <v>230</v>
      </c>
      <c r="U35" s="14">
        <v>304.41000000000003</v>
      </c>
      <c r="V35" s="15"/>
      <c r="W35" s="110"/>
    </row>
    <row r="36" spans="1:99" ht="14.1" customHeight="1">
      <c r="A36" s="145"/>
      <c r="B36" s="139"/>
      <c r="C36" s="146"/>
      <c r="D36" s="147"/>
      <c r="E36" s="148"/>
      <c r="F36" s="145"/>
      <c r="G36" s="148"/>
      <c r="H36" s="148"/>
      <c r="I36" s="148"/>
      <c r="J36" s="149"/>
      <c r="K36" s="150"/>
      <c r="L36" s="150"/>
      <c r="M36" s="124"/>
      <c r="N36" s="124"/>
      <c r="O36" s="150"/>
      <c r="P36" s="150"/>
      <c r="Q36" s="96"/>
      <c r="R36" s="145"/>
      <c r="S36" s="58"/>
      <c r="U36" s="14">
        <v>294.06</v>
      </c>
      <c r="V36" s="15"/>
      <c r="W36" s="110"/>
      <c r="X36"/>
    </row>
    <row r="37" spans="1:99" ht="14.1" customHeight="1">
      <c r="A37" s="145"/>
      <c r="B37" s="139"/>
      <c r="C37" s="146"/>
      <c r="D37" s="147"/>
      <c r="E37" s="148"/>
      <c r="F37" s="145"/>
      <c r="G37" s="148"/>
      <c r="H37" s="148"/>
      <c r="I37" s="148"/>
      <c r="J37" s="149"/>
      <c r="K37" s="150"/>
      <c r="L37" s="150"/>
      <c r="M37" s="124"/>
      <c r="N37" s="124"/>
      <c r="O37" s="150"/>
      <c r="P37" s="150"/>
      <c r="Q37" s="96"/>
      <c r="R37" s="96"/>
      <c r="S37" s="58"/>
      <c r="T37" s="13">
        <v>235</v>
      </c>
      <c r="U37" s="14">
        <v>308.52</v>
      </c>
      <c r="V37" s="15"/>
      <c r="W37" s="15"/>
      <c r="X37" s="6"/>
    </row>
    <row r="38" spans="1:99" s="156" customFormat="1" ht="14.1" customHeight="1">
      <c r="A38" s="154"/>
      <c r="B38" s="139"/>
      <c r="C38" s="155"/>
      <c r="D38" s="139"/>
      <c r="E38" s="139"/>
      <c r="F38" s="139"/>
      <c r="G38" s="139"/>
      <c r="H38" s="139"/>
      <c r="I38" s="139"/>
      <c r="J38" s="124"/>
      <c r="K38" s="124"/>
      <c r="L38" s="124"/>
      <c r="M38" s="124"/>
      <c r="N38" s="124"/>
      <c r="O38" s="124"/>
      <c r="P38" s="124"/>
      <c r="Q38" s="155"/>
      <c r="R38" s="145"/>
      <c r="S38" s="58"/>
      <c r="T38" s="13"/>
      <c r="U38" s="14">
        <v>313.29000000000002</v>
      </c>
      <c r="V38" s="15"/>
      <c r="W38" s="15"/>
      <c r="X38" s="6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</row>
    <row r="39" spans="1:99" s="3" customFormat="1" ht="14.1" customHeight="1">
      <c r="A39" s="157"/>
      <c r="B39" s="158"/>
      <c r="C39" s="159"/>
      <c r="D39" s="160"/>
      <c r="E39" s="160"/>
      <c r="F39" s="161"/>
      <c r="G39" s="160"/>
      <c r="H39" s="148"/>
      <c r="I39" s="162"/>
      <c r="J39" s="163"/>
      <c r="K39" s="150"/>
      <c r="L39" s="155"/>
      <c r="M39" s="134"/>
      <c r="N39" s="155"/>
      <c r="O39" s="155"/>
      <c r="P39" s="155"/>
      <c r="Q39" s="58"/>
      <c r="R39" s="58"/>
      <c r="S39" s="58"/>
      <c r="T39" s="13">
        <v>240</v>
      </c>
      <c r="U39" s="14">
        <v>270.82</v>
      </c>
      <c r="V39" s="15"/>
      <c r="W39" s="15"/>
      <c r="X39" s="6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</row>
    <row r="40" spans="1:99" ht="14.1" customHeight="1">
      <c r="A40" s="164"/>
      <c r="B40" s="165"/>
      <c r="C40" s="164"/>
      <c r="D40" s="148"/>
      <c r="E40" s="164"/>
      <c r="F40" s="164"/>
      <c r="G40" s="96"/>
      <c r="H40" s="101"/>
      <c r="I40" s="58"/>
      <c r="J40" s="155"/>
      <c r="K40" s="166"/>
      <c r="L40" s="167"/>
      <c r="M40" s="168"/>
      <c r="N40" s="134"/>
      <c r="O40" s="169"/>
      <c r="P40" s="169"/>
      <c r="Q40" s="58"/>
      <c r="R40" s="58"/>
      <c r="S40" s="58"/>
      <c r="U40" s="14">
        <v>268.79000000000002</v>
      </c>
      <c r="V40" s="15"/>
      <c r="W40" s="15"/>
    </row>
    <row r="41" spans="1:99" ht="14.1" customHeight="1">
      <c r="A41" s="164"/>
      <c r="B41" s="170"/>
      <c r="C41" s="164"/>
      <c r="D41" s="171"/>
      <c r="E41" s="164"/>
      <c r="F41" s="164"/>
      <c r="G41" s="124"/>
      <c r="H41" s="58"/>
      <c r="I41" s="58"/>
      <c r="J41" s="170"/>
      <c r="K41" s="170"/>
      <c r="L41" s="96"/>
      <c r="M41" s="172"/>
      <c r="N41" s="160"/>
      <c r="O41" s="58"/>
      <c r="P41" s="58"/>
      <c r="Q41" s="58"/>
      <c r="R41" s="58"/>
      <c r="S41" s="58"/>
      <c r="U41" s="173"/>
      <c r="V41" s="174"/>
      <c r="W41" s="175"/>
    </row>
    <row r="42" spans="1:99" ht="14.1" customHeight="1">
      <c r="A42" s="3"/>
      <c r="B42" s="3"/>
      <c r="C42" s="3"/>
      <c r="D42" s="33"/>
      <c r="E42" s="3"/>
      <c r="F42" s="3"/>
      <c r="G42" s="19"/>
      <c r="H42" s="40"/>
      <c r="I42" s="40"/>
      <c r="J42" s="30"/>
      <c r="K42" s="30"/>
      <c r="L42" s="30"/>
      <c r="M42" s="30"/>
      <c r="N42" s="33"/>
      <c r="O42" s="33"/>
      <c r="P42" s="33"/>
      <c r="Q42" s="40"/>
      <c r="R42" s="40"/>
      <c r="U42" s="173"/>
      <c r="V42" s="174"/>
      <c r="W42" s="175"/>
    </row>
    <row r="43" spans="1:99" ht="14.1" customHeight="1">
      <c r="A43" s="30"/>
      <c r="B43" s="176"/>
      <c r="C43" s="3"/>
      <c r="D43" s="33"/>
      <c r="E43" s="177"/>
      <c r="F43" s="177"/>
      <c r="G43" s="33"/>
      <c r="H43" s="174"/>
      <c r="I43" s="40"/>
      <c r="J43" s="30"/>
      <c r="K43" s="30"/>
      <c r="L43" s="30"/>
      <c r="M43" s="33"/>
      <c r="N43" s="178"/>
      <c r="O43" s="33"/>
      <c r="P43" s="33"/>
      <c r="Q43" s="40"/>
      <c r="R43" s="40"/>
      <c r="U43" s="173"/>
      <c r="V43" s="174"/>
      <c r="W43" s="175"/>
    </row>
    <row r="44" spans="1:99" ht="14.1" customHeight="1">
      <c r="A44" s="3"/>
      <c r="B44" s="30"/>
      <c r="C44" s="3"/>
      <c r="D44" s="41"/>
      <c r="E44" s="42"/>
      <c r="F44" s="42"/>
      <c r="G44" s="19"/>
      <c r="H44" s="19"/>
      <c r="I44" s="30"/>
      <c r="J44" s="179"/>
      <c r="K44" s="179"/>
      <c r="L44" s="180"/>
      <c r="M44" s="39"/>
      <c r="N44" s="179"/>
      <c r="O44" s="180"/>
      <c r="P44" s="180"/>
      <c r="Q44" s="46"/>
      <c r="R44" s="46"/>
      <c r="U44" s="173"/>
      <c r="V44" s="174"/>
      <c r="W44" s="175"/>
    </row>
    <row r="45" spans="1:99" s="1" customFormat="1" ht="14.1" customHeight="1">
      <c r="A45" s="3"/>
      <c r="B45" s="181"/>
      <c r="C45" s="181"/>
      <c r="D45" s="25"/>
      <c r="E45" s="181"/>
      <c r="F45" s="181"/>
      <c r="G45" s="181"/>
      <c r="H45" s="95"/>
      <c r="I45" s="95"/>
      <c r="J45" s="182"/>
      <c r="K45" s="182"/>
      <c r="L45" s="182"/>
      <c r="M45" s="182"/>
      <c r="N45" s="182"/>
      <c r="O45" s="54"/>
      <c r="P45" s="54"/>
      <c r="Q45" s="55"/>
      <c r="R45" s="55"/>
      <c r="S45" s="13"/>
      <c r="T45" s="13"/>
      <c r="U45" s="173"/>
      <c r="V45" s="40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</row>
    <row r="46" spans="1:99" ht="14.1" customHeight="1">
      <c r="A46" s="70"/>
      <c r="B46" s="33"/>
      <c r="C46" s="36"/>
      <c r="D46" s="33"/>
      <c r="E46" s="33"/>
      <c r="F46" s="33"/>
      <c r="G46" s="33"/>
      <c r="H46" s="33"/>
      <c r="I46" s="33"/>
      <c r="J46" s="74"/>
      <c r="K46" s="74"/>
      <c r="L46" s="74"/>
      <c r="M46" s="30"/>
      <c r="N46" s="19"/>
      <c r="O46" s="74"/>
      <c r="P46" s="74"/>
      <c r="Q46" s="30"/>
      <c r="R46" s="30"/>
      <c r="U46" s="173"/>
    </row>
    <row r="47" spans="1:99" ht="14.1" customHeight="1">
      <c r="A47" s="70"/>
      <c r="B47" s="33"/>
      <c r="C47" s="36"/>
      <c r="D47" s="33"/>
      <c r="E47" s="33"/>
      <c r="F47" s="33"/>
      <c r="G47" s="33"/>
      <c r="H47" s="33"/>
      <c r="I47" s="33"/>
      <c r="J47" s="74"/>
      <c r="K47" s="74"/>
      <c r="L47" s="74"/>
      <c r="M47" s="30"/>
      <c r="N47" s="19"/>
      <c r="O47" s="74"/>
      <c r="P47" s="74"/>
      <c r="Q47" s="30"/>
      <c r="R47" s="30"/>
      <c r="T47" s="40"/>
      <c r="U47" s="173"/>
    </row>
    <row r="48" spans="1:99" s="80" customFormat="1" ht="14.1" customHeight="1">
      <c r="A48" s="183"/>
      <c r="B48" s="25"/>
      <c r="C48" s="184"/>
      <c r="D48" s="25"/>
      <c r="E48" s="25"/>
      <c r="F48" s="25"/>
      <c r="G48" s="25"/>
      <c r="H48" s="25"/>
      <c r="I48" s="25"/>
      <c r="J48" s="95"/>
      <c r="K48" s="95"/>
      <c r="L48" s="95"/>
      <c r="M48" s="95"/>
      <c r="N48" s="95"/>
      <c r="O48" s="95"/>
      <c r="P48" s="95"/>
      <c r="Q48" s="95"/>
      <c r="R48" s="95"/>
      <c r="S48" s="13"/>
      <c r="T48" s="40"/>
      <c r="U48" s="17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</row>
    <row r="49" spans="1:99" ht="14.1" customHeight="1">
      <c r="A49" s="30"/>
      <c r="B49" s="176"/>
      <c r="C49" s="185"/>
      <c r="D49" s="33"/>
      <c r="E49" s="40"/>
      <c r="F49" s="40"/>
      <c r="G49" s="40"/>
      <c r="H49" s="40"/>
      <c r="I49" s="40"/>
      <c r="J49" s="40"/>
      <c r="K49" s="40"/>
      <c r="L49" s="40"/>
      <c r="M49" s="30"/>
      <c r="N49" s="40"/>
      <c r="O49" s="40"/>
      <c r="P49" s="40"/>
      <c r="Q49" s="30"/>
      <c r="R49" s="30"/>
      <c r="T49" s="40"/>
      <c r="U49" s="173"/>
    </row>
    <row r="50" spans="1:99" ht="14.1" customHeight="1">
      <c r="A50" s="30"/>
      <c r="B50" s="176"/>
      <c r="C50" s="185"/>
      <c r="D50" s="33"/>
      <c r="E50" s="40"/>
      <c r="F50" s="40"/>
      <c r="G50" s="40"/>
      <c r="H50" s="40"/>
      <c r="I50" s="40"/>
      <c r="J50" s="40"/>
      <c r="K50" s="40"/>
      <c r="L50" s="40"/>
      <c r="M50" s="30"/>
      <c r="N50" s="40"/>
      <c r="O50" s="40"/>
      <c r="P50" s="40"/>
      <c r="Q50" s="30"/>
      <c r="R50" s="30"/>
      <c r="T50" s="40"/>
      <c r="U50" s="173"/>
    </row>
    <row r="51" spans="1:99" ht="14.1" customHeight="1">
      <c r="A51" s="30"/>
      <c r="B51" s="176"/>
      <c r="C51" s="185"/>
      <c r="D51" s="33"/>
      <c r="E51" s="40"/>
      <c r="F51" s="40"/>
      <c r="G51" s="40"/>
      <c r="H51" s="40"/>
      <c r="I51" s="40"/>
      <c r="J51" s="40"/>
      <c r="K51" s="40"/>
      <c r="L51" s="40"/>
      <c r="M51" s="19"/>
      <c r="N51" s="40"/>
      <c r="O51" s="40"/>
      <c r="P51" s="40"/>
      <c r="Q51" s="30"/>
      <c r="R51" s="30"/>
      <c r="T51" s="40"/>
      <c r="U51" s="173"/>
    </row>
    <row r="52" spans="1:99" ht="14.1" customHeight="1">
      <c r="A52" s="30"/>
      <c r="B52" s="176"/>
      <c r="C52" s="185"/>
      <c r="D52" s="33"/>
      <c r="E52" s="40"/>
      <c r="F52" s="40"/>
      <c r="G52" s="40"/>
      <c r="H52" s="40"/>
      <c r="I52" s="40"/>
      <c r="J52" s="40"/>
      <c r="K52" s="40"/>
      <c r="L52" s="40"/>
      <c r="M52" s="19"/>
      <c r="N52" s="40"/>
      <c r="O52" s="40"/>
      <c r="P52" s="40"/>
      <c r="Q52" s="30"/>
      <c r="R52" s="30"/>
      <c r="U52" s="173"/>
    </row>
    <row r="53" spans="1:99" ht="14.1" customHeight="1">
      <c r="A53" s="30"/>
      <c r="B53" s="176"/>
      <c r="C53" s="186"/>
      <c r="D53" s="33"/>
      <c r="E53" s="33"/>
      <c r="F53" s="33"/>
      <c r="G53" s="33"/>
      <c r="H53" s="33"/>
      <c r="I53" s="33"/>
      <c r="J53" s="187"/>
      <c r="K53" s="188"/>
      <c r="L53" s="40"/>
      <c r="M53" s="19"/>
      <c r="N53" s="40"/>
      <c r="O53" s="40"/>
      <c r="P53" s="40"/>
      <c r="Q53" s="30"/>
      <c r="R53" s="30"/>
      <c r="U53" s="173"/>
    </row>
    <row r="54" spans="1:99" ht="14.1" customHeight="1">
      <c r="A54" s="70"/>
      <c r="B54" s="189"/>
      <c r="C54" s="36"/>
      <c r="D54" s="33"/>
      <c r="E54" s="33"/>
      <c r="F54" s="33"/>
      <c r="G54" s="33"/>
      <c r="H54" s="33"/>
      <c r="I54" s="33"/>
      <c r="J54" s="132"/>
      <c r="K54" s="74"/>
      <c r="L54" s="74"/>
      <c r="M54" s="19"/>
      <c r="N54" s="19"/>
      <c r="O54" s="74"/>
      <c r="P54" s="74"/>
      <c r="Q54" s="30"/>
      <c r="R54" s="30"/>
      <c r="U54" s="173"/>
    </row>
    <row r="55" spans="1:99" ht="14.1" customHeight="1">
      <c r="A55" s="70"/>
      <c r="B55" s="189"/>
      <c r="C55" s="36"/>
      <c r="D55" s="33"/>
      <c r="E55" s="33"/>
      <c r="F55" s="33"/>
      <c r="G55" s="33"/>
      <c r="H55" s="33"/>
      <c r="I55" s="33"/>
      <c r="J55" s="132"/>
      <c r="K55" s="74"/>
      <c r="L55" s="74"/>
      <c r="M55" s="19"/>
      <c r="N55" s="19"/>
      <c r="O55" s="74"/>
      <c r="P55" s="74"/>
      <c r="Q55" s="30"/>
      <c r="R55" s="30"/>
      <c r="U55" s="173"/>
    </row>
    <row r="56" spans="1:99" s="30" customFormat="1" ht="14.1" customHeight="1">
      <c r="A56" s="70"/>
      <c r="B56" s="189"/>
      <c r="C56" s="36"/>
      <c r="D56" s="33"/>
      <c r="E56" s="33"/>
      <c r="F56" s="33"/>
      <c r="G56" s="33"/>
      <c r="H56" s="33"/>
      <c r="I56" s="33"/>
      <c r="J56" s="132"/>
      <c r="K56" s="74"/>
      <c r="L56" s="74"/>
      <c r="M56" s="19"/>
      <c r="N56" s="19"/>
      <c r="O56" s="74"/>
      <c r="P56" s="74"/>
      <c r="S56" s="13"/>
      <c r="T56" s="13"/>
      <c r="U56" s="17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</row>
    <row r="57" spans="1:99" ht="14.1" customHeight="1">
      <c r="A57" s="70"/>
      <c r="B57" s="189"/>
      <c r="C57" s="36"/>
      <c r="D57" s="33"/>
      <c r="E57" s="33"/>
      <c r="F57" s="33"/>
      <c r="G57" s="33"/>
      <c r="H57" s="33"/>
      <c r="I57" s="33"/>
      <c r="J57" s="132"/>
      <c r="K57" s="74"/>
      <c r="L57" s="74"/>
      <c r="M57" s="19"/>
      <c r="N57" s="19"/>
      <c r="O57" s="74"/>
      <c r="P57" s="74"/>
      <c r="Q57" s="30"/>
      <c r="R57" s="30"/>
      <c r="U57" s="173"/>
    </row>
    <row r="58" spans="1:99" ht="14.1" customHeight="1">
      <c r="A58" s="183"/>
      <c r="B58" s="25"/>
      <c r="C58" s="184"/>
      <c r="D58" s="25"/>
      <c r="E58" s="25"/>
      <c r="F58" s="25"/>
      <c r="G58" s="25"/>
      <c r="H58" s="25"/>
      <c r="I58" s="25"/>
      <c r="J58" s="95"/>
      <c r="K58" s="95"/>
      <c r="L58" s="95"/>
      <c r="M58" s="95"/>
      <c r="N58" s="95"/>
      <c r="O58" s="95"/>
      <c r="P58" s="95"/>
      <c r="Q58" s="95"/>
      <c r="R58" s="95"/>
      <c r="U58" s="173"/>
    </row>
    <row r="59" spans="1:99" s="115" customFormat="1" ht="14.1" customHeight="1">
      <c r="A59" s="40"/>
      <c r="B59" s="40"/>
      <c r="C59" s="40"/>
      <c r="D59" s="19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13"/>
      <c r="T59" s="13"/>
      <c r="U59" s="17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</row>
    <row r="60" spans="1:99" s="30" customFormat="1" ht="14.1" customHeight="1">
      <c r="A60" s="191"/>
      <c r="B60" s="40"/>
      <c r="C60" s="40"/>
      <c r="D60" s="19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13"/>
      <c r="T60" s="13"/>
      <c r="U60" s="17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</row>
    <row r="61" spans="1:99" ht="14.1" customHeight="1">
      <c r="A61" s="40"/>
      <c r="B61" s="40"/>
      <c r="C61" s="40"/>
      <c r="D61" s="19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U61" s="173"/>
    </row>
    <row r="62" spans="1:99" ht="14.1" customHeight="1">
      <c r="A62" s="40"/>
      <c r="B62" s="40"/>
      <c r="C62" s="40"/>
      <c r="D62" s="19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U62" s="173"/>
    </row>
    <row r="63" spans="1:99" ht="14.1" customHeight="1">
      <c r="A63" s="40"/>
      <c r="B63" s="40"/>
      <c r="C63" s="40"/>
      <c r="D63" s="19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U63" s="173"/>
    </row>
    <row r="64" spans="1:99" s="156" customFormat="1" ht="14.1" customHeight="1">
      <c r="A64" s="30"/>
      <c r="B64" s="189"/>
      <c r="C64" s="36"/>
      <c r="D64" s="33"/>
      <c r="E64" s="189"/>
      <c r="F64" s="189"/>
      <c r="G64" s="19"/>
      <c r="H64" s="30"/>
      <c r="I64" s="30"/>
      <c r="J64" s="30"/>
      <c r="K64" s="30"/>
      <c r="L64" s="30"/>
      <c r="M64" s="30"/>
      <c r="N64" s="19"/>
      <c r="O64" s="30"/>
      <c r="P64" s="30"/>
      <c r="Q64" s="40"/>
      <c r="R64" s="40"/>
      <c r="S64" s="13"/>
      <c r="T64" s="13"/>
      <c r="U64" s="17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</row>
    <row r="65" spans="1:21" s="13" customFormat="1" ht="14.1" customHeight="1">
      <c r="A65" s="30"/>
      <c r="B65" s="189"/>
      <c r="C65" s="36"/>
      <c r="D65" s="33"/>
      <c r="E65" s="189"/>
      <c r="F65" s="189"/>
      <c r="G65" s="19"/>
      <c r="H65" s="30"/>
      <c r="I65" s="30"/>
      <c r="J65" s="30"/>
      <c r="K65" s="30"/>
      <c r="L65" s="30"/>
      <c r="M65" s="30"/>
      <c r="N65" s="19"/>
      <c r="O65" s="30"/>
      <c r="P65" s="30"/>
      <c r="Q65" s="40"/>
      <c r="R65" s="40"/>
      <c r="U65" s="173"/>
    </row>
    <row r="66" spans="1:21" s="13" customFormat="1" ht="14.1" customHeight="1">
      <c r="A66" s="12"/>
      <c r="B66" s="192"/>
      <c r="C66" s="65"/>
      <c r="D66" s="66"/>
      <c r="E66" s="192"/>
      <c r="F66" s="192"/>
      <c r="G66" s="68"/>
      <c r="H66" s="12"/>
      <c r="I66" s="12"/>
      <c r="J66" s="12"/>
      <c r="K66" s="12"/>
      <c r="L66" s="12"/>
      <c r="M66" s="12"/>
      <c r="N66" s="68"/>
      <c r="O66" s="12"/>
      <c r="P66" s="12"/>
      <c r="U66" s="173"/>
    </row>
    <row r="67" spans="1:21" ht="14.1" customHeight="1">
      <c r="C67" s="65"/>
      <c r="U67" s="173"/>
    </row>
    <row r="68" spans="1:21" ht="14.1" customHeight="1">
      <c r="A68" s="13"/>
      <c r="B68" s="13"/>
      <c r="C68" s="13"/>
      <c r="D68" s="97"/>
      <c r="E68" s="13"/>
      <c r="F68" s="13"/>
      <c r="G68" s="13"/>
      <c r="H68" s="13"/>
      <c r="I68" s="13"/>
      <c r="J68" s="13"/>
      <c r="M68" s="13"/>
      <c r="N68" s="13"/>
      <c r="O68" s="13"/>
      <c r="P68" s="13"/>
      <c r="U68" s="173"/>
    </row>
    <row r="69" spans="1:21" ht="14.1" customHeight="1">
      <c r="A69" s="13"/>
      <c r="B69" s="13"/>
      <c r="C69" s="13"/>
      <c r="D69" s="97"/>
      <c r="E69" s="13"/>
      <c r="F69" s="13"/>
      <c r="G69" s="13"/>
      <c r="H69" s="13"/>
      <c r="I69" s="13"/>
      <c r="J69" s="13"/>
      <c r="M69" s="13"/>
      <c r="N69" s="13"/>
      <c r="O69" s="13"/>
      <c r="P69" s="13"/>
      <c r="U69" s="173"/>
    </row>
    <row r="70" spans="1:21" ht="14.1" customHeight="1">
      <c r="C70" s="65"/>
      <c r="U70" s="173"/>
    </row>
    <row r="71" spans="1:21" ht="14.1" customHeight="1">
      <c r="C71" s="65"/>
      <c r="Q71" s="13"/>
      <c r="R71" s="13"/>
    </row>
    <row r="72" spans="1:21" ht="14.1" customHeight="1">
      <c r="C72" s="65"/>
      <c r="Q72" s="13"/>
      <c r="R72" s="13"/>
    </row>
    <row r="73" spans="1:21" ht="14.1" customHeight="1">
      <c r="C73" s="65"/>
    </row>
    <row r="74" spans="1:21" ht="14.1" customHeight="1">
      <c r="C74" s="65"/>
    </row>
  </sheetData>
  <pageMargins left="0.75" right="0.5" top="1" bottom="0.5" header="0.5" footer="0.5"/>
  <pageSetup scale="70" orientation="landscape" r:id="rId1"/>
  <headerFooter alignWithMargins="0">
    <oddHeader>&amp;R&amp;D</oddHead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U74"/>
  <sheetViews>
    <sheetView topLeftCell="J1" zoomScale="87" zoomScaleNormal="87" workbookViewId="0">
      <selection activeCell="AB11" sqref="AB11:CQ11"/>
    </sheetView>
  </sheetViews>
  <sheetFormatPr defaultColWidth="13.7109375" defaultRowHeight="14.1" customHeight="1"/>
  <cols>
    <col min="1" max="1" width="6.28515625" style="12" customWidth="1"/>
    <col min="2" max="2" width="16.5703125" style="192" customWidth="1"/>
    <col min="3" max="3" width="8.28515625" style="12" customWidth="1"/>
    <col min="4" max="4" width="11.140625" style="66" customWidth="1"/>
    <col min="5" max="5" width="12.85546875" style="192" customWidth="1"/>
    <col min="6" max="6" width="9.28515625" style="192" customWidth="1"/>
    <col min="7" max="7" width="9.140625" style="68" customWidth="1"/>
    <col min="8" max="8" width="10.85546875" style="12" customWidth="1"/>
    <col min="9" max="9" width="13.140625" style="12" customWidth="1"/>
    <col min="10" max="10" width="12.28515625" style="12" customWidth="1"/>
    <col min="11" max="11" width="10.140625" style="12" customWidth="1"/>
    <col min="12" max="12" width="14.42578125" style="12" customWidth="1"/>
    <col min="13" max="13" width="8.85546875" style="12" customWidth="1"/>
    <col min="14" max="14" width="17.140625" style="68" customWidth="1"/>
    <col min="15" max="15" width="15.7109375" style="12" customWidth="1"/>
    <col min="16" max="16" width="10.85546875" style="12" customWidth="1"/>
    <col min="17" max="17" width="6.140625" style="12" customWidth="1"/>
    <col min="18" max="18" width="7.28515625" style="12" customWidth="1"/>
    <col min="19" max="19" width="12" style="13" customWidth="1"/>
    <col min="20" max="20" width="10.42578125" style="13" customWidth="1"/>
    <col min="21" max="21" width="13.7109375" style="13" customWidth="1"/>
    <col min="22" max="22" width="2.5703125" style="13" customWidth="1"/>
    <col min="23" max="29" width="13.7109375" style="13" customWidth="1"/>
    <col min="30" max="31" width="25" style="13" customWidth="1"/>
    <col min="32" max="34" width="13.7109375" style="13" customWidth="1"/>
    <col min="35" max="35" width="19.85546875" style="13" customWidth="1"/>
    <col min="36" max="36" width="19.5703125" style="13" customWidth="1"/>
    <col min="37" max="37" width="27.42578125" style="13" customWidth="1"/>
    <col min="38" max="38" width="31.42578125" style="13" customWidth="1"/>
    <col min="39" max="39" width="31.28515625" style="13" customWidth="1"/>
    <col min="40" max="45" width="27.42578125" style="13" customWidth="1"/>
    <col min="46" max="46" width="31.28515625" style="13" customWidth="1"/>
    <col min="47" max="47" width="35.42578125" style="13" customWidth="1"/>
    <col min="48" max="50" width="13.7109375" style="13" customWidth="1"/>
    <col min="51" max="52" width="17.28515625" style="13" customWidth="1"/>
    <col min="53" max="60" width="17.5703125" style="13" customWidth="1"/>
    <col min="61" max="65" width="20.42578125" style="13" customWidth="1"/>
    <col min="66" max="68" width="13.7109375" style="13" customWidth="1"/>
    <col min="69" max="69" width="18.7109375" style="13" customWidth="1"/>
    <col min="70" max="72" width="13.7109375" style="13" customWidth="1"/>
    <col min="73" max="73" width="17.28515625" style="13" customWidth="1"/>
    <col min="74" max="74" width="16.85546875" style="13" customWidth="1"/>
    <col min="75" max="75" width="13.7109375" style="13" customWidth="1"/>
    <col min="76" max="76" width="17" style="13" customWidth="1"/>
    <col min="77" max="81" width="17.85546875" style="13" customWidth="1"/>
    <col min="82" max="92" width="13.7109375" style="13" customWidth="1"/>
    <col min="93" max="93" width="26.140625" style="13" customWidth="1"/>
    <col min="94" max="94" width="25.7109375" style="13" customWidth="1"/>
    <col min="95" max="95" width="22.85546875" style="13" customWidth="1"/>
    <col min="96" max="99" width="13.7109375" style="13" customWidth="1"/>
    <col min="100" max="16384" width="13.7109375" style="12"/>
  </cols>
  <sheetData>
    <row r="1" spans="1:99" ht="14.1" customHeight="1">
      <c r="A1" s="1" t="s">
        <v>0</v>
      </c>
      <c r="B1" s="2" t="s">
        <v>136</v>
      </c>
      <c r="C1" s="3" t="s">
        <v>1</v>
      </c>
      <c r="D1" s="4" t="s">
        <v>164</v>
      </c>
      <c r="E1" s="1" t="s">
        <v>2</v>
      </c>
      <c r="F1" s="1"/>
      <c r="G1" s="5">
        <v>58</v>
      </c>
      <c r="H1" s="6"/>
      <c r="I1" s="6" t="s">
        <v>3</v>
      </c>
      <c r="J1" s="5">
        <v>178</v>
      </c>
      <c r="K1" s="7"/>
      <c r="L1" s="7"/>
      <c r="M1" s="8" t="s">
        <v>4</v>
      </c>
      <c r="N1" s="9">
        <f>((AVERAGE(W7:W8))*20)</f>
        <v>7416833</v>
      </c>
      <c r="O1" s="10">
        <f>(O3*20)</f>
        <v>6855657.4300499996</v>
      </c>
      <c r="P1" s="10"/>
      <c r="Q1" s="11" t="s">
        <v>5</v>
      </c>
      <c r="S1" s="13">
        <v>-120</v>
      </c>
      <c r="T1" s="13" t="s">
        <v>6</v>
      </c>
      <c r="U1" s="14">
        <v>41.83</v>
      </c>
      <c r="V1" s="15"/>
      <c r="W1" s="15" t="s">
        <v>7</v>
      </c>
    </row>
    <row r="2" spans="1:99" ht="14.1" customHeight="1" thickBot="1">
      <c r="A2" s="16" t="s">
        <v>8</v>
      </c>
      <c r="B2" s="17">
        <v>42544</v>
      </c>
      <c r="C2" s="3" t="s">
        <v>9</v>
      </c>
      <c r="D2" s="18">
        <v>91.6</v>
      </c>
      <c r="E2" s="3" t="s">
        <v>10</v>
      </c>
      <c r="F2" s="3"/>
      <c r="G2" s="19">
        <f>D2/(D3/100*D3/100)</f>
        <v>35.206815055448807</v>
      </c>
      <c r="H2" s="13"/>
      <c r="I2" s="20" t="s">
        <v>11</v>
      </c>
      <c r="J2" s="21"/>
      <c r="K2" s="22"/>
      <c r="L2" s="23"/>
      <c r="M2" s="24" t="s">
        <v>12</v>
      </c>
      <c r="N2" s="25">
        <f>(O1*0.068)</f>
        <v>466184.70524340001</v>
      </c>
      <c r="O2" s="13"/>
      <c r="P2" s="13"/>
      <c r="Q2" s="11"/>
      <c r="R2" s="26"/>
      <c r="T2" s="13" t="s">
        <v>6</v>
      </c>
      <c r="U2" s="14">
        <v>41.1</v>
      </c>
      <c r="V2" s="15"/>
      <c r="W2" s="27">
        <v>121819.1</v>
      </c>
    </row>
    <row r="3" spans="1:99" ht="14.1" customHeight="1" thickTop="1" thickBot="1">
      <c r="A3" s="16" t="s">
        <v>13</v>
      </c>
      <c r="B3" s="28" t="s">
        <v>167</v>
      </c>
      <c r="C3" s="3" t="s">
        <v>15</v>
      </c>
      <c r="D3" s="29">
        <v>161.30000000000001</v>
      </c>
      <c r="E3" s="3" t="s">
        <v>16</v>
      </c>
      <c r="F3" s="3"/>
      <c r="G3" s="19">
        <f>SQRT(((D2*D3)/3600))</f>
        <v>2.0258797814502438</v>
      </c>
      <c r="H3" s="13"/>
      <c r="I3" s="20"/>
      <c r="J3" s="30"/>
      <c r="K3" s="30"/>
      <c r="L3" s="30"/>
      <c r="M3" s="31" t="s">
        <v>17</v>
      </c>
      <c r="N3" s="32">
        <f>($O$1/$N$1)*100</f>
        <v>92.433757508764174</v>
      </c>
      <c r="O3" s="33">
        <f>((AVERAGE(W2:W5))*2.85714)</f>
        <v>342782.87150249997</v>
      </c>
      <c r="P3" s="33"/>
      <c r="Q3" s="34" t="s">
        <v>18</v>
      </c>
      <c r="R3" s="13"/>
      <c r="T3" s="13">
        <v>-30</v>
      </c>
      <c r="U3" s="14">
        <v>374.68</v>
      </c>
      <c r="V3" s="15"/>
      <c r="W3" s="27">
        <v>119404.3</v>
      </c>
    </row>
    <row r="4" spans="1:99" ht="14.1" customHeight="1" thickTop="1">
      <c r="B4" s="35"/>
      <c r="C4" s="3" t="s">
        <v>19</v>
      </c>
      <c r="D4" s="19">
        <v>48.326999999999998</v>
      </c>
      <c r="E4" s="37" t="s">
        <v>20</v>
      </c>
      <c r="F4" s="37"/>
      <c r="G4" s="38">
        <v>0.45500000000000002</v>
      </c>
      <c r="H4" s="13"/>
      <c r="I4" s="20"/>
      <c r="J4" s="30"/>
      <c r="K4" s="30"/>
      <c r="L4" s="30"/>
      <c r="M4" s="33"/>
      <c r="N4" s="39"/>
      <c r="O4" s="30"/>
      <c r="P4" s="30"/>
      <c r="Q4" s="30"/>
      <c r="R4" s="30"/>
      <c r="U4" s="14">
        <v>385.26</v>
      </c>
      <c r="V4" s="15"/>
      <c r="W4" s="27">
        <v>121129.2</v>
      </c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</row>
    <row r="5" spans="1:99" ht="14.1" customHeight="1" thickBot="1">
      <c r="A5" s="16"/>
      <c r="B5" s="30"/>
      <c r="C5" s="3"/>
      <c r="D5" s="41" t="s">
        <v>21</v>
      </c>
      <c r="E5" s="42">
        <f>AVERAGE(U1:U2)</f>
        <v>41.465000000000003</v>
      </c>
      <c r="F5" s="42"/>
      <c r="G5" s="19"/>
      <c r="H5" s="30"/>
      <c r="I5" s="30"/>
      <c r="J5" s="43" t="s">
        <v>22</v>
      </c>
      <c r="K5" s="43"/>
      <c r="L5" s="44" t="s">
        <v>23</v>
      </c>
      <c r="M5" s="45"/>
      <c r="N5" s="43" t="s">
        <v>22</v>
      </c>
      <c r="O5" s="44" t="s">
        <v>23</v>
      </c>
      <c r="P5" s="44" t="s">
        <v>24</v>
      </c>
      <c r="Q5" s="46"/>
      <c r="R5" s="46"/>
      <c r="T5" s="13">
        <v>-20</v>
      </c>
      <c r="U5" s="14">
        <v>382.19</v>
      </c>
      <c r="V5" s="15"/>
      <c r="W5" s="27">
        <v>117543.9</v>
      </c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</row>
    <row r="6" spans="1:99" s="1" customFormat="1" ht="14.1" customHeight="1">
      <c r="A6" s="47" t="s">
        <v>25</v>
      </c>
      <c r="B6" s="48" t="s">
        <v>26</v>
      </c>
      <c r="C6" s="48"/>
      <c r="D6" s="49" t="s">
        <v>27</v>
      </c>
      <c r="E6" s="48" t="s">
        <v>28</v>
      </c>
      <c r="F6" s="48"/>
      <c r="G6" s="48" t="s">
        <v>29</v>
      </c>
      <c r="H6" s="50" t="s">
        <v>30</v>
      </c>
      <c r="I6" s="50"/>
      <c r="J6" s="51" t="s">
        <v>31</v>
      </c>
      <c r="K6" s="52"/>
      <c r="L6" s="52" t="s">
        <v>31</v>
      </c>
      <c r="M6" s="52" t="s">
        <v>32</v>
      </c>
      <c r="N6" s="52" t="s">
        <v>33</v>
      </c>
      <c r="O6" s="53" t="s">
        <v>34</v>
      </c>
      <c r="P6" s="54"/>
      <c r="Q6" s="55"/>
      <c r="R6" s="55"/>
      <c r="S6" s="13"/>
      <c r="T6" s="13"/>
      <c r="U6" s="14">
        <v>384.38</v>
      </c>
      <c r="V6" s="15"/>
      <c r="W6" s="56" t="s">
        <v>35</v>
      </c>
      <c r="X6" s="13" t="s">
        <v>36</v>
      </c>
      <c r="Y6" s="57" t="s">
        <v>37</v>
      </c>
      <c r="Z6" s="58" t="s">
        <v>38</v>
      </c>
      <c r="AA6" s="40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60"/>
      <c r="AY6" s="60"/>
      <c r="AZ6" s="60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60"/>
      <c r="BO6" s="60"/>
      <c r="BP6" s="60"/>
      <c r="BQ6" s="59"/>
      <c r="BR6" s="59"/>
      <c r="BS6" s="59"/>
      <c r="BT6" s="59"/>
      <c r="BU6" s="59"/>
      <c r="BV6" s="59"/>
      <c r="BW6" s="59"/>
      <c r="BX6" s="59"/>
      <c r="BY6" s="59"/>
      <c r="BZ6" s="61"/>
      <c r="CA6" s="61"/>
      <c r="CB6" s="61"/>
      <c r="CC6" s="61"/>
      <c r="CD6" s="40"/>
      <c r="CE6" s="61"/>
      <c r="CF6" s="61"/>
      <c r="CG6" s="33"/>
      <c r="CH6" s="40"/>
      <c r="CI6" s="30"/>
      <c r="CJ6" s="30"/>
      <c r="CK6" s="30"/>
      <c r="CL6" s="30"/>
      <c r="CM6" s="30"/>
      <c r="CN6" s="30"/>
      <c r="CO6" s="30"/>
      <c r="CP6" s="62"/>
      <c r="CQ6" s="62"/>
      <c r="CR6" s="13"/>
      <c r="CS6" s="13"/>
      <c r="CT6" s="13"/>
      <c r="CU6" s="13"/>
    </row>
    <row r="7" spans="1:99" ht="14.1" customHeight="1">
      <c r="A7" s="63">
        <v>-30</v>
      </c>
      <c r="B7" s="64">
        <v>93</v>
      </c>
      <c r="C7" s="65"/>
      <c r="D7" s="42">
        <f>AVERAGE(U3:U4)</f>
        <v>379.97</v>
      </c>
      <c r="E7" s="66">
        <f>D7-$E$5</f>
        <v>338.505</v>
      </c>
      <c r="F7" s="66"/>
      <c r="G7" s="66">
        <f>($E7*7.1425)</f>
        <v>2417.7719625</v>
      </c>
      <c r="H7" s="66">
        <f>($G7/($B7*0.01))</f>
        <v>2599.7547983870968</v>
      </c>
      <c r="I7" s="66"/>
      <c r="J7" s="67">
        <f>$N$2/$H7/$D$2</f>
        <v>1.9576279580240257</v>
      </c>
      <c r="K7" s="67"/>
      <c r="L7" s="67">
        <f>J7/($D$4/$D$2)</f>
        <v>3.7105287097274973</v>
      </c>
      <c r="N7" s="68">
        <f>J7-M7</f>
        <v>1.9576279580240257</v>
      </c>
      <c r="O7" s="67">
        <f>N7/($D$4/$D$2)</f>
        <v>3.7105287097274973</v>
      </c>
      <c r="P7" s="67"/>
      <c r="Q7" s="30"/>
      <c r="R7" s="30"/>
      <c r="T7" s="13">
        <v>-10</v>
      </c>
      <c r="U7" s="14">
        <v>402.96</v>
      </c>
      <c r="V7" s="15"/>
      <c r="W7" s="27">
        <v>372046.4</v>
      </c>
      <c r="X7" s="69">
        <v>0.42399999999999999</v>
      </c>
      <c r="Y7" s="70">
        <v>-30</v>
      </c>
      <c r="Z7" s="71">
        <v>20.571999999999999</v>
      </c>
      <c r="AA7" s="40"/>
      <c r="AB7" s="72"/>
      <c r="AC7" s="72"/>
      <c r="AD7" s="72"/>
      <c r="AE7" s="72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19"/>
      <c r="AY7" s="74"/>
      <c r="AZ7" s="74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</row>
    <row r="8" spans="1:99" ht="14.1" customHeight="1">
      <c r="A8" s="63">
        <v>-20</v>
      </c>
      <c r="B8" s="64">
        <v>87</v>
      </c>
      <c r="C8" s="65"/>
      <c r="D8" s="66">
        <f>AVERAGE(U5:U6)</f>
        <v>383.28499999999997</v>
      </c>
      <c r="E8" s="66">
        <f>D8-$E$5</f>
        <v>341.81999999999994</v>
      </c>
      <c r="F8" s="66"/>
      <c r="G8" s="66">
        <f>($E8*7.1425)</f>
        <v>2441.4493499999994</v>
      </c>
      <c r="H8" s="66">
        <f>($G8/($B8*0.01))</f>
        <v>2806.2636206896545</v>
      </c>
      <c r="I8" s="66"/>
      <c r="J8" s="67">
        <f>$N$2/H8/$D$2</f>
        <v>1.8135689889601174</v>
      </c>
      <c r="K8" s="67"/>
      <c r="L8" s="67">
        <f>J8/($D$4/$D$2)</f>
        <v>3.4374763463228994</v>
      </c>
      <c r="N8" s="68">
        <f>J8-M8</f>
        <v>1.8135689889601174</v>
      </c>
      <c r="O8" s="67">
        <f>N8/($D$4/$D$2)</f>
        <v>3.4374763463228994</v>
      </c>
      <c r="P8" s="67"/>
      <c r="Q8" s="30"/>
      <c r="R8" s="30"/>
      <c r="U8" s="14">
        <v>364.04</v>
      </c>
      <c r="V8" s="15"/>
      <c r="W8" s="27">
        <v>369636.9</v>
      </c>
      <c r="X8" s="69">
        <v>0.51900000000000002</v>
      </c>
      <c r="Y8" s="70">
        <v>-20</v>
      </c>
      <c r="Z8" s="71">
        <v>19.314</v>
      </c>
      <c r="AA8" s="40"/>
      <c r="AB8" s="72"/>
      <c r="AC8" s="72"/>
      <c r="AD8" s="72"/>
      <c r="AE8" s="72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19"/>
      <c r="AY8" s="74"/>
      <c r="AZ8" s="74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</row>
    <row r="9" spans="1:99" ht="14.1" customHeight="1" thickBot="1">
      <c r="A9" s="63">
        <v>-10</v>
      </c>
      <c r="B9" s="75">
        <v>86</v>
      </c>
      <c r="C9" s="65"/>
      <c r="D9" s="66">
        <f>AVERAGE(U7:U8)</f>
        <v>383.5</v>
      </c>
      <c r="E9" s="66">
        <f>D9-$E$5</f>
        <v>342.03499999999997</v>
      </c>
      <c r="F9" s="66"/>
      <c r="G9" s="66">
        <f>($E9*7.1425)</f>
        <v>2442.9849875</v>
      </c>
      <c r="H9" s="66">
        <f>($G9/($B9*0.01))</f>
        <v>2840.6802180232557</v>
      </c>
      <c r="I9" s="66"/>
      <c r="J9" s="67">
        <f>$N$2/H9/$D$2</f>
        <v>1.791596479265527</v>
      </c>
      <c r="K9" s="67"/>
      <c r="L9" s="67">
        <f>J9/($D$4/$D$2)</f>
        <v>3.3958291948749619</v>
      </c>
      <c r="N9" s="68">
        <f>J9-M9</f>
        <v>1.791596479265527</v>
      </c>
      <c r="O9" s="67">
        <f>N9/($D$4/$D$2)</f>
        <v>3.3958291948749619</v>
      </c>
      <c r="P9" s="67"/>
      <c r="Q9" s="30"/>
      <c r="R9" s="30"/>
      <c r="T9" s="13">
        <v>-5</v>
      </c>
      <c r="U9" s="14">
        <v>379.89</v>
      </c>
      <c r="V9" s="15"/>
      <c r="W9" s="76"/>
      <c r="X9" s="69">
        <v>0.58199999999999996</v>
      </c>
      <c r="Y9" s="70">
        <v>-10</v>
      </c>
      <c r="Z9" s="71">
        <v>21.332999999999998</v>
      </c>
      <c r="AA9" s="40"/>
      <c r="AB9" s="72"/>
      <c r="AC9" s="72"/>
      <c r="AD9" s="72"/>
      <c r="AE9" s="72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19"/>
      <c r="AY9" s="74"/>
      <c r="AZ9" s="74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</row>
    <row r="10" spans="1:99" s="80" customFormat="1" ht="14.1" customHeight="1">
      <c r="A10" s="77">
        <v>0</v>
      </c>
      <c r="B10" s="75">
        <v>88</v>
      </c>
      <c r="C10" s="65"/>
      <c r="D10" s="66">
        <f>AVERAGE(U11:U12)</f>
        <v>399.9</v>
      </c>
      <c r="E10" s="66">
        <f>D10-$E$5</f>
        <v>358.43499999999995</v>
      </c>
      <c r="F10" s="66"/>
      <c r="G10" s="78">
        <f>($E10*7.1425)</f>
        <v>2560.1219874999997</v>
      </c>
      <c r="H10" s="78">
        <f>($G10/($B10*0.01))</f>
        <v>2909.2295312499996</v>
      </c>
      <c r="I10" s="78"/>
      <c r="J10" s="79">
        <f>$N$2/H10/$D$2</f>
        <v>1.7493816224060426</v>
      </c>
      <c r="K10" s="79"/>
      <c r="L10" s="67">
        <f>J10/($D$4/$D$2)</f>
        <v>3.3158142779893951</v>
      </c>
      <c r="N10" s="81">
        <f>J10-M10</f>
        <v>1.7493816224060426</v>
      </c>
      <c r="O10" s="67">
        <f>N10/($D$4/$D$2)</f>
        <v>3.3158142779893951</v>
      </c>
      <c r="P10" s="67"/>
      <c r="Q10" s="30"/>
      <c r="R10" s="30"/>
      <c r="S10" s="13"/>
      <c r="T10" s="13" t="s">
        <v>39</v>
      </c>
      <c r="U10" s="14">
        <v>363.53</v>
      </c>
      <c r="V10" s="15"/>
      <c r="W10" s="15"/>
      <c r="X10" s="69">
        <v>0.503</v>
      </c>
      <c r="Y10" s="70">
        <v>0</v>
      </c>
      <c r="Z10" s="82">
        <v>21.652999999999999</v>
      </c>
      <c r="AA10" s="30"/>
      <c r="AB10" s="83" t="s">
        <v>40</v>
      </c>
      <c r="AC10" s="83" t="s">
        <v>41</v>
      </c>
      <c r="AD10" s="83" t="s">
        <v>42</v>
      </c>
      <c r="AE10" s="83" t="s">
        <v>43</v>
      </c>
      <c r="AF10" s="83" t="s">
        <v>44</v>
      </c>
      <c r="AG10" s="83" t="s">
        <v>45</v>
      </c>
      <c r="AH10" s="83" t="s">
        <v>46</v>
      </c>
      <c r="AI10" s="83" t="s">
        <v>47</v>
      </c>
      <c r="AJ10" s="83" t="s">
        <v>48</v>
      </c>
      <c r="AK10" s="83" t="s">
        <v>49</v>
      </c>
      <c r="AL10" s="83" t="s">
        <v>50</v>
      </c>
      <c r="AM10" s="83" t="s">
        <v>51</v>
      </c>
      <c r="AN10" s="83" t="s">
        <v>52</v>
      </c>
      <c r="AO10" s="83" t="s">
        <v>53</v>
      </c>
      <c r="AP10" s="83" t="s">
        <v>54</v>
      </c>
      <c r="AQ10" s="83" t="s">
        <v>55</v>
      </c>
      <c r="AR10" s="83" t="s">
        <v>56</v>
      </c>
      <c r="AS10" s="83" t="s">
        <v>57</v>
      </c>
      <c r="AT10" s="83" t="s">
        <v>58</v>
      </c>
      <c r="AU10" s="83" t="s">
        <v>59</v>
      </c>
      <c r="AV10" s="84" t="s">
        <v>60</v>
      </c>
      <c r="AW10" s="84" t="s">
        <v>61</v>
      </c>
      <c r="AX10" s="85" t="s">
        <v>62</v>
      </c>
      <c r="AY10" s="85" t="s">
        <v>63</v>
      </c>
      <c r="AZ10" s="85" t="s">
        <v>64</v>
      </c>
      <c r="BA10" s="86" t="s">
        <v>65</v>
      </c>
      <c r="BB10" s="86" t="s">
        <v>66</v>
      </c>
      <c r="BC10" s="86" t="s">
        <v>67</v>
      </c>
      <c r="BD10" s="86" t="s">
        <v>68</v>
      </c>
      <c r="BE10" s="86" t="s">
        <v>69</v>
      </c>
      <c r="BF10" s="86" t="s">
        <v>70</v>
      </c>
      <c r="BG10" s="86" t="s">
        <v>71</v>
      </c>
      <c r="BH10" s="86" t="s">
        <v>72</v>
      </c>
      <c r="BI10" s="86" t="s">
        <v>73</v>
      </c>
      <c r="BJ10" s="86" t="s">
        <v>74</v>
      </c>
      <c r="BK10" s="86" t="s">
        <v>75</v>
      </c>
      <c r="BL10" s="86" t="s">
        <v>76</v>
      </c>
      <c r="BM10" s="86" t="s">
        <v>77</v>
      </c>
      <c r="BN10" s="87" t="s">
        <v>78</v>
      </c>
      <c r="BO10" s="87" t="s">
        <v>79</v>
      </c>
      <c r="BP10" s="87" t="s">
        <v>80</v>
      </c>
      <c r="BQ10" s="88" t="s">
        <v>81</v>
      </c>
      <c r="BR10" s="88" t="s">
        <v>82</v>
      </c>
      <c r="BS10" s="88" t="s">
        <v>83</v>
      </c>
      <c r="BT10" s="88" t="s">
        <v>84</v>
      </c>
      <c r="BU10" s="88" t="s">
        <v>85</v>
      </c>
      <c r="BV10" s="88" t="s">
        <v>86</v>
      </c>
      <c r="BW10" s="88" t="s">
        <v>87</v>
      </c>
      <c r="BX10" s="88" t="s">
        <v>88</v>
      </c>
      <c r="BY10" s="88" t="s">
        <v>89</v>
      </c>
      <c r="BZ10" s="88" t="s">
        <v>90</v>
      </c>
      <c r="CA10" s="88" t="s">
        <v>91</v>
      </c>
      <c r="CB10" s="88" t="s">
        <v>92</v>
      </c>
      <c r="CC10" s="88" t="s">
        <v>93</v>
      </c>
      <c r="CD10" s="40"/>
      <c r="CE10" s="89" t="s">
        <v>94</v>
      </c>
      <c r="CF10" s="89" t="s">
        <v>95</v>
      </c>
      <c r="CG10" s="90" t="s">
        <v>96</v>
      </c>
      <c r="CH10" s="40"/>
      <c r="CI10" s="91" t="s">
        <v>97</v>
      </c>
      <c r="CJ10" s="91" t="s">
        <v>98</v>
      </c>
      <c r="CK10" s="91" t="s">
        <v>99</v>
      </c>
      <c r="CL10" s="91" t="s">
        <v>100</v>
      </c>
      <c r="CM10" s="91" t="s">
        <v>101</v>
      </c>
      <c r="CN10" s="91" t="s">
        <v>102</v>
      </c>
      <c r="CO10" s="91" t="s">
        <v>103</v>
      </c>
      <c r="CP10" s="92" t="s">
        <v>104</v>
      </c>
      <c r="CQ10" s="92" t="s">
        <v>105</v>
      </c>
      <c r="CR10" s="13"/>
      <c r="CS10" s="13"/>
      <c r="CT10" s="13"/>
      <c r="CU10" s="13"/>
    </row>
    <row r="11" spans="1:99" s="49" customFormat="1" ht="14.1" customHeight="1">
      <c r="A11" s="93" t="s">
        <v>106</v>
      </c>
      <c r="B11" s="49">
        <f>AVERAGE(B7:B10)</f>
        <v>88.5</v>
      </c>
      <c r="E11" s="50">
        <f>AVERAGE(E7:E10)</f>
        <v>345.19874999999996</v>
      </c>
      <c r="G11" s="50">
        <f>AVERAGE(G7:G10)</f>
        <v>2465.5820718750001</v>
      </c>
      <c r="H11" s="50">
        <f>AVERAGE(H7:H10)</f>
        <v>2788.9820420875017</v>
      </c>
      <c r="J11" s="94">
        <f>AVERAGE(J7:J10)</f>
        <v>1.8280437621639283</v>
      </c>
      <c r="K11" s="50" t="s">
        <v>39</v>
      </c>
      <c r="L11" s="50">
        <f>AVERAGE(L7:L10)</f>
        <v>3.4649121322286884</v>
      </c>
      <c r="M11" s="50"/>
      <c r="N11" s="94">
        <f>AVERAGE(N7:N10)</f>
        <v>1.8280437621639283</v>
      </c>
      <c r="O11" s="50">
        <f>AVERAGE(O7:O10)</f>
        <v>3.4649121322286884</v>
      </c>
      <c r="P11" s="95"/>
      <c r="Q11" s="95"/>
      <c r="R11" s="95"/>
      <c r="S11" s="6"/>
      <c r="T11" s="13">
        <v>0</v>
      </c>
      <c r="U11" s="14">
        <v>389.18</v>
      </c>
      <c r="V11" s="15"/>
      <c r="W11" s="15"/>
      <c r="X11" s="96">
        <f>AVERAGE(X7:X10)</f>
        <v>0.50700000000000001</v>
      </c>
      <c r="Y11" s="70" t="s">
        <v>107</v>
      </c>
      <c r="Z11" s="96">
        <f>AVERAGE(Z7:Z10)</f>
        <v>20.717999999999996</v>
      </c>
      <c r="AA11" s="30"/>
      <c r="AB11" s="72">
        <f>J11</f>
        <v>1.8280437621639283</v>
      </c>
      <c r="AC11" s="73">
        <f>AB11/($D$4/$D$2)</f>
        <v>3.4649121322286889</v>
      </c>
      <c r="AD11" s="73">
        <f>AB11/Z11</f>
        <v>8.823456714759767E-2</v>
      </c>
      <c r="AE11" s="73">
        <f>AC11/Z11</f>
        <v>0.16724163202185005</v>
      </c>
      <c r="AF11" s="72">
        <f>N20</f>
        <v>0.31266193996718528</v>
      </c>
      <c r="AG11" s="72">
        <f>AF11/($D$4/$D$2)</f>
        <v>0.59262593790208729</v>
      </c>
      <c r="AH11" s="72">
        <f>AF11/Z18</f>
        <v>4.6951877097426908E-3</v>
      </c>
      <c r="AI11" s="72">
        <f>AG11/Z18</f>
        <v>8.8993563476406669E-3</v>
      </c>
      <c r="AJ11" s="73">
        <f>((AB11-AF11)/AB11)*100</f>
        <v>82.896364603598172</v>
      </c>
      <c r="AK11" s="73">
        <f>((AC11-AG11)/AC11)*100</f>
        <v>82.896364603598187</v>
      </c>
      <c r="AL11" s="73">
        <f>((AD11-AH11)/AD11)*100</f>
        <v>94.678743420491159</v>
      </c>
      <c r="AM11" s="73">
        <f>((AE11-AI11)/AE11)*100</f>
        <v>94.678743420491159</v>
      </c>
      <c r="AN11" s="72">
        <f>N29</f>
        <v>-2.4440300243716098</v>
      </c>
      <c r="AO11" s="72">
        <f>AN11/($D$4/$D$2)</f>
        <v>-4.632465293364775</v>
      </c>
      <c r="AP11" s="72">
        <f>AN11/Z25</f>
        <v>-1.0371528824227703E-2</v>
      </c>
      <c r="AQ11" s="72">
        <f>AO11/Z25</f>
        <v>-1.9658411246285881E-2</v>
      </c>
      <c r="AR11" s="73">
        <f>((AB11-AN11)/AB11)*100</f>
        <v>233.6964724235329</v>
      </c>
      <c r="AS11" s="73">
        <f>((AC11-AO11)/AC11)*100</f>
        <v>233.6964724235329</v>
      </c>
      <c r="AT11" s="73">
        <f>((AD11-AP11)/AD11)*100</f>
        <v>111.75449617934696</v>
      </c>
      <c r="AU11" s="73">
        <f>((AE11-AQ11)/AE11)*100</f>
        <v>111.75449617934696</v>
      </c>
      <c r="AV11" s="72">
        <f>J11</f>
        <v>1.8280437621639283</v>
      </c>
      <c r="AW11" s="72">
        <f>AV11/($D$4/$D$2)</f>
        <v>3.4649121322286889</v>
      </c>
      <c r="AX11" s="95">
        <f>M20</f>
        <v>2.2023289665211068</v>
      </c>
      <c r="AY11" s="95">
        <f>AX11/($D$4/$D$2)</f>
        <v>4.1743400859422968</v>
      </c>
      <c r="AZ11" s="95">
        <f>AX11/Z11</f>
        <v>0.106300268680428</v>
      </c>
      <c r="BA11" s="73">
        <f>AY11/Z11</f>
        <v>0.20148373809934828</v>
      </c>
      <c r="BB11" s="72">
        <f>P21</f>
        <v>2.5489956331877734</v>
      </c>
      <c r="BC11" s="73">
        <f>BB11/($D$4/$D$2)</f>
        <v>4.831419289424133</v>
      </c>
      <c r="BD11" s="73">
        <f>BB11/Z18</f>
        <v>3.8277805640133555E-2</v>
      </c>
      <c r="BE11" s="73">
        <f>BC11/Z18</f>
        <v>7.255254819534078E-2</v>
      </c>
      <c r="BF11" s="72">
        <f>K20</f>
        <v>2.4421197274489908</v>
      </c>
      <c r="BG11" s="73">
        <f>BF11/($D$4/$D$2)</f>
        <v>4.6288444768830583</v>
      </c>
      <c r="BH11" s="73">
        <f>BF11/Z18</f>
        <v>3.6672869525603537E-2</v>
      </c>
      <c r="BI11" s="73">
        <f>BG11/Z18</f>
        <v>6.9510518934452467E-2</v>
      </c>
      <c r="BJ11" s="72">
        <f>J21</f>
        <v>3.108267635186913</v>
      </c>
      <c r="BK11" s="73">
        <f>BJ11/($D$4/$D$2)</f>
        <v>5.8914750632797661</v>
      </c>
      <c r="BL11" s="73">
        <f>BJ11/Z18</f>
        <v>4.6676291974815487E-2</v>
      </c>
      <c r="BM11" s="73">
        <f>BK11/Z18</f>
        <v>8.8471213708550073E-2</v>
      </c>
      <c r="BN11" s="95">
        <f>M29</f>
        <v>7.6045123726346429</v>
      </c>
      <c r="BO11" s="95">
        <f>BN11/($D$4/$D$2)</f>
        <v>14.413750767341927</v>
      </c>
      <c r="BP11" s="95">
        <f>BN11/Z25</f>
        <v>3.2270642537321099E-2</v>
      </c>
      <c r="BQ11" s="73">
        <f>BO11/Z25</f>
        <v>6.1166446425778821E-2</v>
      </c>
      <c r="BR11" s="72">
        <f>P30</f>
        <v>6.5211790393013098</v>
      </c>
      <c r="BS11" s="73">
        <f>BR11/($D$4/$D$2)</f>
        <v>12.360378256461191</v>
      </c>
      <c r="BT11" s="73">
        <f>BR11/Z25</f>
        <v>2.7673390138262619E-2</v>
      </c>
      <c r="BU11" s="73">
        <f>BS11/Z25</f>
        <v>5.2452718701033706E-2</v>
      </c>
      <c r="BV11" s="72">
        <f>K29</f>
        <v>5.4341541095439645</v>
      </c>
      <c r="BW11" s="73">
        <f>BV11/($D$4/$D$2)</f>
        <v>10.300008617009688</v>
      </c>
      <c r="BX11" s="73">
        <f>BV11/Z25</f>
        <v>2.3060472015650313E-2</v>
      </c>
      <c r="BY11" s="73">
        <f>BW11/Z25</f>
        <v>4.3709297838342306E-2</v>
      </c>
      <c r="BZ11" s="72">
        <f>J30</f>
        <v>3.6937593636907966</v>
      </c>
      <c r="CA11" s="73">
        <f>BZ11/($D$4/$D$2)</f>
        <v>7.001228251579386</v>
      </c>
      <c r="CB11" s="73">
        <f>BZ11/Z25</f>
        <v>1.5674902242712847E-2</v>
      </c>
      <c r="CC11" s="73">
        <f>CA11/Z25</f>
        <v>2.9710535423934793E-2</v>
      </c>
      <c r="CD11" s="13"/>
      <c r="CE11" s="97">
        <f>B11</f>
        <v>88.5</v>
      </c>
      <c r="CF11" s="13">
        <f>Z11</f>
        <v>20.717999999999996</v>
      </c>
      <c r="CG11" s="40">
        <f>((CE11/18)*CF11)/22.5</f>
        <v>4.5272666666666659</v>
      </c>
      <c r="CH11" s="40"/>
      <c r="CI11" s="40">
        <f>X28</f>
        <v>0</v>
      </c>
      <c r="CJ11" s="40">
        <f>X29</f>
        <v>0</v>
      </c>
      <c r="CK11" s="40">
        <f>X30</f>
        <v>0</v>
      </c>
      <c r="CL11" s="40">
        <f>X31</f>
        <v>0</v>
      </c>
      <c r="CM11" s="40">
        <f>X32</f>
        <v>0</v>
      </c>
      <c r="CN11" s="40">
        <f>X33</f>
        <v>0</v>
      </c>
      <c r="CO11" s="13">
        <f>X11</f>
        <v>0.50700000000000001</v>
      </c>
      <c r="CP11" s="13">
        <f>X18</f>
        <v>6.8200000000000011E-2</v>
      </c>
      <c r="CQ11" s="13">
        <f>X25</f>
        <v>3.9800000000000002E-2</v>
      </c>
      <c r="CR11" s="13"/>
      <c r="CS11" s="13"/>
      <c r="CT11" s="13"/>
      <c r="CU11" s="13"/>
    </row>
    <row r="12" spans="1:99" ht="14.1" customHeight="1" thickBot="1">
      <c r="B12" s="98"/>
      <c r="C12" s="65"/>
      <c r="D12" s="99"/>
      <c r="E12" s="13"/>
      <c r="F12" s="13"/>
      <c r="G12" s="13"/>
      <c r="H12" s="13"/>
      <c r="I12" s="13"/>
      <c r="J12" s="6" t="s">
        <v>108</v>
      </c>
      <c r="K12" s="13"/>
      <c r="L12" s="13"/>
      <c r="M12" s="12" t="s">
        <v>39</v>
      </c>
      <c r="N12" s="13"/>
      <c r="O12" s="13"/>
      <c r="P12" s="13"/>
      <c r="Q12" s="30"/>
      <c r="R12" s="30"/>
      <c r="U12" s="14">
        <v>410.62</v>
      </c>
      <c r="V12" s="15"/>
      <c r="W12" s="15"/>
      <c r="Y12" s="70"/>
      <c r="Z12" s="96"/>
      <c r="AA12" s="30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30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40"/>
      <c r="CG12" s="40"/>
      <c r="CH12" s="40"/>
      <c r="CI12" s="40"/>
      <c r="CJ12" s="40"/>
      <c r="CK12" s="40"/>
      <c r="CL12" s="40"/>
      <c r="CM12" s="40"/>
      <c r="CN12" s="40"/>
    </row>
    <row r="13" spans="1:99" ht="14.1" customHeight="1" thickBot="1">
      <c r="B13" s="98"/>
      <c r="C13" s="65"/>
      <c r="D13" s="99"/>
      <c r="E13" s="13"/>
      <c r="F13" s="13"/>
      <c r="G13" s="13"/>
      <c r="H13" s="13"/>
      <c r="I13" s="13"/>
      <c r="J13" s="6"/>
      <c r="K13" s="13"/>
      <c r="L13" s="13"/>
      <c r="M13" s="100" t="s">
        <v>32</v>
      </c>
      <c r="N13" s="101"/>
      <c r="O13" s="101"/>
      <c r="P13" s="101"/>
      <c r="Q13" s="30"/>
      <c r="R13" s="102" t="s">
        <v>25</v>
      </c>
      <c r="S13" s="103" t="s">
        <v>109</v>
      </c>
      <c r="T13" s="13">
        <v>30</v>
      </c>
      <c r="U13" s="14">
        <v>405.44</v>
      </c>
      <c r="V13" s="15"/>
      <c r="W13" s="15"/>
      <c r="X13" s="69">
        <v>8.5999999999999993E-2</v>
      </c>
      <c r="Y13" s="30">
        <v>90</v>
      </c>
      <c r="Z13" s="71">
        <v>74.527000000000001</v>
      </c>
      <c r="AA13" s="40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19"/>
      <c r="AY13" s="74"/>
      <c r="AZ13" s="74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40"/>
      <c r="CG13" s="40"/>
      <c r="CH13" s="40"/>
      <c r="CI13" s="40"/>
      <c r="CJ13" s="40"/>
      <c r="CK13" s="40"/>
      <c r="CL13" s="40"/>
      <c r="CM13" s="40"/>
      <c r="CN13" s="40"/>
    </row>
    <row r="14" spans="1:99" ht="14.1" customHeight="1">
      <c r="A14" s="12">
        <v>90</v>
      </c>
      <c r="B14" s="75">
        <v>107</v>
      </c>
      <c r="C14" s="65"/>
      <c r="D14" s="104">
        <f>AVERAGE(U17:U18)</f>
        <v>366.21000000000004</v>
      </c>
      <c r="E14" s="78">
        <f>D14-$E$5</f>
        <v>324.745</v>
      </c>
      <c r="F14" s="78"/>
      <c r="G14" s="78">
        <f t="shared" ref="G14:G27" si="0">($E14*7.1425)</f>
        <v>2319.4911625</v>
      </c>
      <c r="H14" s="78">
        <f t="shared" ref="H14:H27" si="1">($G14/($B14*0.01))</f>
        <v>2167.7487499999997</v>
      </c>
      <c r="I14" s="33">
        <f>$C$15*A14+$C$16</f>
        <v>2188.8170842857144</v>
      </c>
      <c r="J14" s="105" t="s">
        <v>110</v>
      </c>
      <c r="K14" s="106" t="s">
        <v>111</v>
      </c>
      <c r="L14" s="13"/>
      <c r="M14" s="107">
        <f>(((S14/60)*$J$1)/$D$2)</f>
        <v>2.4938136826783119</v>
      </c>
      <c r="N14" s="101"/>
      <c r="O14" s="101"/>
      <c r="P14" s="101"/>
      <c r="Q14" s="30"/>
      <c r="R14" s="108">
        <v>90</v>
      </c>
      <c r="S14" s="109">
        <v>77</v>
      </c>
      <c r="U14" s="14">
        <v>424.8</v>
      </c>
      <c r="V14" s="15"/>
      <c r="W14" s="110"/>
      <c r="X14" s="69">
        <v>6.8000000000000005E-2</v>
      </c>
      <c r="Y14" s="30">
        <v>100</v>
      </c>
      <c r="Z14" s="71">
        <v>62.776000000000003</v>
      </c>
      <c r="AA14" s="40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19"/>
      <c r="AY14" s="74"/>
      <c r="AZ14" s="74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40"/>
      <c r="CG14" s="40"/>
      <c r="CH14" s="40"/>
      <c r="CI14" s="40"/>
      <c r="CJ14" s="40"/>
      <c r="CK14" s="40"/>
      <c r="CL14" s="40"/>
      <c r="CM14" s="40"/>
      <c r="CN14" s="40"/>
    </row>
    <row r="15" spans="1:99" s="115" customFormat="1" ht="14.1" customHeight="1">
      <c r="A15" s="12">
        <v>100</v>
      </c>
      <c r="B15" s="75">
        <v>101</v>
      </c>
      <c r="C15" s="65">
        <f>SLOPE(G15:G18,A15:A18)</f>
        <v>-7.5028901428571597</v>
      </c>
      <c r="D15" s="104">
        <f>AVERAGE(U19:U20)</f>
        <v>338.45</v>
      </c>
      <c r="E15" s="66">
        <f>D15-$E$5</f>
        <v>296.98500000000001</v>
      </c>
      <c r="F15" s="111">
        <v>180</v>
      </c>
      <c r="G15" s="112">
        <f t="shared" si="0"/>
        <v>2121.2153625000001</v>
      </c>
      <c r="H15" s="78">
        <f t="shared" si="1"/>
        <v>2100.21323019802</v>
      </c>
      <c r="I15" s="33">
        <f>$C$15*A15+$C$16</f>
        <v>2113.7881828571431</v>
      </c>
      <c r="J15" s="113">
        <f>((($N$2-(130*$D$2*(((B15+B14)*0.01)/2))*((I15-I14)/(A15-A14))))/((I15+I14)/2))/$D$2</f>
        <v>2.8372314194172716</v>
      </c>
      <c r="K15" s="114">
        <f>$N$2/H15/$D$2</f>
        <v>2.4232552219708863</v>
      </c>
      <c r="L15" s="114">
        <f>J15/($D$4/$D$2)</f>
        <v>5.377747387974054</v>
      </c>
      <c r="M15" s="107">
        <f>(((S15/60)*$J$1)/$D$2)</f>
        <v>2.0080058224163033</v>
      </c>
      <c r="N15" s="19">
        <f>K15-M15</f>
        <v>0.41524939955458295</v>
      </c>
      <c r="O15" s="74">
        <f>N15/($D$4/$D$2)</f>
        <v>0.78707234049702657</v>
      </c>
      <c r="P15" s="74"/>
      <c r="Q15" s="30"/>
      <c r="R15" s="108">
        <v>100</v>
      </c>
      <c r="S15" s="109">
        <v>62</v>
      </c>
      <c r="T15" s="13">
        <v>60</v>
      </c>
      <c r="U15" s="14">
        <v>350.61</v>
      </c>
      <c r="V15" s="15"/>
      <c r="W15" s="110"/>
      <c r="X15" s="69">
        <v>7.0000000000000007E-2</v>
      </c>
      <c r="Y15" s="30">
        <v>110</v>
      </c>
      <c r="Z15" s="71">
        <v>62.591000000000001</v>
      </c>
      <c r="AA15" s="40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19"/>
      <c r="AY15" s="74"/>
      <c r="AZ15" s="74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40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40"/>
      <c r="CH15" s="40"/>
      <c r="CI15" s="40"/>
      <c r="CJ15" s="40"/>
      <c r="CK15" s="40"/>
      <c r="CL15" s="40"/>
      <c r="CM15" s="40"/>
      <c r="CN15" s="40"/>
      <c r="CO15" s="13"/>
      <c r="CP15" s="13"/>
      <c r="CQ15" s="13"/>
      <c r="CR15" s="13"/>
      <c r="CS15" s="13"/>
      <c r="CT15" s="13"/>
      <c r="CU15" s="13"/>
    </row>
    <row r="16" spans="1:99" ht="14.1" customHeight="1">
      <c r="A16" s="12">
        <v>110</v>
      </c>
      <c r="B16" s="75">
        <v>96</v>
      </c>
      <c r="C16" s="65">
        <f>INTERCEPT(G15:G18,A15:A18)</f>
        <v>2864.0771971428589</v>
      </c>
      <c r="D16" s="104">
        <f>AVERAGE(U21:U22)</f>
        <v>334.78999999999996</v>
      </c>
      <c r="E16" s="66">
        <f>D16-$E$5</f>
        <v>293.32499999999993</v>
      </c>
      <c r="F16" s="116">
        <v>210</v>
      </c>
      <c r="G16" s="66">
        <f t="shared" si="0"/>
        <v>2095.0738124999993</v>
      </c>
      <c r="H16" s="78">
        <f t="shared" si="1"/>
        <v>2182.3685546874995</v>
      </c>
      <c r="I16" s="33">
        <f>$C$15*A16+$C$16</f>
        <v>2038.7592814285713</v>
      </c>
      <c r="J16" s="113">
        <f>((($N$2-(130*$D$2*(((B16+B15)*0.01)/2))*((I16-I15)/(A16-A15))))/((I16+I15)/2))/$D$2</f>
        <v>2.913921062748523</v>
      </c>
      <c r="K16" s="67">
        <f>$N$2/H16/$D$2</f>
        <v>2.3320317122414074</v>
      </c>
      <c r="L16" s="67">
        <f>J16/($D$4/$D$2)</f>
        <v>5.52310653149926</v>
      </c>
      <c r="M16" s="107">
        <f>(((S16/60)*$J$1)/$D$2)</f>
        <v>2.0080058224163033</v>
      </c>
      <c r="N16" s="19">
        <f>K16-M16</f>
        <v>0.32402588982510405</v>
      </c>
      <c r="O16" s="67">
        <f>N16/($D$4/$D$2)</f>
        <v>0.61416540459742031</v>
      </c>
      <c r="P16" s="67"/>
      <c r="Q16" s="30"/>
      <c r="R16" s="108">
        <v>110</v>
      </c>
      <c r="S16" s="109">
        <v>62</v>
      </c>
      <c r="U16" s="14">
        <v>340.52</v>
      </c>
      <c r="V16" s="15"/>
      <c r="W16" s="110"/>
      <c r="X16" s="69">
        <v>5.1999999999999998E-2</v>
      </c>
      <c r="Y16" s="30">
        <v>115</v>
      </c>
      <c r="Z16" s="71">
        <v>71.611000000000004</v>
      </c>
      <c r="AA16" s="40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19"/>
      <c r="AY16" s="74"/>
      <c r="AZ16" s="74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40"/>
    </row>
    <row r="17" spans="1:67" ht="14.1" customHeight="1">
      <c r="A17" s="12">
        <v>115</v>
      </c>
      <c r="B17" s="75">
        <v>93</v>
      </c>
      <c r="C17" s="65"/>
      <c r="D17" s="104">
        <f>AVERAGE(U23:U24)</f>
        <v>301.72500000000002</v>
      </c>
      <c r="E17" s="66">
        <f>D17-$E$5</f>
        <v>260.26</v>
      </c>
      <c r="F17" s="116">
        <v>220</v>
      </c>
      <c r="G17" s="66">
        <f t="shared" si="0"/>
        <v>1858.90705</v>
      </c>
      <c r="H17" s="78">
        <f t="shared" si="1"/>
        <v>1998.8247849462364</v>
      </c>
      <c r="I17" s="33">
        <f>$C$15*A17+$C$16</f>
        <v>2001.2448307142856</v>
      </c>
      <c r="J17" s="113">
        <f>((($N$2-(130*$D$2*(((B17+B16)*0.01)/2))*((I17-I16)/(A17-A16))))/((I17+I16)/2))/$D$2</f>
        <v>2.9757805014665482</v>
      </c>
      <c r="K17" s="67">
        <f>$N$2/H17/$D$2</f>
        <v>2.5461724887839963</v>
      </c>
      <c r="L17" s="67">
        <f>J17/($D$4/$D$2)</f>
        <v>5.6403561970396634</v>
      </c>
      <c r="M17" s="107">
        <f>(((S17/60)*$J$1)/$D$2)</f>
        <v>2.0080058224163033</v>
      </c>
      <c r="N17" s="19">
        <f>K17-M17</f>
        <v>0.53816666636769295</v>
      </c>
      <c r="O17" s="67">
        <f>N17/($D$4/$D$2)</f>
        <v>1.0200522821462263</v>
      </c>
      <c r="P17" s="67"/>
      <c r="Q17" s="30"/>
      <c r="R17" s="108">
        <v>115</v>
      </c>
      <c r="S17" s="117">
        <v>62</v>
      </c>
      <c r="T17" s="40">
        <v>90</v>
      </c>
      <c r="U17" s="14">
        <v>350.22</v>
      </c>
      <c r="V17" s="15"/>
      <c r="W17" s="110"/>
      <c r="X17" s="69">
        <v>6.5000000000000002E-2</v>
      </c>
      <c r="Y17" s="30">
        <v>120</v>
      </c>
      <c r="Z17" s="71">
        <v>61.454999999999998</v>
      </c>
      <c r="AA17" s="40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19"/>
      <c r="AY17" s="74"/>
      <c r="AZ17" s="74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40"/>
    </row>
    <row r="18" spans="1:67" ht="14.1" customHeight="1">
      <c r="A18" s="12">
        <v>120</v>
      </c>
      <c r="B18" s="118">
        <v>99</v>
      </c>
      <c r="C18" s="65"/>
      <c r="D18" s="104">
        <f>AVERAGE(U25:U26)</f>
        <v>327.40499999999997</v>
      </c>
      <c r="E18" s="66">
        <f>D18-$E$5</f>
        <v>285.93999999999994</v>
      </c>
      <c r="F18" s="116">
        <v>225</v>
      </c>
      <c r="G18" s="66">
        <f t="shared" si="0"/>
        <v>2042.3264499999996</v>
      </c>
      <c r="H18" s="78">
        <f t="shared" si="1"/>
        <v>2062.9560101010097</v>
      </c>
      <c r="I18" s="33">
        <f>$C$15*A18+$C$16</f>
        <v>1963.7303799999997</v>
      </c>
      <c r="J18" s="113">
        <f>((($N$2-(130*$D$2*(((B18+B17)*0.01)/2))*((I18-I17)/(A18-A17))))/((I18+I17)/2))/$D$2</f>
        <v>3.039470890448642</v>
      </c>
      <c r="K18" s="67">
        <f>$N$2/H18/$D$2</f>
        <v>2.4670194867996731</v>
      </c>
      <c r="L18" s="67">
        <f>J18/($D$4/$D$2)</f>
        <v>5.7610762837564016</v>
      </c>
      <c r="M18" s="107">
        <f>(((S18/60)*$J$1)/$D$2)</f>
        <v>2.4938136826783119</v>
      </c>
      <c r="N18" s="19">
        <f>K18-M18</f>
        <v>-2.6794195878638849E-2</v>
      </c>
      <c r="O18" s="67">
        <f>N18/($D$4/$D$2)</f>
        <v>-5.0786275632323935E-2</v>
      </c>
      <c r="P18" s="67"/>
      <c r="Q18" s="30"/>
      <c r="R18" s="108">
        <v>120</v>
      </c>
      <c r="S18" s="117">
        <v>77</v>
      </c>
      <c r="T18" s="30"/>
      <c r="U18" s="14">
        <v>382.2</v>
      </c>
      <c r="V18" s="15"/>
      <c r="W18" s="110"/>
      <c r="X18" s="96">
        <f>AVERAGE(X13:X17)</f>
        <v>6.8200000000000011E-2</v>
      </c>
      <c r="Y18" s="30" t="s">
        <v>107</v>
      </c>
      <c r="Z18" s="96">
        <f>AVERAGE(Z13:Z17)</f>
        <v>66.591999999999999</v>
      </c>
      <c r="AA18" s="30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5"/>
      <c r="AY18" s="95"/>
      <c r="AZ18" s="95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2"/>
      <c r="BO18" s="40"/>
    </row>
    <row r="19" spans="1:67" ht="14.1" customHeight="1" thickBot="1">
      <c r="A19" s="63"/>
      <c r="B19" s="98"/>
      <c r="C19" s="65"/>
      <c r="D19" s="99"/>
      <c r="E19" s="66"/>
      <c r="F19" s="63"/>
      <c r="G19" s="66"/>
      <c r="H19" s="66"/>
      <c r="I19" s="33"/>
      <c r="J19" s="113"/>
      <c r="K19" s="67"/>
      <c r="L19" s="67"/>
      <c r="M19" s="107"/>
      <c r="O19" s="67"/>
      <c r="P19" s="67"/>
      <c r="Q19" s="30"/>
      <c r="R19" s="108"/>
      <c r="S19" s="117"/>
      <c r="T19" s="41">
        <v>100</v>
      </c>
      <c r="U19" s="14">
        <v>338.82</v>
      </c>
      <c r="V19" s="15"/>
      <c r="W19" s="110"/>
      <c r="Y19" s="30"/>
      <c r="Z19" s="96"/>
      <c r="AA19" s="30"/>
      <c r="AB19" s="96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30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40"/>
    </row>
    <row r="20" spans="1:67" ht="14.1" customHeight="1" thickBot="1">
      <c r="A20" s="119" t="s">
        <v>112</v>
      </c>
      <c r="B20" s="120">
        <f>AVERAGE(B14:B19)</f>
        <v>99.2</v>
      </c>
      <c r="C20" s="121"/>
      <c r="D20" s="122">
        <f>AVERAGE(D14:D18)</f>
        <v>333.71600000000001</v>
      </c>
      <c r="E20" s="122">
        <f>AVERAGE(E14:E18)</f>
        <v>292.25100000000003</v>
      </c>
      <c r="F20" s="122"/>
      <c r="G20" s="122">
        <f>AVERAGE(G14:G18)</f>
        <v>2087.4027674999998</v>
      </c>
      <c r="H20" s="122">
        <f>AVERAGE(H14:H18)</f>
        <v>2102.4222659865532</v>
      </c>
      <c r="I20" s="122"/>
      <c r="J20" s="122">
        <f t="shared" ref="J20:O20" si="2">AVERAGE(J14:J18)</f>
        <v>2.9416009685202464</v>
      </c>
      <c r="K20" s="123">
        <f t="shared" si="2"/>
        <v>2.4421197274489908</v>
      </c>
      <c r="L20" s="122">
        <f t="shared" si="2"/>
        <v>5.5755716000673452</v>
      </c>
      <c r="M20" s="122">
        <f t="shared" si="2"/>
        <v>2.2023289665211068</v>
      </c>
      <c r="N20" s="123">
        <f t="shared" si="2"/>
        <v>0.31266193996718528</v>
      </c>
      <c r="O20" s="122">
        <f t="shared" si="2"/>
        <v>0.59262593790208729</v>
      </c>
      <c r="P20" s="124"/>
      <c r="Q20" s="30"/>
      <c r="R20" s="108"/>
      <c r="S20" s="117"/>
      <c r="T20" s="41"/>
      <c r="U20" s="14">
        <v>338.08</v>
      </c>
      <c r="V20" s="15"/>
      <c r="W20" s="110"/>
      <c r="X20" s="69">
        <v>4.4999999999999998E-2</v>
      </c>
      <c r="Y20" s="70">
        <v>210</v>
      </c>
      <c r="Z20" s="71">
        <v>234.84</v>
      </c>
      <c r="AA20" s="40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4"/>
      <c r="AY20" s="74"/>
      <c r="AZ20" s="74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40"/>
    </row>
    <row r="21" spans="1:67" ht="14.1" customHeight="1" thickBot="1">
      <c r="A21" s="70"/>
      <c r="B21" s="118"/>
      <c r="C21" s="36"/>
      <c r="D21" s="99"/>
      <c r="E21" s="33"/>
      <c r="F21" s="125" t="s">
        <v>113</v>
      </c>
      <c r="G21" s="33"/>
      <c r="H21" s="33"/>
      <c r="I21" s="126" t="s">
        <v>114</v>
      </c>
      <c r="J21" s="127">
        <f>J20-((B18-B15)*0.25*$D$2*10)/(30*$D$2)</f>
        <v>3.108267635186913</v>
      </c>
      <c r="K21" s="74"/>
      <c r="L21" s="128" t="s">
        <v>33</v>
      </c>
      <c r="M21" s="129">
        <f>J21-M20</f>
        <v>0.90593866866580619</v>
      </c>
      <c r="N21" s="19"/>
      <c r="O21" s="74"/>
      <c r="P21" s="130">
        <f>$M$20-(((B18-B14)*1.3)/(A18-A14))</f>
        <v>2.5489956331877734</v>
      </c>
      <c r="Q21" s="30"/>
      <c r="R21" s="131"/>
      <c r="S21" s="117"/>
      <c r="T21" s="41">
        <v>110</v>
      </c>
      <c r="U21" s="14">
        <v>341.09</v>
      </c>
      <c r="V21" s="15"/>
      <c r="W21" s="110"/>
      <c r="X21" s="69">
        <v>3.6999999999999998E-2</v>
      </c>
      <c r="Y21" s="70">
        <v>220</v>
      </c>
      <c r="Z21" s="71">
        <v>212.7</v>
      </c>
      <c r="AA21" s="40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4"/>
      <c r="AY21" s="74"/>
      <c r="AZ21" s="74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40"/>
    </row>
    <row r="22" spans="1:67" ht="14.1" customHeight="1" thickBot="1">
      <c r="A22" s="63"/>
      <c r="B22" s="98"/>
      <c r="C22" s="65"/>
      <c r="D22" s="99"/>
      <c r="E22" s="66"/>
      <c r="F22" s="63"/>
      <c r="G22" s="66"/>
      <c r="H22" s="66"/>
      <c r="I22" s="33"/>
      <c r="J22" s="132"/>
      <c r="K22" s="67"/>
      <c r="L22" s="133"/>
      <c r="M22" s="134"/>
      <c r="N22" s="101"/>
      <c r="O22" s="133"/>
      <c r="P22" s="133"/>
      <c r="Q22" s="30"/>
      <c r="R22" s="102" t="s">
        <v>25</v>
      </c>
      <c r="S22" s="103" t="s">
        <v>109</v>
      </c>
      <c r="T22" s="30"/>
      <c r="U22" s="14">
        <v>328.49</v>
      </c>
      <c r="V22" s="15"/>
      <c r="W22" s="110"/>
      <c r="X22" s="69">
        <v>4.4999999999999998E-2</v>
      </c>
      <c r="Y22" s="70">
        <v>230</v>
      </c>
      <c r="Z22" s="71">
        <v>262.73</v>
      </c>
      <c r="AA22" s="40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4"/>
      <c r="AY22" s="74"/>
      <c r="AZ22" s="74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40"/>
    </row>
    <row r="23" spans="1:67" ht="14.1" customHeight="1">
      <c r="A23" s="203">
        <v>225</v>
      </c>
      <c r="B23" s="195">
        <v>82</v>
      </c>
      <c r="C23" s="65"/>
      <c r="D23" s="104">
        <f>AVERAGE(U31:U32)</f>
        <v>207.63499999999999</v>
      </c>
      <c r="E23" s="78">
        <f>D23-$E$5</f>
        <v>166.17</v>
      </c>
      <c r="F23" s="78"/>
      <c r="G23" s="78">
        <f t="shared" si="0"/>
        <v>1186.8692249999999</v>
      </c>
      <c r="H23" s="78">
        <f t="shared" si="1"/>
        <v>1447.4014939024389</v>
      </c>
      <c r="I23" s="33">
        <f>$C$24*A23+$C$25</f>
        <v>959.39386464285724</v>
      </c>
      <c r="J23" s="105" t="s">
        <v>110</v>
      </c>
      <c r="K23" s="106" t="s">
        <v>111</v>
      </c>
      <c r="L23" s="67"/>
      <c r="M23" s="19">
        <f>(((S23/60)*$J$1)/$D$2)</f>
        <v>6.5098253275109181</v>
      </c>
      <c r="N23" s="101"/>
      <c r="O23" s="133"/>
      <c r="P23" s="133"/>
      <c r="Q23" s="30"/>
      <c r="R23" s="204">
        <v>225</v>
      </c>
      <c r="S23" s="117">
        <v>201</v>
      </c>
      <c r="T23" s="13">
        <v>115</v>
      </c>
      <c r="U23" s="14">
        <v>305.2</v>
      </c>
      <c r="V23" s="15"/>
      <c r="W23" s="110"/>
      <c r="X23" s="69">
        <v>0.04</v>
      </c>
      <c r="Y23" s="70">
        <v>235</v>
      </c>
      <c r="Z23" s="71">
        <v>243.15</v>
      </c>
      <c r="AA23" s="40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4"/>
      <c r="AY23" s="74"/>
      <c r="AZ23" s="74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40"/>
    </row>
    <row r="24" spans="1:67" ht="14.1" customHeight="1">
      <c r="A24" s="203">
        <v>235</v>
      </c>
      <c r="B24" s="195">
        <v>92</v>
      </c>
      <c r="C24" s="65">
        <f>SLOPE(G24:G27,A24:A27)</f>
        <v>-1.1358615714285705</v>
      </c>
      <c r="D24" s="104">
        <f>AVERAGE(U33:U34)</f>
        <v>167.06</v>
      </c>
      <c r="E24" s="66">
        <f>D24-$E$5</f>
        <v>125.595</v>
      </c>
      <c r="F24" s="111">
        <v>180</v>
      </c>
      <c r="G24" s="112">
        <f t="shared" si="0"/>
        <v>897.06228750000002</v>
      </c>
      <c r="H24" s="112">
        <f t="shared" si="1"/>
        <v>975.06770380434784</v>
      </c>
      <c r="I24" s="33">
        <f>$C$24*A24+$C$25</f>
        <v>948.03524892857149</v>
      </c>
      <c r="J24" s="113">
        <f>((($N$2-(130*$D$2*(((B24+B23)*0.01)/2))*((I24-I23)/(A24-A23))))/((I24+I23)/2))/$D$2</f>
        <v>5.4710485269762259</v>
      </c>
      <c r="K24" s="114">
        <f>$N$2/H24/$D$2</f>
        <v>5.219486459732952</v>
      </c>
      <c r="L24" s="114">
        <f>J24/($D$4/$D$2)</f>
        <v>10.369939062450024</v>
      </c>
      <c r="M24" s="107">
        <f>(((S24/60)*$J$1)/$D$2)</f>
        <v>7.5138282387190687</v>
      </c>
      <c r="N24" s="19">
        <f>K24-M24</f>
        <v>-2.2943417789861167</v>
      </c>
      <c r="O24" s="74">
        <f>N24/($D$4/$D$2)</f>
        <v>-4.3487430826479665</v>
      </c>
      <c r="P24" s="74"/>
      <c r="Q24" s="30"/>
      <c r="R24" s="204">
        <v>235</v>
      </c>
      <c r="S24" s="117">
        <v>232</v>
      </c>
      <c r="U24" s="14">
        <v>298.25</v>
      </c>
      <c r="V24" s="15"/>
      <c r="W24" s="110"/>
      <c r="X24" s="69">
        <v>3.2000000000000001E-2</v>
      </c>
      <c r="Y24" s="70">
        <v>240</v>
      </c>
      <c r="Z24" s="71">
        <v>224.82</v>
      </c>
      <c r="AA24" s="40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4"/>
      <c r="AY24" s="74"/>
      <c r="AZ24" s="74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40"/>
    </row>
    <row r="25" spans="1:67" ht="14.1" customHeight="1">
      <c r="A25" s="203">
        <v>245</v>
      </c>
      <c r="B25" s="195">
        <v>95</v>
      </c>
      <c r="C25" s="65">
        <f>INTERCEPT(G24:G27,A24:A27)</f>
        <v>1214.9627182142856</v>
      </c>
      <c r="D25" s="104">
        <f>AVERAGE(U35:U36)</f>
        <v>187.55500000000001</v>
      </c>
      <c r="E25" s="66">
        <f>D25-$E$5</f>
        <v>146.09</v>
      </c>
      <c r="F25" s="111">
        <v>180</v>
      </c>
      <c r="G25" s="112">
        <f t="shared" si="0"/>
        <v>1043.447825</v>
      </c>
      <c r="H25" s="112">
        <f t="shared" si="1"/>
        <v>1098.3661315789473</v>
      </c>
      <c r="I25" s="33">
        <f>$C$24*A25+$C$25</f>
        <v>936.67663321428586</v>
      </c>
      <c r="J25" s="113">
        <f>((($N$2-(130*$D$2*(((B25+B24)*0.01)/2))*((I25-I24)/(A25-A24))))/((I25+I24)/2))/$D$2</f>
        <v>5.547178537860578</v>
      </c>
      <c r="K25" s="114">
        <f>$N$2/H25/$D$2</f>
        <v>4.6335666505061814</v>
      </c>
      <c r="L25" s="114">
        <f>J25/($D$4/$D$2)</f>
        <v>10.514237467006621</v>
      </c>
      <c r="M25" s="107">
        <f>(((S25/60)*$J$1)/$D$2)</f>
        <v>7.9996360989810764</v>
      </c>
      <c r="N25" s="19">
        <f>K25-M25</f>
        <v>-3.366069448474895</v>
      </c>
      <c r="O25" s="114">
        <f>N25/($D$4/$D$2)</f>
        <v>-6.3801179771204586</v>
      </c>
      <c r="P25" s="74"/>
      <c r="Q25" s="30"/>
      <c r="R25" s="204">
        <v>245</v>
      </c>
      <c r="S25" s="117">
        <v>247</v>
      </c>
      <c r="T25" s="13">
        <v>120</v>
      </c>
      <c r="U25" s="14">
        <v>317.39</v>
      </c>
      <c r="V25" s="15"/>
      <c r="W25" s="110"/>
      <c r="X25" s="96">
        <f>AVERAGE(X20:X24)</f>
        <v>3.9800000000000002E-2</v>
      </c>
      <c r="Y25" s="57" t="s">
        <v>107</v>
      </c>
      <c r="Z25" s="96">
        <f>AVERAGE(Z20:Z24)</f>
        <v>235.648</v>
      </c>
      <c r="AA25" s="30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5"/>
      <c r="AY25" s="95"/>
      <c r="AZ25" s="95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40"/>
    </row>
    <row r="26" spans="1:67" ht="14.1" customHeight="1">
      <c r="A26" s="203">
        <v>250</v>
      </c>
      <c r="B26" s="195">
        <v>103</v>
      </c>
      <c r="C26" s="65"/>
      <c r="D26" s="104">
        <f>AVERAGE(U37:U38)</f>
        <v>170.46</v>
      </c>
      <c r="E26" s="66">
        <f>D26-$E$5</f>
        <v>128.995</v>
      </c>
      <c r="F26" s="111">
        <v>180</v>
      </c>
      <c r="G26" s="112">
        <f t="shared" si="0"/>
        <v>921.3467875</v>
      </c>
      <c r="H26" s="112">
        <f t="shared" si="1"/>
        <v>894.51144417475723</v>
      </c>
      <c r="I26" s="33">
        <f>$C$24*A26+$C$25</f>
        <v>930.99732535714293</v>
      </c>
      <c r="J26" s="113">
        <f>((($N$2-(130*$D$2*(((B26+B25)*0.01)/2))*((I26-I25)/(A26-A25))))/((I26+I25)/2))/$D$2</f>
        <v>5.6064796936797059</v>
      </c>
      <c r="K26" s="114">
        <f>$N$2/H26/$D$2</f>
        <v>5.6895333318233181</v>
      </c>
      <c r="L26" s="114">
        <f>J26/($D$4/$D$2)</f>
        <v>10.626638109981192</v>
      </c>
      <c r="M26" s="107">
        <f>(((S26/60)*$J$1)/$D$2)</f>
        <v>7.9996360989810764</v>
      </c>
      <c r="N26" s="19">
        <f>K26-M26</f>
        <v>-2.3101027671577583</v>
      </c>
      <c r="O26" s="114">
        <f>N26/($D$4/$D$2)</f>
        <v>-4.3786167871303965</v>
      </c>
      <c r="P26" s="74"/>
      <c r="Q26" s="30"/>
      <c r="R26" s="204">
        <v>250</v>
      </c>
      <c r="S26" s="117">
        <v>247</v>
      </c>
      <c r="U26" s="14">
        <v>337.42</v>
      </c>
      <c r="V26" s="15"/>
      <c r="W26" s="11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</row>
    <row r="27" spans="1:67" ht="14.1" customHeight="1">
      <c r="A27" s="203">
        <v>255</v>
      </c>
      <c r="B27" s="198">
        <v>107</v>
      </c>
      <c r="C27" s="65"/>
      <c r="D27" s="104">
        <f>AVERAGE(U39:U40)</f>
        <v>164.55500000000001</v>
      </c>
      <c r="E27" s="66">
        <f>D27-$E$5</f>
        <v>123.09</v>
      </c>
      <c r="F27" s="111">
        <v>180</v>
      </c>
      <c r="G27" s="112">
        <f t="shared" si="0"/>
        <v>879.17032500000005</v>
      </c>
      <c r="H27" s="112">
        <f t="shared" si="1"/>
        <v>821.65450934579439</v>
      </c>
      <c r="I27" s="33">
        <f>$C$24*A27+$C$25</f>
        <v>925.31801750000011</v>
      </c>
      <c r="J27" s="113">
        <f>((($N$2-(130*$D$2*(((B27+B26)*0.01)/2))*((I27-I26)/(A27-A26))))/((I27+I26)/2))/$D$2</f>
        <v>5.6503306962466748</v>
      </c>
      <c r="K27" s="114">
        <f>$N$2/H27/$D$2</f>
        <v>6.1940299961134073</v>
      </c>
      <c r="L27" s="114">
        <f>J27/($D$4/$D$2)</f>
        <v>10.709754211438646</v>
      </c>
      <c r="M27" s="107">
        <f>(((S27/60)*$J$1)/$D$2)</f>
        <v>7.9996360989810764</v>
      </c>
      <c r="N27" s="19">
        <f>K27-M27</f>
        <v>-1.8056061028676691</v>
      </c>
      <c r="O27" s="114">
        <f>N27/($D$4/$D$2)</f>
        <v>-3.422383326560277</v>
      </c>
      <c r="P27" s="74"/>
      <c r="Q27" s="30"/>
      <c r="R27" s="204">
        <v>255</v>
      </c>
      <c r="S27" s="117">
        <v>247</v>
      </c>
      <c r="T27" s="13">
        <v>150</v>
      </c>
      <c r="U27" s="14"/>
      <c r="V27" s="15"/>
      <c r="W27" s="11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</row>
    <row r="28" spans="1:67" ht="14.1" customHeight="1" thickBot="1">
      <c r="A28" s="63"/>
      <c r="B28" s="118"/>
      <c r="C28" s="65"/>
      <c r="D28" s="99"/>
      <c r="E28" s="66"/>
      <c r="F28" s="135"/>
      <c r="G28" s="112"/>
      <c r="H28" s="112"/>
      <c r="I28" s="33"/>
      <c r="J28" s="113"/>
      <c r="K28" s="114"/>
      <c r="L28" s="114"/>
      <c r="M28" s="107"/>
      <c r="N28" s="107"/>
      <c r="O28" s="114"/>
      <c r="P28" s="74"/>
      <c r="Q28" s="30"/>
      <c r="R28" s="108"/>
      <c r="S28" s="117"/>
      <c r="U28" s="14"/>
      <c r="V28" s="15"/>
      <c r="W28" s="110"/>
      <c r="X28" s="69"/>
      <c r="Y28" s="13" t="s">
        <v>115</v>
      </c>
    </row>
    <row r="29" spans="1:67" ht="14.1" customHeight="1" thickBot="1">
      <c r="A29" s="119" t="s">
        <v>112</v>
      </c>
      <c r="B29" s="122">
        <f>AVERAGE(B23:B28)</f>
        <v>95.8</v>
      </c>
      <c r="C29" s="121"/>
      <c r="D29" s="122">
        <f>AVERAGE(D23:D28)</f>
        <v>179.45300000000003</v>
      </c>
      <c r="E29" s="122">
        <f>AVERAGE(E23:E28)</f>
        <v>137.988</v>
      </c>
      <c r="F29" s="122">
        <f>AVERAGE(F24:F28)</f>
        <v>180</v>
      </c>
      <c r="G29" s="122">
        <f>AVERAGE(G23:G28)</f>
        <v>985.57929000000001</v>
      </c>
      <c r="H29" s="122">
        <f>AVERAGE(H23:H28)</f>
        <v>1047.400256561257</v>
      </c>
      <c r="I29" s="122"/>
      <c r="J29" s="122">
        <f t="shared" ref="J29:O29" si="3">AVERAGE(J23:J28)</f>
        <v>5.5687593636907966</v>
      </c>
      <c r="K29" s="123">
        <f t="shared" si="3"/>
        <v>5.4341541095439645</v>
      </c>
      <c r="L29" s="122">
        <f t="shared" si="3"/>
        <v>10.555142212719122</v>
      </c>
      <c r="M29" s="122">
        <f t="shared" si="3"/>
        <v>7.6045123726346429</v>
      </c>
      <c r="N29" s="123">
        <f t="shared" si="3"/>
        <v>-2.4440300243716098</v>
      </c>
      <c r="O29" s="122">
        <f t="shared" si="3"/>
        <v>-4.6324652933647741</v>
      </c>
      <c r="P29" s="122"/>
      <c r="Q29" s="136"/>
      <c r="R29" s="137"/>
      <c r="S29" s="138"/>
      <c r="T29" s="13">
        <v>180</v>
      </c>
      <c r="U29" s="14">
        <v>215.77</v>
      </c>
      <c r="V29" s="15"/>
      <c r="W29" s="110"/>
      <c r="X29" s="69"/>
      <c r="Y29" s="13" t="s">
        <v>116</v>
      </c>
    </row>
    <row r="30" spans="1:67" ht="14.1" customHeight="1">
      <c r="A30" s="70"/>
      <c r="B30" s="139"/>
      <c r="C30" s="36"/>
      <c r="D30" s="99"/>
      <c r="E30" s="33"/>
      <c r="F30" s="125" t="s">
        <v>117</v>
      </c>
      <c r="G30" s="33"/>
      <c r="H30" s="33"/>
      <c r="I30" s="140" t="s">
        <v>114</v>
      </c>
      <c r="J30" s="141">
        <f>J29-((B27-B24)*0.25*$D$2*10)/(20*$D$2)</f>
        <v>3.6937593636907966</v>
      </c>
      <c r="K30" s="74"/>
      <c r="L30" s="142" t="s">
        <v>33</v>
      </c>
      <c r="M30" s="143">
        <f>J30-M29</f>
        <v>-3.9107530089438463</v>
      </c>
      <c r="N30" s="19">
        <f>AVERAGE(J24:J25)-M29</f>
        <v>-2.0953988402162409</v>
      </c>
      <c r="O30" s="74"/>
      <c r="P30" s="130">
        <f>$M$29-(((B27-B23)*1.3)/(A27-A23))</f>
        <v>6.5211790393013098</v>
      </c>
      <c r="Q30" s="30"/>
      <c r="R30" s="63"/>
      <c r="S30" s="144"/>
      <c r="U30" s="14">
        <v>206.74</v>
      </c>
      <c r="V30" s="15"/>
      <c r="W30" s="110"/>
      <c r="X30" s="69"/>
      <c r="Y30" s="13" t="s">
        <v>118</v>
      </c>
    </row>
    <row r="31" spans="1:67" ht="14.1" customHeight="1">
      <c r="A31" s="145"/>
      <c r="B31" s="139"/>
      <c r="C31" s="146"/>
      <c r="D31" s="147"/>
      <c r="E31" s="148"/>
      <c r="F31" s="145"/>
      <c r="G31" s="148"/>
      <c r="H31" s="148"/>
      <c r="I31" s="148"/>
      <c r="J31" s="149"/>
      <c r="K31" s="150"/>
      <c r="L31" s="133"/>
      <c r="M31" s="134"/>
      <c r="N31" s="101"/>
      <c r="O31" s="150"/>
      <c r="P31" s="150"/>
      <c r="Q31" s="96"/>
      <c r="R31" s="151"/>
      <c r="S31" s="101" t="s">
        <v>32</v>
      </c>
      <c r="T31" s="13">
        <v>210</v>
      </c>
      <c r="U31" s="14">
        <v>202.77</v>
      </c>
      <c r="V31" s="15"/>
      <c r="W31" s="110"/>
      <c r="X31" s="69"/>
      <c r="Y31" s="13" t="s">
        <v>119</v>
      </c>
    </row>
    <row r="32" spans="1:67" ht="14.1" customHeight="1">
      <c r="A32" s="145"/>
      <c r="B32" s="148"/>
      <c r="C32" s="146"/>
      <c r="D32" s="147"/>
      <c r="E32" s="148"/>
      <c r="F32" s="148"/>
      <c r="G32" s="148"/>
      <c r="H32" s="148"/>
      <c r="I32" s="148"/>
      <c r="J32" s="152"/>
      <c r="K32" s="153"/>
      <c r="L32" s="58"/>
      <c r="M32" s="124"/>
      <c r="N32" s="101"/>
      <c r="O32" s="150"/>
      <c r="P32" s="150"/>
      <c r="Q32" s="96"/>
      <c r="R32" s="145"/>
      <c r="S32" s="58"/>
      <c r="U32" s="14">
        <v>212.5</v>
      </c>
      <c r="V32" s="15"/>
      <c r="W32" s="110"/>
      <c r="X32" s="69"/>
      <c r="Y32" s="13" t="s">
        <v>120</v>
      </c>
    </row>
    <row r="33" spans="1:99" ht="14.1" customHeight="1">
      <c r="A33" s="145"/>
      <c r="B33" s="148"/>
      <c r="C33" s="146"/>
      <c r="D33" s="147"/>
      <c r="E33" s="148"/>
      <c r="F33" s="145"/>
      <c r="G33" s="148"/>
      <c r="H33" s="148"/>
      <c r="I33" s="148"/>
      <c r="J33" s="149"/>
      <c r="K33" s="150"/>
      <c r="L33" s="150"/>
      <c r="M33" s="124"/>
      <c r="N33" s="124"/>
      <c r="O33" s="150"/>
      <c r="P33" s="150"/>
      <c r="Q33" s="96"/>
      <c r="R33" s="145"/>
      <c r="S33" s="58"/>
      <c r="T33" s="13">
        <v>220</v>
      </c>
      <c r="U33" s="14">
        <v>157.05000000000001</v>
      </c>
      <c r="V33" s="15"/>
      <c r="W33" s="110"/>
      <c r="X33" s="69"/>
      <c r="Y33" s="20" t="s">
        <v>121</v>
      </c>
    </row>
    <row r="34" spans="1:99" ht="14.1" customHeight="1">
      <c r="A34" s="145"/>
      <c r="B34" s="148"/>
      <c r="C34" s="146"/>
      <c r="D34" s="147"/>
      <c r="E34" s="148"/>
      <c r="F34" s="145"/>
      <c r="G34" s="148"/>
      <c r="H34" s="148"/>
      <c r="I34" s="148"/>
      <c r="J34" s="149"/>
      <c r="K34" s="150"/>
      <c r="L34" s="150"/>
      <c r="M34" s="124"/>
      <c r="N34" s="124"/>
      <c r="O34" s="150"/>
      <c r="P34" s="150"/>
      <c r="Q34" s="96"/>
      <c r="R34" s="145"/>
      <c r="S34" s="58"/>
      <c r="U34" s="14">
        <v>177.07</v>
      </c>
      <c r="V34" s="15"/>
      <c r="W34" s="110"/>
    </row>
    <row r="35" spans="1:99" ht="14.1" customHeight="1">
      <c r="A35" s="145"/>
      <c r="B35" s="148"/>
      <c r="C35" s="146"/>
      <c r="D35" s="147"/>
      <c r="E35" s="148"/>
      <c r="F35" s="145"/>
      <c r="G35" s="148"/>
      <c r="H35" s="148"/>
      <c r="I35" s="148"/>
      <c r="J35" s="149"/>
      <c r="K35" s="150"/>
      <c r="L35" s="150"/>
      <c r="M35" s="124"/>
      <c r="N35" s="124"/>
      <c r="O35" s="150"/>
      <c r="P35" s="150"/>
      <c r="Q35" s="96"/>
      <c r="R35" s="145"/>
      <c r="S35" s="58"/>
      <c r="T35" s="13">
        <v>230</v>
      </c>
      <c r="U35" s="14">
        <v>186.2</v>
      </c>
      <c r="V35" s="15"/>
      <c r="W35" s="110"/>
    </row>
    <row r="36" spans="1:99" ht="14.1" customHeight="1">
      <c r="A36" s="145"/>
      <c r="B36" s="139"/>
      <c r="C36" s="146"/>
      <c r="D36" s="147"/>
      <c r="E36" s="148"/>
      <c r="F36" s="145"/>
      <c r="G36" s="148"/>
      <c r="H36" s="148"/>
      <c r="I36" s="148"/>
      <c r="J36" s="149"/>
      <c r="K36" s="150"/>
      <c r="L36" s="150"/>
      <c r="M36" s="124"/>
      <c r="N36" s="124"/>
      <c r="O36" s="150"/>
      <c r="P36" s="150"/>
      <c r="Q36" s="96"/>
      <c r="R36" s="145"/>
      <c r="S36" s="58"/>
      <c r="U36" s="14">
        <v>188.91</v>
      </c>
      <c r="V36" s="15"/>
      <c r="W36" s="110"/>
      <c r="X36"/>
    </row>
    <row r="37" spans="1:99" ht="14.1" customHeight="1">
      <c r="A37" s="145"/>
      <c r="B37" s="139"/>
      <c r="C37" s="146"/>
      <c r="D37" s="147"/>
      <c r="E37" s="148"/>
      <c r="F37" s="145"/>
      <c r="G37" s="148"/>
      <c r="H37" s="148"/>
      <c r="I37" s="148"/>
      <c r="J37" s="149"/>
      <c r="K37" s="150"/>
      <c r="L37" s="150"/>
      <c r="M37" s="124"/>
      <c r="N37" s="124"/>
      <c r="O37" s="150"/>
      <c r="P37" s="150"/>
      <c r="Q37" s="96"/>
      <c r="R37" s="96"/>
      <c r="S37" s="58"/>
      <c r="T37" s="13">
        <v>235</v>
      </c>
      <c r="U37" s="14">
        <v>157.68</v>
      </c>
      <c r="V37" s="15"/>
      <c r="W37" s="15"/>
      <c r="X37" s="6"/>
    </row>
    <row r="38" spans="1:99" s="156" customFormat="1" ht="14.1" customHeight="1">
      <c r="A38" s="154"/>
      <c r="B38" s="139"/>
      <c r="C38" s="155"/>
      <c r="D38" s="139"/>
      <c r="E38" s="139"/>
      <c r="F38" s="139"/>
      <c r="G38" s="139"/>
      <c r="H38" s="139"/>
      <c r="I38" s="139"/>
      <c r="J38" s="124"/>
      <c r="K38" s="124"/>
      <c r="L38" s="124"/>
      <c r="M38" s="124"/>
      <c r="N38" s="124"/>
      <c r="O38" s="124"/>
      <c r="P38" s="124"/>
      <c r="Q38" s="155"/>
      <c r="R38" s="145"/>
      <c r="S38" s="58"/>
      <c r="T38" s="13"/>
      <c r="U38" s="14">
        <v>183.24</v>
      </c>
      <c r="V38" s="15"/>
      <c r="W38" s="15"/>
      <c r="X38" s="6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</row>
    <row r="39" spans="1:99" s="3" customFormat="1" ht="14.1" customHeight="1">
      <c r="A39" s="157"/>
      <c r="B39" s="158"/>
      <c r="C39" s="159"/>
      <c r="D39" s="160"/>
      <c r="E39" s="160"/>
      <c r="F39" s="161"/>
      <c r="G39" s="160"/>
      <c r="H39" s="148"/>
      <c r="I39" s="162"/>
      <c r="J39" s="163"/>
      <c r="K39" s="150"/>
      <c r="L39" s="155"/>
      <c r="M39" s="134"/>
      <c r="N39" s="155"/>
      <c r="O39" s="155"/>
      <c r="P39" s="155"/>
      <c r="Q39" s="58"/>
      <c r="R39" s="58"/>
      <c r="S39" s="58"/>
      <c r="T39" s="13">
        <v>240</v>
      </c>
      <c r="U39" s="14">
        <v>164.81</v>
      </c>
      <c r="V39" s="15"/>
      <c r="W39" s="15"/>
      <c r="X39" s="6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</row>
    <row r="40" spans="1:99" ht="14.1" customHeight="1">
      <c r="A40" s="164"/>
      <c r="B40" s="165"/>
      <c r="C40" s="164"/>
      <c r="D40" s="148"/>
      <c r="E40" s="164"/>
      <c r="F40" s="164"/>
      <c r="G40" s="96"/>
      <c r="H40" s="101"/>
      <c r="I40" s="58"/>
      <c r="J40" s="155"/>
      <c r="K40" s="166"/>
      <c r="L40" s="167"/>
      <c r="M40" s="168"/>
      <c r="N40" s="134"/>
      <c r="O40" s="169"/>
      <c r="P40" s="169"/>
      <c r="Q40" s="58"/>
      <c r="R40" s="58"/>
      <c r="S40" s="58"/>
      <c r="U40" s="14">
        <v>164.3</v>
      </c>
      <c r="V40" s="15"/>
      <c r="W40" s="15"/>
    </row>
    <row r="41" spans="1:99" ht="14.1" customHeight="1">
      <c r="A41" s="164"/>
      <c r="B41" s="170"/>
      <c r="C41" s="164"/>
      <c r="D41" s="171"/>
      <c r="E41" s="164"/>
      <c r="F41" s="164"/>
      <c r="G41" s="124"/>
      <c r="H41" s="58"/>
      <c r="I41" s="58"/>
      <c r="J41" s="170"/>
      <c r="K41" s="170"/>
      <c r="L41" s="96"/>
      <c r="M41" s="172"/>
      <c r="N41" s="160"/>
      <c r="O41" s="58"/>
      <c r="P41" s="58"/>
      <c r="Q41" s="58"/>
      <c r="R41" s="58"/>
      <c r="S41" s="58"/>
      <c r="U41" s="173"/>
      <c r="V41" s="174"/>
      <c r="W41" s="175"/>
    </row>
    <row r="42" spans="1:99" ht="14.1" customHeight="1">
      <c r="A42" s="3"/>
      <c r="B42" s="3"/>
      <c r="C42" s="3"/>
      <c r="D42" s="33"/>
      <c r="E42" s="3"/>
      <c r="F42" s="3"/>
      <c r="G42" s="19"/>
      <c r="H42" s="40"/>
      <c r="I42" s="40"/>
      <c r="J42" s="30"/>
      <c r="K42" s="30"/>
      <c r="L42" s="30"/>
      <c r="M42" s="30"/>
      <c r="N42" s="33"/>
      <c r="O42" s="33"/>
      <c r="P42" s="33"/>
      <c r="Q42" s="40"/>
      <c r="R42" s="40"/>
      <c r="U42" s="173"/>
      <c r="V42" s="174"/>
      <c r="W42" s="175"/>
    </row>
    <row r="43" spans="1:99" ht="14.1" customHeight="1">
      <c r="A43" s="30"/>
      <c r="B43" s="176"/>
      <c r="C43" s="3"/>
      <c r="D43" s="33"/>
      <c r="E43" s="177"/>
      <c r="F43" s="177"/>
      <c r="G43" s="33"/>
      <c r="H43" s="174"/>
      <c r="I43" s="40"/>
      <c r="J43" s="30"/>
      <c r="K43" s="30"/>
      <c r="L43" s="30"/>
      <c r="M43" s="33"/>
      <c r="N43" s="178"/>
      <c r="O43" s="33"/>
      <c r="P43" s="33"/>
      <c r="Q43" s="40"/>
      <c r="R43" s="40"/>
      <c r="U43" s="173"/>
      <c r="V43" s="174"/>
      <c r="W43" s="175"/>
    </row>
    <row r="44" spans="1:99" ht="14.1" customHeight="1">
      <c r="A44" s="3"/>
      <c r="B44" s="30"/>
      <c r="C44" s="3"/>
      <c r="D44" s="41"/>
      <c r="E44" s="42"/>
      <c r="F44" s="42"/>
      <c r="G44" s="19"/>
      <c r="H44" s="19"/>
      <c r="I44" s="30"/>
      <c r="J44" s="179"/>
      <c r="K44" s="179"/>
      <c r="L44" s="180"/>
      <c r="M44" s="39"/>
      <c r="N44" s="179"/>
      <c r="O44" s="180"/>
      <c r="P44" s="180"/>
      <c r="Q44" s="46"/>
      <c r="R44" s="46"/>
      <c r="U44" s="173"/>
      <c r="V44" s="174"/>
      <c r="W44" s="175"/>
    </row>
    <row r="45" spans="1:99" s="1" customFormat="1" ht="14.1" customHeight="1">
      <c r="A45" s="3"/>
      <c r="B45" s="181"/>
      <c r="C45" s="181"/>
      <c r="D45" s="25"/>
      <c r="E45" s="181"/>
      <c r="F45" s="181"/>
      <c r="G45" s="181"/>
      <c r="H45" s="95"/>
      <c r="I45" s="95"/>
      <c r="J45" s="182"/>
      <c r="K45" s="182"/>
      <c r="L45" s="182"/>
      <c r="M45" s="182"/>
      <c r="N45" s="182"/>
      <c r="O45" s="54"/>
      <c r="P45" s="54"/>
      <c r="Q45" s="55"/>
      <c r="R45" s="55"/>
      <c r="S45" s="13"/>
      <c r="T45" s="13"/>
      <c r="U45" s="173"/>
      <c r="V45" s="40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</row>
    <row r="46" spans="1:99" ht="14.1" customHeight="1">
      <c r="A46" s="70"/>
      <c r="B46" s="33"/>
      <c r="C46" s="36"/>
      <c r="D46" s="33"/>
      <c r="E46" s="33"/>
      <c r="F46" s="33"/>
      <c r="G46" s="33"/>
      <c r="H46" s="33"/>
      <c r="I46" s="33"/>
      <c r="J46" s="74"/>
      <c r="K46" s="74"/>
      <c r="L46" s="74"/>
      <c r="M46" s="30"/>
      <c r="N46" s="19"/>
      <c r="O46" s="74"/>
      <c r="P46" s="74"/>
      <c r="Q46" s="30"/>
      <c r="R46" s="30"/>
      <c r="U46" s="173"/>
    </row>
    <row r="47" spans="1:99" ht="14.1" customHeight="1">
      <c r="A47" s="70"/>
      <c r="B47" s="33"/>
      <c r="C47" s="36"/>
      <c r="D47" s="33"/>
      <c r="E47" s="33"/>
      <c r="F47" s="33"/>
      <c r="G47" s="33"/>
      <c r="H47" s="33"/>
      <c r="I47" s="33"/>
      <c r="J47" s="74"/>
      <c r="K47" s="74"/>
      <c r="L47" s="74"/>
      <c r="M47" s="30"/>
      <c r="N47" s="19"/>
      <c r="O47" s="74"/>
      <c r="P47" s="74"/>
      <c r="Q47" s="30"/>
      <c r="R47" s="30"/>
      <c r="T47" s="40"/>
      <c r="U47" s="173"/>
    </row>
    <row r="48" spans="1:99" s="80" customFormat="1" ht="14.1" customHeight="1">
      <c r="A48" s="183"/>
      <c r="B48" s="25"/>
      <c r="C48" s="184"/>
      <c r="D48" s="25"/>
      <c r="E48" s="25"/>
      <c r="F48" s="25"/>
      <c r="G48" s="25"/>
      <c r="H48" s="25"/>
      <c r="I48" s="25"/>
      <c r="J48" s="95"/>
      <c r="K48" s="95"/>
      <c r="L48" s="95"/>
      <c r="M48" s="95"/>
      <c r="N48" s="95"/>
      <c r="O48" s="95"/>
      <c r="P48" s="95"/>
      <c r="Q48" s="95"/>
      <c r="R48" s="95"/>
      <c r="S48" s="13"/>
      <c r="T48" s="40"/>
      <c r="U48" s="17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</row>
    <row r="49" spans="1:99" ht="14.1" customHeight="1">
      <c r="A49" s="30"/>
      <c r="B49" s="176"/>
      <c r="C49" s="185"/>
      <c r="D49" s="33"/>
      <c r="E49" s="40"/>
      <c r="F49" s="40"/>
      <c r="G49" s="40"/>
      <c r="H49" s="40"/>
      <c r="I49" s="40"/>
      <c r="J49" s="40"/>
      <c r="K49" s="40"/>
      <c r="L49" s="40"/>
      <c r="M49" s="30"/>
      <c r="N49" s="40"/>
      <c r="O49" s="40"/>
      <c r="P49" s="40"/>
      <c r="Q49" s="30"/>
      <c r="R49" s="30"/>
      <c r="T49" s="40"/>
      <c r="U49" s="173"/>
    </row>
    <row r="50" spans="1:99" ht="14.1" customHeight="1">
      <c r="A50" s="30"/>
      <c r="B50" s="176"/>
      <c r="C50" s="185"/>
      <c r="D50" s="33"/>
      <c r="E50" s="40"/>
      <c r="F50" s="40"/>
      <c r="G50" s="40"/>
      <c r="H50" s="40"/>
      <c r="I50" s="40"/>
      <c r="J50" s="40"/>
      <c r="K50" s="40"/>
      <c r="L50" s="40"/>
      <c r="M50" s="30"/>
      <c r="N50" s="40"/>
      <c r="O50" s="40"/>
      <c r="P50" s="40"/>
      <c r="Q50" s="30"/>
      <c r="R50" s="30"/>
      <c r="T50" s="40"/>
      <c r="U50" s="173"/>
    </row>
    <row r="51" spans="1:99" ht="14.1" customHeight="1">
      <c r="A51" s="30"/>
      <c r="B51" s="176"/>
      <c r="C51" s="185"/>
      <c r="D51" s="33"/>
      <c r="E51" s="40"/>
      <c r="F51" s="40"/>
      <c r="G51" s="40"/>
      <c r="H51" s="40"/>
      <c r="I51" s="40"/>
      <c r="J51" s="40"/>
      <c r="K51" s="40"/>
      <c r="L51" s="40"/>
      <c r="M51" s="19"/>
      <c r="N51" s="40"/>
      <c r="O51" s="40"/>
      <c r="P51" s="40"/>
      <c r="Q51" s="30"/>
      <c r="R51" s="30"/>
      <c r="T51" s="40"/>
      <c r="U51" s="173"/>
    </row>
    <row r="52" spans="1:99" ht="14.1" customHeight="1">
      <c r="A52" s="30"/>
      <c r="B52" s="176"/>
      <c r="C52" s="185"/>
      <c r="D52" s="33"/>
      <c r="E52" s="40"/>
      <c r="F52" s="40"/>
      <c r="G52" s="40"/>
      <c r="H52" s="40"/>
      <c r="I52" s="40"/>
      <c r="J52" s="40"/>
      <c r="K52" s="40"/>
      <c r="L52" s="40"/>
      <c r="M52" s="19"/>
      <c r="N52" s="40"/>
      <c r="O52" s="40"/>
      <c r="P52" s="40"/>
      <c r="Q52" s="30"/>
      <c r="R52" s="30"/>
      <c r="U52" s="173"/>
    </row>
    <row r="53" spans="1:99" ht="14.1" customHeight="1">
      <c r="A53" s="30"/>
      <c r="B53" s="176"/>
      <c r="C53" s="186"/>
      <c r="D53" s="33"/>
      <c r="E53" s="33"/>
      <c r="F53" s="33"/>
      <c r="G53" s="33"/>
      <c r="H53" s="33"/>
      <c r="I53" s="33"/>
      <c r="J53" s="187"/>
      <c r="K53" s="188"/>
      <c r="L53" s="40"/>
      <c r="M53" s="19"/>
      <c r="N53" s="40"/>
      <c r="O53" s="40"/>
      <c r="P53" s="40"/>
      <c r="Q53" s="30"/>
      <c r="R53" s="30"/>
      <c r="U53" s="173"/>
    </row>
    <row r="54" spans="1:99" ht="14.1" customHeight="1">
      <c r="A54" s="70"/>
      <c r="B54" s="189"/>
      <c r="C54" s="36"/>
      <c r="D54" s="33"/>
      <c r="E54" s="33"/>
      <c r="F54" s="33"/>
      <c r="G54" s="33"/>
      <c r="H54" s="33"/>
      <c r="I54" s="33"/>
      <c r="J54" s="132"/>
      <c r="K54" s="74"/>
      <c r="L54" s="74"/>
      <c r="M54" s="19"/>
      <c r="N54" s="19"/>
      <c r="O54" s="74"/>
      <c r="P54" s="74"/>
      <c r="Q54" s="30"/>
      <c r="R54" s="30"/>
      <c r="U54" s="173"/>
    </row>
    <row r="55" spans="1:99" ht="14.1" customHeight="1">
      <c r="A55" s="70"/>
      <c r="B55" s="189"/>
      <c r="C55" s="36"/>
      <c r="D55" s="33"/>
      <c r="E55" s="33"/>
      <c r="F55" s="33"/>
      <c r="G55" s="33"/>
      <c r="H55" s="33"/>
      <c r="I55" s="33"/>
      <c r="J55" s="132"/>
      <c r="K55" s="74"/>
      <c r="L55" s="74"/>
      <c r="M55" s="19"/>
      <c r="N55" s="19"/>
      <c r="O55" s="74"/>
      <c r="P55" s="74"/>
      <c r="Q55" s="30"/>
      <c r="R55" s="30"/>
      <c r="U55" s="173"/>
    </row>
    <row r="56" spans="1:99" s="30" customFormat="1" ht="14.1" customHeight="1">
      <c r="A56" s="70"/>
      <c r="B56" s="189"/>
      <c r="C56" s="36"/>
      <c r="D56" s="33"/>
      <c r="E56" s="33"/>
      <c r="F56" s="33"/>
      <c r="G56" s="33"/>
      <c r="H56" s="33"/>
      <c r="I56" s="33"/>
      <c r="J56" s="132"/>
      <c r="K56" s="74"/>
      <c r="L56" s="74"/>
      <c r="M56" s="19"/>
      <c r="N56" s="19"/>
      <c r="O56" s="74"/>
      <c r="P56" s="74"/>
      <c r="S56" s="13"/>
      <c r="T56" s="13"/>
      <c r="U56" s="17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</row>
    <row r="57" spans="1:99" ht="14.1" customHeight="1">
      <c r="A57" s="70"/>
      <c r="B57" s="189"/>
      <c r="C57" s="36"/>
      <c r="D57" s="33"/>
      <c r="E57" s="33"/>
      <c r="F57" s="33"/>
      <c r="G57" s="33"/>
      <c r="H57" s="33"/>
      <c r="I57" s="33"/>
      <c r="J57" s="132"/>
      <c r="K57" s="74"/>
      <c r="L57" s="74"/>
      <c r="M57" s="19"/>
      <c r="N57" s="19"/>
      <c r="O57" s="74"/>
      <c r="P57" s="74"/>
      <c r="Q57" s="30"/>
      <c r="R57" s="30"/>
      <c r="U57" s="173"/>
    </row>
    <row r="58" spans="1:99" ht="14.1" customHeight="1">
      <c r="A58" s="183"/>
      <c r="B58" s="25"/>
      <c r="C58" s="184"/>
      <c r="D58" s="25"/>
      <c r="E58" s="25"/>
      <c r="F58" s="25"/>
      <c r="G58" s="25"/>
      <c r="H58" s="25"/>
      <c r="I58" s="25"/>
      <c r="J58" s="95"/>
      <c r="K58" s="95"/>
      <c r="L58" s="95"/>
      <c r="M58" s="95"/>
      <c r="N58" s="95"/>
      <c r="O58" s="95"/>
      <c r="P58" s="95"/>
      <c r="Q58" s="95"/>
      <c r="R58" s="95"/>
      <c r="U58" s="173"/>
    </row>
    <row r="59" spans="1:99" s="115" customFormat="1" ht="14.1" customHeight="1">
      <c r="A59" s="40"/>
      <c r="B59" s="40"/>
      <c r="C59" s="40"/>
      <c r="D59" s="19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13"/>
      <c r="T59" s="13"/>
      <c r="U59" s="17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</row>
    <row r="60" spans="1:99" s="30" customFormat="1" ht="14.1" customHeight="1">
      <c r="A60" s="191"/>
      <c r="B60" s="40"/>
      <c r="C60" s="40"/>
      <c r="D60" s="19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13"/>
      <c r="T60" s="13"/>
      <c r="U60" s="17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</row>
    <row r="61" spans="1:99" ht="14.1" customHeight="1">
      <c r="A61" s="40"/>
      <c r="B61" s="40"/>
      <c r="C61" s="40"/>
      <c r="D61" s="19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U61" s="173"/>
    </row>
    <row r="62" spans="1:99" ht="14.1" customHeight="1">
      <c r="A62" s="40"/>
      <c r="B62" s="40"/>
      <c r="C62" s="40"/>
      <c r="D62" s="19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U62" s="173"/>
    </row>
    <row r="63" spans="1:99" ht="14.1" customHeight="1">
      <c r="A63" s="40"/>
      <c r="B63" s="40"/>
      <c r="C63" s="40"/>
      <c r="D63" s="19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U63" s="173"/>
    </row>
    <row r="64" spans="1:99" s="156" customFormat="1" ht="14.1" customHeight="1">
      <c r="A64" s="30"/>
      <c r="B64" s="189"/>
      <c r="C64" s="36"/>
      <c r="D64" s="33"/>
      <c r="E64" s="189"/>
      <c r="F64" s="189"/>
      <c r="G64" s="19"/>
      <c r="H64" s="30"/>
      <c r="I64" s="30"/>
      <c r="J64" s="30"/>
      <c r="K64" s="30"/>
      <c r="L64" s="30"/>
      <c r="M64" s="30"/>
      <c r="N64" s="19"/>
      <c r="O64" s="30"/>
      <c r="P64" s="30"/>
      <c r="Q64" s="40"/>
      <c r="R64" s="40"/>
      <c r="S64" s="13"/>
      <c r="T64" s="13"/>
      <c r="U64" s="17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</row>
    <row r="65" spans="1:21" s="13" customFormat="1" ht="14.1" customHeight="1">
      <c r="A65" s="30"/>
      <c r="B65" s="189"/>
      <c r="C65" s="36"/>
      <c r="D65" s="33"/>
      <c r="E65" s="189"/>
      <c r="F65" s="189"/>
      <c r="G65" s="19"/>
      <c r="H65" s="30"/>
      <c r="I65" s="30"/>
      <c r="J65" s="30"/>
      <c r="K65" s="30"/>
      <c r="L65" s="30"/>
      <c r="M65" s="30"/>
      <c r="N65" s="19"/>
      <c r="O65" s="30"/>
      <c r="P65" s="30"/>
      <c r="Q65" s="40"/>
      <c r="R65" s="40"/>
      <c r="U65" s="173"/>
    </row>
    <row r="66" spans="1:21" s="13" customFormat="1" ht="14.1" customHeight="1">
      <c r="A66" s="12"/>
      <c r="B66" s="192"/>
      <c r="C66" s="65"/>
      <c r="D66" s="66"/>
      <c r="E66" s="192"/>
      <c r="F66" s="192"/>
      <c r="G66" s="68"/>
      <c r="H66" s="12"/>
      <c r="I66" s="12"/>
      <c r="J66" s="12"/>
      <c r="K66" s="12"/>
      <c r="L66" s="12"/>
      <c r="M66" s="12"/>
      <c r="N66" s="68"/>
      <c r="O66" s="12"/>
      <c r="P66" s="12"/>
      <c r="U66" s="173"/>
    </row>
    <row r="67" spans="1:21" ht="14.1" customHeight="1">
      <c r="C67" s="65"/>
      <c r="U67" s="173"/>
    </row>
    <row r="68" spans="1:21" ht="14.1" customHeight="1">
      <c r="A68" s="13"/>
      <c r="B68" s="13"/>
      <c r="C68" s="13"/>
      <c r="D68" s="97"/>
      <c r="E68" s="13"/>
      <c r="F68" s="13"/>
      <c r="G68" s="13"/>
      <c r="H68" s="13"/>
      <c r="I68" s="13"/>
      <c r="J68" s="13"/>
      <c r="M68" s="13"/>
      <c r="N68" s="13"/>
      <c r="O68" s="13"/>
      <c r="P68" s="13"/>
      <c r="U68" s="173"/>
    </row>
    <row r="69" spans="1:21" ht="14.1" customHeight="1">
      <c r="A69" s="13"/>
      <c r="B69" s="13"/>
      <c r="C69" s="13"/>
      <c r="D69" s="97"/>
      <c r="E69" s="13"/>
      <c r="F69" s="13"/>
      <c r="G69" s="13"/>
      <c r="H69" s="13"/>
      <c r="I69" s="13"/>
      <c r="J69" s="13"/>
      <c r="M69" s="13"/>
      <c r="N69" s="13"/>
      <c r="O69" s="13"/>
      <c r="P69" s="13"/>
      <c r="U69" s="173"/>
    </row>
    <row r="70" spans="1:21" ht="14.1" customHeight="1">
      <c r="C70" s="65"/>
      <c r="U70" s="173"/>
    </row>
    <row r="71" spans="1:21" ht="14.1" customHeight="1">
      <c r="C71" s="65"/>
      <c r="Q71" s="13"/>
      <c r="R71" s="13"/>
    </row>
    <row r="72" spans="1:21" ht="14.1" customHeight="1">
      <c r="C72" s="65"/>
      <c r="Q72" s="13"/>
      <c r="R72" s="13"/>
    </row>
    <row r="73" spans="1:21" ht="14.1" customHeight="1">
      <c r="C73" s="65"/>
    </row>
    <row r="74" spans="1:21" ht="14.1" customHeight="1">
      <c r="C74" s="65"/>
    </row>
  </sheetData>
  <pageMargins left="0.75" right="0.5" top="1" bottom="0.5" header="0.5" footer="0.5"/>
  <pageSetup scale="70" orientation="landscape" r:id="rId1"/>
  <headerFooter alignWithMargins="0">
    <oddHeader>&amp;R&amp;D</oddHeader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U74"/>
  <sheetViews>
    <sheetView topLeftCell="BL1" zoomScale="87" zoomScaleNormal="87" workbookViewId="0">
      <selection activeCell="AB11" sqref="AB11:CQ11"/>
    </sheetView>
  </sheetViews>
  <sheetFormatPr defaultColWidth="13.7109375" defaultRowHeight="14.1" customHeight="1"/>
  <cols>
    <col min="1" max="1" width="6.28515625" style="12" customWidth="1"/>
    <col min="2" max="2" width="16.5703125" style="192" customWidth="1"/>
    <col min="3" max="3" width="8.28515625" style="12" customWidth="1"/>
    <col min="4" max="4" width="11.140625" style="66" customWidth="1"/>
    <col min="5" max="5" width="12.85546875" style="192" customWidth="1"/>
    <col min="6" max="6" width="9.28515625" style="192" customWidth="1"/>
    <col min="7" max="7" width="9.140625" style="68" customWidth="1"/>
    <col min="8" max="8" width="10.85546875" style="12" customWidth="1"/>
    <col min="9" max="9" width="13.140625" style="12" customWidth="1"/>
    <col min="10" max="10" width="12.28515625" style="12" customWidth="1"/>
    <col min="11" max="11" width="10.140625" style="12" customWidth="1"/>
    <col min="12" max="12" width="14.42578125" style="12" customWidth="1"/>
    <col min="13" max="13" width="8.85546875" style="12" customWidth="1"/>
    <col min="14" max="14" width="17.140625" style="68" customWidth="1"/>
    <col min="15" max="15" width="15.7109375" style="12" customWidth="1"/>
    <col min="16" max="16" width="10.85546875" style="12" customWidth="1"/>
    <col min="17" max="17" width="6.140625" style="12" customWidth="1"/>
    <col min="18" max="18" width="7.28515625" style="12" customWidth="1"/>
    <col min="19" max="19" width="12" style="13" customWidth="1"/>
    <col min="20" max="20" width="10.42578125" style="13" customWidth="1"/>
    <col min="21" max="21" width="13.7109375" style="13" customWidth="1"/>
    <col min="22" max="22" width="2.5703125" style="13" customWidth="1"/>
    <col min="23" max="29" width="13.7109375" style="13" customWidth="1"/>
    <col min="30" max="31" width="25" style="13" customWidth="1"/>
    <col min="32" max="34" width="13.7109375" style="13" customWidth="1"/>
    <col min="35" max="35" width="19.85546875" style="13" customWidth="1"/>
    <col min="36" max="36" width="19.5703125" style="13" customWidth="1"/>
    <col min="37" max="37" width="27.42578125" style="13" customWidth="1"/>
    <col min="38" max="38" width="31.42578125" style="13" customWidth="1"/>
    <col min="39" max="39" width="31.28515625" style="13" customWidth="1"/>
    <col min="40" max="45" width="27.42578125" style="13" customWidth="1"/>
    <col min="46" max="46" width="31.28515625" style="13" customWidth="1"/>
    <col min="47" max="47" width="35.42578125" style="13" customWidth="1"/>
    <col min="48" max="50" width="13.7109375" style="13" customWidth="1"/>
    <col min="51" max="52" width="17.28515625" style="13" customWidth="1"/>
    <col min="53" max="60" width="17.5703125" style="13" customWidth="1"/>
    <col min="61" max="65" width="20.42578125" style="13" customWidth="1"/>
    <col min="66" max="68" width="13.7109375" style="13" customWidth="1"/>
    <col min="69" max="69" width="18.7109375" style="13" customWidth="1"/>
    <col min="70" max="72" width="13.7109375" style="13" customWidth="1"/>
    <col min="73" max="73" width="17.28515625" style="13" customWidth="1"/>
    <col min="74" max="74" width="16.85546875" style="13" customWidth="1"/>
    <col min="75" max="75" width="13.7109375" style="13" customWidth="1"/>
    <col min="76" max="76" width="17" style="13" customWidth="1"/>
    <col min="77" max="81" width="17.85546875" style="13" customWidth="1"/>
    <col min="82" max="92" width="13.7109375" style="13" customWidth="1"/>
    <col min="93" max="93" width="26.140625" style="13" customWidth="1"/>
    <col min="94" max="94" width="25.7109375" style="13" customWidth="1"/>
    <col min="95" max="95" width="22.85546875" style="13" customWidth="1"/>
    <col min="96" max="99" width="13.7109375" style="13" customWidth="1"/>
    <col min="100" max="16384" width="13.7109375" style="12"/>
  </cols>
  <sheetData>
    <row r="1" spans="1:99" ht="14.1" customHeight="1">
      <c r="A1" s="1" t="s">
        <v>0</v>
      </c>
      <c r="B1" s="2" t="s">
        <v>137</v>
      </c>
      <c r="C1" s="3" t="s">
        <v>1</v>
      </c>
      <c r="D1" s="4" t="s">
        <v>164</v>
      </c>
      <c r="E1" s="1" t="s">
        <v>2</v>
      </c>
      <c r="F1" s="1"/>
      <c r="G1" s="5">
        <v>58</v>
      </c>
      <c r="H1" s="6"/>
      <c r="I1" s="6" t="s">
        <v>3</v>
      </c>
      <c r="J1" s="5">
        <v>178</v>
      </c>
      <c r="K1" s="7"/>
      <c r="L1" s="7"/>
      <c r="M1" s="8" t="s">
        <v>4</v>
      </c>
      <c r="N1" s="9">
        <f>((AVERAGE(W7:W8))*20)</f>
        <v>7549415</v>
      </c>
      <c r="O1" s="10">
        <f>(O3*20)</f>
        <v>7974340.5970799997</v>
      </c>
      <c r="P1" s="10"/>
      <c r="Q1" s="11" t="s">
        <v>5</v>
      </c>
      <c r="S1" s="13">
        <v>-120</v>
      </c>
      <c r="T1" s="13" t="s">
        <v>6</v>
      </c>
      <c r="U1" s="14">
        <v>41.08</v>
      </c>
      <c r="V1" s="15"/>
      <c r="W1" s="15" t="s">
        <v>7</v>
      </c>
    </row>
    <row r="2" spans="1:99" ht="14.1" customHeight="1" thickBot="1">
      <c r="A2" s="16" t="s">
        <v>8</v>
      </c>
      <c r="B2" s="17">
        <v>42593</v>
      </c>
      <c r="C2" s="3" t="s">
        <v>9</v>
      </c>
      <c r="D2" s="18">
        <v>91.3</v>
      </c>
      <c r="E2" s="3" t="s">
        <v>10</v>
      </c>
      <c r="F2" s="3"/>
      <c r="G2" s="19">
        <f>D2/(D3/100*D3/100)</f>
        <v>35.222406542957444</v>
      </c>
      <c r="H2" s="13"/>
      <c r="I2" s="20" t="s">
        <v>11</v>
      </c>
      <c r="J2" s="21"/>
      <c r="K2" s="22"/>
      <c r="L2" s="23"/>
      <c r="M2" s="24" t="s">
        <v>12</v>
      </c>
      <c r="N2" s="25">
        <f>(O1*0.068)</f>
        <v>542255.16060144</v>
      </c>
      <c r="O2" s="13"/>
      <c r="P2" s="13"/>
      <c r="Q2" s="11"/>
      <c r="R2" s="26"/>
      <c r="T2" s="13" t="s">
        <v>6</v>
      </c>
      <c r="U2" s="14">
        <v>23.96</v>
      </c>
      <c r="V2" s="15"/>
      <c r="W2" s="27">
        <v>143199</v>
      </c>
    </row>
    <row r="3" spans="1:99" ht="14.1" customHeight="1" thickTop="1" thickBot="1">
      <c r="A3" s="16" t="s">
        <v>13</v>
      </c>
      <c r="B3" s="28" t="s">
        <v>167</v>
      </c>
      <c r="C3" s="3" t="s">
        <v>15</v>
      </c>
      <c r="D3" s="29">
        <v>161</v>
      </c>
      <c r="E3" s="3" t="s">
        <v>16</v>
      </c>
      <c r="F3" s="3"/>
      <c r="G3" s="19">
        <f>SQRT(((D2*D3)/3600))</f>
        <v>2.0206778290684757</v>
      </c>
      <c r="H3" s="13"/>
      <c r="I3" s="20"/>
      <c r="J3" s="30"/>
      <c r="K3" s="30"/>
      <c r="L3" s="30"/>
      <c r="M3" s="31" t="s">
        <v>17</v>
      </c>
      <c r="N3" s="32">
        <f>($O$1/$N$1)*100</f>
        <v>105.62858972622382</v>
      </c>
      <c r="O3" s="33">
        <f>((AVERAGE(W2:W5))*2.85714)</f>
        <v>398717.02985399996</v>
      </c>
      <c r="P3" s="33"/>
      <c r="Q3" s="34" t="s">
        <v>18</v>
      </c>
      <c r="R3" s="13"/>
      <c r="T3" s="13">
        <v>-30</v>
      </c>
      <c r="U3" s="14">
        <v>458.43</v>
      </c>
      <c r="V3" s="15"/>
      <c r="W3" s="27">
        <v>138564.4</v>
      </c>
    </row>
    <row r="4" spans="1:99" ht="14.1" customHeight="1" thickTop="1">
      <c r="B4" s="35"/>
      <c r="C4" s="3" t="s">
        <v>19</v>
      </c>
      <c r="D4" s="19">
        <v>48.326999999999998</v>
      </c>
      <c r="E4" s="37" t="s">
        <v>20</v>
      </c>
      <c r="F4" s="37"/>
      <c r="G4" s="38">
        <v>0.45500000000000002</v>
      </c>
      <c r="H4" s="13"/>
      <c r="I4" s="20"/>
      <c r="J4" s="30"/>
      <c r="K4" s="30"/>
      <c r="L4" s="30"/>
      <c r="M4" s="33"/>
      <c r="N4" s="39"/>
      <c r="O4" s="30"/>
      <c r="P4" s="30"/>
      <c r="Q4" s="30"/>
      <c r="R4" s="30"/>
      <c r="U4" s="14">
        <v>428.71</v>
      </c>
      <c r="V4" s="15"/>
      <c r="W4" s="27">
        <v>138249.5</v>
      </c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</row>
    <row r="5" spans="1:99" ht="14.1" customHeight="1" thickBot="1">
      <c r="A5" s="16"/>
      <c r="B5" s="30"/>
      <c r="C5" s="3"/>
      <c r="D5" s="41" t="s">
        <v>21</v>
      </c>
      <c r="E5" s="42">
        <f>AVERAGE(U1:U2)</f>
        <v>32.519999999999996</v>
      </c>
      <c r="F5" s="42"/>
      <c r="G5" s="19"/>
      <c r="H5" s="30"/>
      <c r="I5" s="30"/>
      <c r="J5" s="43" t="s">
        <v>22</v>
      </c>
      <c r="K5" s="43"/>
      <c r="L5" s="44" t="s">
        <v>23</v>
      </c>
      <c r="M5" s="45"/>
      <c r="N5" s="43" t="s">
        <v>22</v>
      </c>
      <c r="O5" s="44" t="s">
        <v>23</v>
      </c>
      <c r="P5" s="44" t="s">
        <v>24</v>
      </c>
      <c r="Q5" s="46"/>
      <c r="R5" s="46"/>
      <c r="T5" s="13">
        <v>-20</v>
      </c>
      <c r="U5" s="14">
        <v>456.9</v>
      </c>
      <c r="V5" s="15"/>
      <c r="W5" s="27">
        <v>138191.5</v>
      </c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</row>
    <row r="6" spans="1:99" s="1" customFormat="1" ht="14.1" customHeight="1">
      <c r="A6" s="47" t="s">
        <v>25</v>
      </c>
      <c r="B6" s="48" t="s">
        <v>26</v>
      </c>
      <c r="C6" s="48"/>
      <c r="D6" s="49" t="s">
        <v>27</v>
      </c>
      <c r="E6" s="48" t="s">
        <v>28</v>
      </c>
      <c r="F6" s="48"/>
      <c r="G6" s="48" t="s">
        <v>29</v>
      </c>
      <c r="H6" s="50" t="s">
        <v>30</v>
      </c>
      <c r="I6" s="50"/>
      <c r="J6" s="51" t="s">
        <v>31</v>
      </c>
      <c r="K6" s="52"/>
      <c r="L6" s="52" t="s">
        <v>31</v>
      </c>
      <c r="M6" s="52" t="s">
        <v>32</v>
      </c>
      <c r="N6" s="52" t="s">
        <v>33</v>
      </c>
      <c r="O6" s="53" t="s">
        <v>34</v>
      </c>
      <c r="P6" s="54"/>
      <c r="Q6" s="55"/>
      <c r="R6" s="55"/>
      <c r="S6" s="13"/>
      <c r="T6" s="13"/>
      <c r="U6" s="14">
        <v>412.65</v>
      </c>
      <c r="V6" s="15"/>
      <c r="W6" s="56" t="s">
        <v>35</v>
      </c>
      <c r="X6" s="13" t="s">
        <v>36</v>
      </c>
      <c r="Y6" s="57" t="s">
        <v>37</v>
      </c>
      <c r="Z6" s="58" t="s">
        <v>38</v>
      </c>
      <c r="AA6" s="40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60"/>
      <c r="AY6" s="60"/>
      <c r="AZ6" s="60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60"/>
      <c r="BO6" s="60"/>
      <c r="BP6" s="60"/>
      <c r="BQ6" s="59"/>
      <c r="BR6" s="59"/>
      <c r="BS6" s="59"/>
      <c r="BT6" s="59"/>
      <c r="BU6" s="59"/>
      <c r="BV6" s="59"/>
      <c r="BW6" s="59"/>
      <c r="BX6" s="59"/>
      <c r="BY6" s="59"/>
      <c r="BZ6" s="61"/>
      <c r="CA6" s="61"/>
      <c r="CB6" s="61"/>
      <c r="CC6" s="61"/>
      <c r="CD6" s="40"/>
      <c r="CE6" s="61"/>
      <c r="CF6" s="61"/>
      <c r="CG6" s="33"/>
      <c r="CH6" s="40"/>
      <c r="CI6" s="30"/>
      <c r="CJ6" s="30"/>
      <c r="CK6" s="30"/>
      <c r="CL6" s="30"/>
      <c r="CM6" s="30"/>
      <c r="CN6" s="30"/>
      <c r="CO6" s="30"/>
      <c r="CP6" s="62"/>
      <c r="CQ6" s="62"/>
      <c r="CR6" s="13"/>
      <c r="CS6" s="13"/>
      <c r="CT6" s="13"/>
      <c r="CU6" s="13"/>
    </row>
    <row r="7" spans="1:99" ht="14.1" customHeight="1">
      <c r="A7" s="63">
        <v>-30</v>
      </c>
      <c r="B7" s="64">
        <v>90</v>
      </c>
      <c r="C7" s="65"/>
      <c r="D7" s="42">
        <f>AVERAGE(U3:U4)</f>
        <v>443.57</v>
      </c>
      <c r="E7" s="66">
        <f>D7-$E$5</f>
        <v>411.05</v>
      </c>
      <c r="F7" s="66"/>
      <c r="G7" s="66">
        <f>($E7*7.1425)</f>
        <v>2935.9246250000001</v>
      </c>
      <c r="H7" s="66">
        <f>($G7/($B7*0.01))</f>
        <v>3262.1384722222224</v>
      </c>
      <c r="I7" s="66"/>
      <c r="J7" s="67">
        <f>$N$2/$H7/$D$2</f>
        <v>1.8206670149526811</v>
      </c>
      <c r="K7" s="67"/>
      <c r="L7" s="67">
        <f>J7/($D$4/$D$2)</f>
        <v>3.4396279194897219</v>
      </c>
      <c r="N7" s="68">
        <f>J7-M7</f>
        <v>1.8206670149526811</v>
      </c>
      <c r="O7" s="67">
        <f>N7/($D$4/$D$2)</f>
        <v>3.4396279194897219</v>
      </c>
      <c r="P7" s="67"/>
      <c r="Q7" s="30"/>
      <c r="R7" s="30"/>
      <c r="T7" s="13">
        <v>-10</v>
      </c>
      <c r="U7" s="14">
        <v>429.12</v>
      </c>
      <c r="V7" s="15"/>
      <c r="W7" s="27">
        <v>380249.4</v>
      </c>
      <c r="X7" s="69"/>
      <c r="Y7" s="70">
        <v>-30</v>
      </c>
      <c r="Z7" s="71">
        <v>17.777000000000001</v>
      </c>
      <c r="AA7" s="40"/>
      <c r="AB7" s="72"/>
      <c r="AC7" s="72"/>
      <c r="AD7" s="72"/>
      <c r="AE7" s="72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19"/>
      <c r="AY7" s="74"/>
      <c r="AZ7" s="74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</row>
    <row r="8" spans="1:99" ht="14.1" customHeight="1">
      <c r="A8" s="63">
        <v>-20</v>
      </c>
      <c r="B8" s="64">
        <v>90</v>
      </c>
      <c r="C8" s="65"/>
      <c r="D8" s="66">
        <f>AVERAGE(U5:U6)</f>
        <v>434.77499999999998</v>
      </c>
      <c r="E8" s="66">
        <f>D8-$E$5</f>
        <v>402.255</v>
      </c>
      <c r="F8" s="66"/>
      <c r="G8" s="66">
        <f>($E8*7.1425)</f>
        <v>2873.1063374999999</v>
      </c>
      <c r="H8" s="66">
        <f>($G8/($B8*0.01))</f>
        <v>3192.3403749999998</v>
      </c>
      <c r="I8" s="66"/>
      <c r="J8" s="67">
        <f>$N$2/H8/$D$2</f>
        <v>1.8604745161559202</v>
      </c>
      <c r="K8" s="67"/>
      <c r="L8" s="67">
        <f>J8/($D$4/$D$2)</f>
        <v>3.5148327710190062</v>
      </c>
      <c r="N8" s="68">
        <f>J8-M8</f>
        <v>1.8604745161559202</v>
      </c>
      <c r="O8" s="67">
        <f>N8/($D$4/$D$2)</f>
        <v>3.5148327710190062</v>
      </c>
      <c r="P8" s="67"/>
      <c r="Q8" s="30"/>
      <c r="R8" s="30"/>
      <c r="U8" s="14">
        <v>429.67</v>
      </c>
      <c r="V8" s="15"/>
      <c r="W8" s="27">
        <v>374692.1</v>
      </c>
      <c r="X8" s="69"/>
      <c r="Y8" s="70">
        <v>-20</v>
      </c>
      <c r="Z8" s="71">
        <v>14.5686</v>
      </c>
      <c r="AA8" s="40"/>
      <c r="AB8" s="72"/>
      <c r="AC8" s="72"/>
      <c r="AD8" s="72"/>
      <c r="AE8" s="72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19"/>
      <c r="AY8" s="74"/>
      <c r="AZ8" s="74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</row>
    <row r="9" spans="1:99" ht="14.1" customHeight="1" thickBot="1">
      <c r="A9" s="63">
        <v>-10</v>
      </c>
      <c r="B9" s="75">
        <v>93</v>
      </c>
      <c r="C9" s="65"/>
      <c r="D9" s="66">
        <f>AVERAGE(U7:U8)</f>
        <v>429.39499999999998</v>
      </c>
      <c r="E9" s="66">
        <f>D9-$E$5</f>
        <v>396.875</v>
      </c>
      <c r="F9" s="66"/>
      <c r="G9" s="66">
        <f>($E9*7.1425)</f>
        <v>2834.6796875</v>
      </c>
      <c r="H9" s="66">
        <f>($G9/($B9*0.01))</f>
        <v>3048.0426747311826</v>
      </c>
      <c r="I9" s="66"/>
      <c r="J9" s="67">
        <f>$N$2/H9/$D$2</f>
        <v>1.9485514306675304</v>
      </c>
      <c r="K9" s="67"/>
      <c r="L9" s="67">
        <f>J9/($D$4/$D$2)</f>
        <v>3.6812288290178481</v>
      </c>
      <c r="N9" s="68">
        <f>J9-M9</f>
        <v>1.9485514306675304</v>
      </c>
      <c r="O9" s="67">
        <f>N9/($D$4/$D$2)</f>
        <v>3.6812288290178481</v>
      </c>
      <c r="P9" s="67"/>
      <c r="Q9" s="30"/>
      <c r="R9" s="30"/>
      <c r="T9" s="13">
        <v>-5</v>
      </c>
      <c r="U9" s="14">
        <v>410.76</v>
      </c>
      <c r="V9" s="15"/>
      <c r="W9" s="76">
        <v>370381.1</v>
      </c>
      <c r="X9" s="69"/>
      <c r="Y9" s="70">
        <v>-10</v>
      </c>
      <c r="Z9" s="71">
        <v>17.38</v>
      </c>
      <c r="AA9" s="40"/>
      <c r="AB9" s="72"/>
      <c r="AC9" s="72"/>
      <c r="AD9" s="72"/>
      <c r="AE9" s="72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19"/>
      <c r="AY9" s="74"/>
      <c r="AZ9" s="74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</row>
    <row r="10" spans="1:99" s="80" customFormat="1" ht="14.1" customHeight="1">
      <c r="A10" s="77">
        <v>0</v>
      </c>
      <c r="B10" s="75">
        <v>90</v>
      </c>
      <c r="C10" s="65"/>
      <c r="D10" s="66">
        <f>AVERAGE(U11:U12)</f>
        <v>411.94</v>
      </c>
      <c r="E10" s="66">
        <f>D10-$E$5</f>
        <v>379.42</v>
      </c>
      <c r="F10" s="66"/>
      <c r="G10" s="78">
        <f>($E10*7.1425)</f>
        <v>2710.0073500000003</v>
      </c>
      <c r="H10" s="78">
        <f>($G10/($B10*0.01))</f>
        <v>3011.1192777777783</v>
      </c>
      <c r="I10" s="78"/>
      <c r="J10" s="79">
        <f>$N$2/H10/$D$2</f>
        <v>1.9724452493181681</v>
      </c>
      <c r="K10" s="79"/>
      <c r="L10" s="67">
        <f>J10/($D$4/$D$2)</f>
        <v>3.7263693434880865</v>
      </c>
      <c r="N10" s="81">
        <f>J10-M10</f>
        <v>1.9724452493181681</v>
      </c>
      <c r="O10" s="67">
        <f>N10/($D$4/$D$2)</f>
        <v>3.7263693434880865</v>
      </c>
      <c r="P10" s="67"/>
      <c r="Q10" s="30"/>
      <c r="R10" s="30"/>
      <c r="S10" s="13"/>
      <c r="T10" s="13" t="s">
        <v>39</v>
      </c>
      <c r="U10" s="14">
        <v>396.61</v>
      </c>
      <c r="V10" s="15"/>
      <c r="W10" s="15"/>
      <c r="X10" s="69"/>
      <c r="Y10" s="70">
        <v>0</v>
      </c>
      <c r="Z10" s="82">
        <v>16.702000000000002</v>
      </c>
      <c r="AA10" s="30"/>
      <c r="AB10" s="83" t="s">
        <v>40</v>
      </c>
      <c r="AC10" s="83" t="s">
        <v>41</v>
      </c>
      <c r="AD10" s="83" t="s">
        <v>42</v>
      </c>
      <c r="AE10" s="83" t="s">
        <v>43</v>
      </c>
      <c r="AF10" s="83" t="s">
        <v>44</v>
      </c>
      <c r="AG10" s="83" t="s">
        <v>45</v>
      </c>
      <c r="AH10" s="83" t="s">
        <v>46</v>
      </c>
      <c r="AI10" s="83" t="s">
        <v>47</v>
      </c>
      <c r="AJ10" s="83" t="s">
        <v>48</v>
      </c>
      <c r="AK10" s="83" t="s">
        <v>49</v>
      </c>
      <c r="AL10" s="83" t="s">
        <v>50</v>
      </c>
      <c r="AM10" s="83" t="s">
        <v>51</v>
      </c>
      <c r="AN10" s="83" t="s">
        <v>52</v>
      </c>
      <c r="AO10" s="83" t="s">
        <v>53</v>
      </c>
      <c r="AP10" s="83" t="s">
        <v>54</v>
      </c>
      <c r="AQ10" s="83" t="s">
        <v>55</v>
      </c>
      <c r="AR10" s="83" t="s">
        <v>56</v>
      </c>
      <c r="AS10" s="83" t="s">
        <v>57</v>
      </c>
      <c r="AT10" s="83" t="s">
        <v>58</v>
      </c>
      <c r="AU10" s="83" t="s">
        <v>59</v>
      </c>
      <c r="AV10" s="84" t="s">
        <v>60</v>
      </c>
      <c r="AW10" s="84" t="s">
        <v>61</v>
      </c>
      <c r="AX10" s="85" t="s">
        <v>62</v>
      </c>
      <c r="AY10" s="85" t="s">
        <v>63</v>
      </c>
      <c r="AZ10" s="85" t="s">
        <v>64</v>
      </c>
      <c r="BA10" s="86" t="s">
        <v>65</v>
      </c>
      <c r="BB10" s="86" t="s">
        <v>66</v>
      </c>
      <c r="BC10" s="86" t="s">
        <v>67</v>
      </c>
      <c r="BD10" s="86" t="s">
        <v>68</v>
      </c>
      <c r="BE10" s="86" t="s">
        <v>69</v>
      </c>
      <c r="BF10" s="86" t="s">
        <v>70</v>
      </c>
      <c r="BG10" s="86" t="s">
        <v>71</v>
      </c>
      <c r="BH10" s="86" t="s">
        <v>72</v>
      </c>
      <c r="BI10" s="86" t="s">
        <v>73</v>
      </c>
      <c r="BJ10" s="86" t="s">
        <v>74</v>
      </c>
      <c r="BK10" s="86" t="s">
        <v>75</v>
      </c>
      <c r="BL10" s="86" t="s">
        <v>76</v>
      </c>
      <c r="BM10" s="86" t="s">
        <v>77</v>
      </c>
      <c r="BN10" s="87" t="s">
        <v>78</v>
      </c>
      <c r="BO10" s="87" t="s">
        <v>79</v>
      </c>
      <c r="BP10" s="87" t="s">
        <v>80</v>
      </c>
      <c r="BQ10" s="88" t="s">
        <v>81</v>
      </c>
      <c r="BR10" s="88" t="s">
        <v>82</v>
      </c>
      <c r="BS10" s="88" t="s">
        <v>83</v>
      </c>
      <c r="BT10" s="88" t="s">
        <v>84</v>
      </c>
      <c r="BU10" s="88" t="s">
        <v>85</v>
      </c>
      <c r="BV10" s="88" t="s">
        <v>86</v>
      </c>
      <c r="BW10" s="88" t="s">
        <v>87</v>
      </c>
      <c r="BX10" s="88" t="s">
        <v>88</v>
      </c>
      <c r="BY10" s="88" t="s">
        <v>89</v>
      </c>
      <c r="BZ10" s="88" t="s">
        <v>90</v>
      </c>
      <c r="CA10" s="88" t="s">
        <v>91</v>
      </c>
      <c r="CB10" s="88" t="s">
        <v>92</v>
      </c>
      <c r="CC10" s="88" t="s">
        <v>93</v>
      </c>
      <c r="CD10" s="40"/>
      <c r="CE10" s="89" t="s">
        <v>94</v>
      </c>
      <c r="CF10" s="89" t="s">
        <v>95</v>
      </c>
      <c r="CG10" s="90" t="s">
        <v>96</v>
      </c>
      <c r="CH10" s="40"/>
      <c r="CI10" s="91" t="s">
        <v>97</v>
      </c>
      <c r="CJ10" s="91" t="s">
        <v>98</v>
      </c>
      <c r="CK10" s="91" t="s">
        <v>99</v>
      </c>
      <c r="CL10" s="91" t="s">
        <v>100</v>
      </c>
      <c r="CM10" s="91" t="s">
        <v>101</v>
      </c>
      <c r="CN10" s="91" t="s">
        <v>102</v>
      </c>
      <c r="CO10" s="91" t="s">
        <v>103</v>
      </c>
      <c r="CP10" s="92" t="s">
        <v>104</v>
      </c>
      <c r="CQ10" s="92" t="s">
        <v>105</v>
      </c>
      <c r="CR10" s="13"/>
      <c r="CS10" s="13"/>
      <c r="CT10" s="13"/>
      <c r="CU10" s="13"/>
    </row>
    <row r="11" spans="1:99" s="49" customFormat="1" ht="14.1" customHeight="1">
      <c r="A11" s="93" t="s">
        <v>106</v>
      </c>
      <c r="B11" s="49">
        <f>AVERAGE(B7:B10)</f>
        <v>90.75</v>
      </c>
      <c r="E11" s="50">
        <f>AVERAGE(E7:E10)</f>
        <v>397.40000000000003</v>
      </c>
      <c r="G11" s="50">
        <f>AVERAGE(G7:G10)</f>
        <v>2838.4295000000002</v>
      </c>
      <c r="H11" s="50">
        <f>AVERAGE(H7:H10)</f>
        <v>3128.4101999327959</v>
      </c>
      <c r="J11" s="94">
        <f>AVERAGE(J7:J10)</f>
        <v>1.9005345527735751</v>
      </c>
      <c r="K11" s="50" t="s">
        <v>39</v>
      </c>
      <c r="L11" s="50">
        <f>AVERAGE(L7:L10)</f>
        <v>3.5905147157536654</v>
      </c>
      <c r="M11" s="50"/>
      <c r="N11" s="94">
        <f>AVERAGE(N7:N10)</f>
        <v>1.9005345527735751</v>
      </c>
      <c r="O11" s="50">
        <f>AVERAGE(O7:O10)</f>
        <v>3.5905147157536654</v>
      </c>
      <c r="P11" s="95"/>
      <c r="Q11" s="95"/>
      <c r="R11" s="95"/>
      <c r="S11" s="6"/>
      <c r="T11" s="13">
        <v>0</v>
      </c>
      <c r="U11" s="14">
        <v>413.32</v>
      </c>
      <c r="V11" s="15"/>
      <c r="W11" s="15"/>
      <c r="X11" s="96" t="e">
        <f>AVERAGE(X7:X10)</f>
        <v>#DIV/0!</v>
      </c>
      <c r="Y11" s="70" t="s">
        <v>107</v>
      </c>
      <c r="Z11" s="96">
        <f>AVERAGE(Z7:Z10)</f>
        <v>16.6069</v>
      </c>
      <c r="AA11" s="30"/>
      <c r="AB11" s="72">
        <f>J11</f>
        <v>1.9005345527735751</v>
      </c>
      <c r="AC11" s="73">
        <f>AB11/($D$4/$D$2)</f>
        <v>3.5905147157536659</v>
      </c>
      <c r="AD11" s="73">
        <f>AB11/Z11</f>
        <v>0.11444246384175102</v>
      </c>
      <c r="AE11" s="73">
        <f>AC11/Z11</f>
        <v>0.21620619837258404</v>
      </c>
      <c r="AF11" s="72">
        <f>N20</f>
        <v>-0.25706913110823115</v>
      </c>
      <c r="AG11" s="72">
        <f>AF11/($D$4/$D$2)</f>
        <v>-0.48565836220294051</v>
      </c>
      <c r="AH11" s="72">
        <f>AF11/Z18</f>
        <v>-4.2546462659916974E-3</v>
      </c>
      <c r="AI11" s="72">
        <f>AG11/Z18</f>
        <v>-8.0379333309545786E-3</v>
      </c>
      <c r="AJ11" s="73">
        <f>((AB11-AF11)/AB11)*100</f>
        <v>113.52614877393697</v>
      </c>
      <c r="AK11" s="73">
        <f>((AC11-AG11)/AC11)*100</f>
        <v>113.52614877393697</v>
      </c>
      <c r="AL11" s="73">
        <f>((AD11-AH11)/AD11)*100</f>
        <v>103.71771641676202</v>
      </c>
      <c r="AM11" s="73">
        <f>((AE11-AI11)/AE11)*100</f>
        <v>103.717716416762</v>
      </c>
      <c r="AN11" s="72">
        <f>N29</f>
        <v>0.20628032935891993</v>
      </c>
      <c r="AO11" s="72">
        <f>AN11/($D$4/$D$2)</f>
        <v>0.38970749416411926</v>
      </c>
      <c r="AP11" s="72">
        <f>AN11/Z25</f>
        <v>7.8818386861682097E-4</v>
      </c>
      <c r="AQ11" s="72">
        <f>AO11/Z25</f>
        <v>1.4890472656013359E-3</v>
      </c>
      <c r="AR11" s="73">
        <f>((AB11-AN11)/AB11)*100</f>
        <v>89.14619420847248</v>
      </c>
      <c r="AS11" s="73">
        <f>((AC11-AO11)/AC11)*100</f>
        <v>89.14619420847248</v>
      </c>
      <c r="AT11" s="73">
        <f>((AD11-AP11)/AD11)*100</f>
        <v>99.311283729694338</v>
      </c>
      <c r="AU11" s="73">
        <f>((AE11-AQ11)/AE11)*100</f>
        <v>99.311283729694338</v>
      </c>
      <c r="AV11" s="72">
        <f>J11</f>
        <v>1.9005345527735751</v>
      </c>
      <c r="AW11" s="72">
        <f>AV11/($D$4/$D$2)</f>
        <v>3.5905147157536659</v>
      </c>
      <c r="AX11" s="95">
        <f>M20</f>
        <v>2.1965680905439942</v>
      </c>
      <c r="AY11" s="95">
        <f>AX11/($D$4/$D$2)</f>
        <v>4.1497851442602824</v>
      </c>
      <c r="AZ11" s="95">
        <f>AX11/Z11</f>
        <v>0.13226839991473388</v>
      </c>
      <c r="BA11" s="73">
        <f>AY11/Z11</f>
        <v>0.24988318977414706</v>
      </c>
      <c r="BB11" s="72">
        <f>P21</f>
        <v>1.7632347572106608</v>
      </c>
      <c r="BC11" s="73">
        <f>BB11/($D$4/$D$2)</f>
        <v>3.3311261475641638</v>
      </c>
      <c r="BD11" s="73">
        <f>BB11/Z18</f>
        <v>2.9182578800854352E-2</v>
      </c>
      <c r="BE11" s="73">
        <f>BC11/Z18</f>
        <v>5.5132109266414271E-2</v>
      </c>
      <c r="BF11" s="72">
        <f>K20</f>
        <v>2.2368154983185669</v>
      </c>
      <c r="BG11" s="73">
        <f>BF11/($D$4/$D$2)</f>
        <v>4.2258210730334005</v>
      </c>
      <c r="BH11" s="73">
        <f>BF11/Z18</f>
        <v>3.7020620354556159E-2</v>
      </c>
      <c r="BI11" s="73">
        <f>BG11/Z18</f>
        <v>6.9939839807374282E-2</v>
      </c>
      <c r="BJ11" s="72">
        <f>J21</f>
        <v>1.7104492230350274</v>
      </c>
      <c r="BK11" s="73">
        <f>BJ11/($D$4/$D$2)</f>
        <v>3.2314030265296418</v>
      </c>
      <c r="BL11" s="73">
        <f>BJ11/Z18</f>
        <v>2.8308946969173319E-2</v>
      </c>
      <c r="BM11" s="73">
        <f>BK11/Z18</f>
        <v>5.3481632592247065E-2</v>
      </c>
      <c r="BN11" s="95">
        <f>M29</f>
        <v>6.0113179992698074</v>
      </c>
      <c r="BO11" s="95">
        <f>BN11/($D$4/$D$2)</f>
        <v>11.356660527931249</v>
      </c>
      <c r="BP11" s="95">
        <f>BN11/Z25</f>
        <v>2.2968859371493556E-2</v>
      </c>
      <c r="BQ11" s="73">
        <f>BO11/Z25</f>
        <v>4.3393069311510372E-2</v>
      </c>
      <c r="BR11" s="72">
        <f>P30</f>
        <v>5.9679846659364744</v>
      </c>
      <c r="BS11" s="73">
        <f>BR11/($D$4/$D$2)</f>
        <v>11.274794628261636</v>
      </c>
      <c r="BT11" s="73">
        <f>BR11/Z25</f>
        <v>2.2803285492428719E-2</v>
      </c>
      <c r="BU11" s="73">
        <f>BS11/Z25</f>
        <v>4.3080264975246585E-2</v>
      </c>
      <c r="BV11" s="72">
        <f>K29</f>
        <v>6.2175983286287275</v>
      </c>
      <c r="BW11" s="73">
        <f>BV11/($D$4/$D$2)</f>
        <v>11.746368022095368</v>
      </c>
      <c r="BX11" s="73">
        <f>BV11/Z25</f>
        <v>2.3757043240110378E-2</v>
      </c>
      <c r="BY11" s="73">
        <f>BW11/Z25</f>
        <v>4.4882116577111705E-2</v>
      </c>
      <c r="BZ11" s="72">
        <f>J30</f>
        <v>6.9346073512589115</v>
      </c>
      <c r="CA11" s="73">
        <f>BZ11/($D$4/$D$2)</f>
        <v>13.100950838453425</v>
      </c>
      <c r="CB11" s="73">
        <f>BZ11/Z25</f>
        <v>2.6496688590911182E-2</v>
      </c>
      <c r="CC11" s="73">
        <f>CA11/Z25</f>
        <v>5.0057890379088116E-2</v>
      </c>
      <c r="CD11" s="13"/>
      <c r="CE11" s="97">
        <f>B11</f>
        <v>90.75</v>
      </c>
      <c r="CF11" s="13">
        <f>Z11</f>
        <v>16.6069</v>
      </c>
      <c r="CG11" s="40">
        <f>((CE11/18)*CF11)/22.5</f>
        <v>3.7211757407407409</v>
      </c>
      <c r="CH11" s="40"/>
      <c r="CI11" s="40">
        <f>X28</f>
        <v>0</v>
      </c>
      <c r="CJ11" s="40">
        <f>X29</f>
        <v>0</v>
      </c>
      <c r="CK11" s="40">
        <f>X30</f>
        <v>0</v>
      </c>
      <c r="CL11" s="40">
        <f>X31</f>
        <v>0</v>
      </c>
      <c r="CM11" s="40">
        <f>X32</f>
        <v>0</v>
      </c>
      <c r="CN11" s="40">
        <f>X33</f>
        <v>0</v>
      </c>
      <c r="CO11" s="13" t="e">
        <f>X11</f>
        <v>#DIV/0!</v>
      </c>
      <c r="CP11" s="13" t="e">
        <f>X18</f>
        <v>#DIV/0!</v>
      </c>
      <c r="CQ11" s="13" t="e">
        <f>X25</f>
        <v>#DIV/0!</v>
      </c>
      <c r="CR11" s="13"/>
      <c r="CS11" s="13"/>
      <c r="CT11" s="13"/>
      <c r="CU11" s="13"/>
    </row>
    <row r="12" spans="1:99" ht="14.1" customHeight="1" thickBot="1">
      <c r="B12" s="98"/>
      <c r="C12" s="65"/>
      <c r="D12" s="99"/>
      <c r="E12" s="13"/>
      <c r="F12" s="13"/>
      <c r="G12" s="13"/>
      <c r="H12" s="13"/>
      <c r="I12" s="13"/>
      <c r="J12" s="6" t="s">
        <v>108</v>
      </c>
      <c r="K12" s="13"/>
      <c r="L12" s="13"/>
      <c r="M12" s="12" t="s">
        <v>39</v>
      </c>
      <c r="N12" s="13"/>
      <c r="O12" s="13"/>
      <c r="P12" s="13"/>
      <c r="Q12" s="30"/>
      <c r="R12" s="30"/>
      <c r="U12" s="14">
        <v>410.56</v>
      </c>
      <c r="V12" s="15"/>
      <c r="W12" s="15"/>
      <c r="Y12" s="70"/>
      <c r="Z12" s="96"/>
      <c r="AA12" s="30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30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40"/>
      <c r="CG12" s="40"/>
      <c r="CH12" s="40"/>
      <c r="CI12" s="40"/>
      <c r="CJ12" s="40"/>
      <c r="CK12" s="40"/>
      <c r="CL12" s="40"/>
      <c r="CM12" s="40"/>
      <c r="CN12" s="40"/>
    </row>
    <row r="13" spans="1:99" ht="14.1" customHeight="1" thickBot="1">
      <c r="B13" s="98"/>
      <c r="C13" s="65"/>
      <c r="D13" s="99"/>
      <c r="E13" s="13"/>
      <c r="F13" s="13"/>
      <c r="G13" s="13"/>
      <c r="H13" s="13"/>
      <c r="I13" s="13"/>
      <c r="J13" s="6"/>
      <c r="K13" s="13"/>
      <c r="L13" s="13"/>
      <c r="M13" s="100" t="s">
        <v>32</v>
      </c>
      <c r="N13" s="101"/>
      <c r="O13" s="101"/>
      <c r="P13" s="101"/>
      <c r="Q13" s="30"/>
      <c r="R13" s="102" t="s">
        <v>25</v>
      </c>
      <c r="S13" s="103" t="s">
        <v>109</v>
      </c>
      <c r="T13" s="13">
        <v>30</v>
      </c>
      <c r="U13" s="14">
        <v>474.99</v>
      </c>
      <c r="V13" s="15"/>
      <c r="W13" s="15"/>
      <c r="X13" s="69"/>
      <c r="Y13" s="30">
        <v>90</v>
      </c>
      <c r="Z13" s="71">
        <v>61.914999999999999</v>
      </c>
      <c r="AA13" s="40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19"/>
      <c r="AY13" s="74"/>
      <c r="AZ13" s="74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40"/>
      <c r="CG13" s="40"/>
      <c r="CH13" s="40"/>
      <c r="CI13" s="40"/>
      <c r="CJ13" s="40"/>
      <c r="CK13" s="40"/>
      <c r="CL13" s="40"/>
      <c r="CM13" s="40"/>
      <c r="CN13" s="40"/>
    </row>
    <row r="14" spans="1:99" ht="14.1" customHeight="1">
      <c r="A14" s="12">
        <v>90</v>
      </c>
      <c r="B14" s="75">
        <v>97</v>
      </c>
      <c r="C14" s="65"/>
      <c r="D14" s="104">
        <f>AVERAGE(U17:U18)</f>
        <v>434.565</v>
      </c>
      <c r="E14" s="78">
        <f>D14-$E$5</f>
        <v>402.04500000000002</v>
      </c>
      <c r="F14" s="78"/>
      <c r="G14" s="78">
        <f t="shared" ref="G14:G27" si="0">($E14*7.1425)</f>
        <v>2871.6064125000003</v>
      </c>
      <c r="H14" s="78">
        <f t="shared" ref="H14:H27" si="1">($G14/($B14*0.01))</f>
        <v>2960.4189819587632</v>
      </c>
      <c r="I14" s="33">
        <f>$C$15*A14+$C$16</f>
        <v>2966.1935196428581</v>
      </c>
      <c r="J14" s="105" t="s">
        <v>110</v>
      </c>
      <c r="K14" s="106" t="s">
        <v>111</v>
      </c>
      <c r="L14" s="13"/>
      <c r="M14" s="107">
        <f>(((S14/60)*$J$1)/$D$2)</f>
        <v>1.0073019350127785</v>
      </c>
      <c r="N14" s="101"/>
      <c r="O14" s="101"/>
      <c r="P14" s="101"/>
      <c r="Q14" s="30"/>
      <c r="R14" s="108">
        <v>90</v>
      </c>
      <c r="S14" s="109">
        <v>31</v>
      </c>
      <c r="U14" s="14">
        <v>475.34</v>
      </c>
      <c r="V14" s="15"/>
      <c r="W14" s="110"/>
      <c r="X14" s="69"/>
      <c r="Y14" s="30">
        <v>100</v>
      </c>
      <c r="Z14" s="71">
        <v>56.64</v>
      </c>
      <c r="AA14" s="40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19"/>
      <c r="AY14" s="74"/>
      <c r="AZ14" s="74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40"/>
      <c r="CG14" s="40"/>
      <c r="CH14" s="40"/>
      <c r="CI14" s="40"/>
      <c r="CJ14" s="40"/>
      <c r="CK14" s="40"/>
      <c r="CL14" s="40"/>
      <c r="CM14" s="40"/>
      <c r="CN14" s="40"/>
    </row>
    <row r="15" spans="1:99" s="115" customFormat="1" ht="14.1" customHeight="1">
      <c r="A15" s="12">
        <v>100</v>
      </c>
      <c r="B15" s="75">
        <v>92</v>
      </c>
      <c r="C15" s="65">
        <f>SLOPE(G15:G18,A15:A18)</f>
        <v>-15.816556071428582</v>
      </c>
      <c r="D15" s="104">
        <f>AVERAGE(U19:U20)</f>
        <v>419.07500000000005</v>
      </c>
      <c r="E15" s="66">
        <f>D15-$E$5</f>
        <v>386.55500000000006</v>
      </c>
      <c r="F15" s="111">
        <v>180</v>
      </c>
      <c r="G15" s="112">
        <f t="shared" si="0"/>
        <v>2760.9690875000006</v>
      </c>
      <c r="H15" s="78">
        <f t="shared" si="1"/>
        <v>3001.0533559782612</v>
      </c>
      <c r="I15" s="33">
        <f>$C$15*A15+$C$16</f>
        <v>2808.0279589285719</v>
      </c>
      <c r="J15" s="113">
        <f>((($N$2-(130*$D$2*(((B15+B14)*0.01)/2))*((I15-I14)/(A15-A14))))/((I15+I14)/2))/$D$2</f>
        <v>2.730179941039693</v>
      </c>
      <c r="K15" s="114">
        <f>$N$2/H15/$D$2</f>
        <v>1.9790610862521951</v>
      </c>
      <c r="L15" s="114">
        <f>J15/($D$4/$D$2)</f>
        <v>5.1578916261494401</v>
      </c>
      <c r="M15" s="107">
        <f>(((S15/60)*$J$1)/$D$2)</f>
        <v>1.0073019350127785</v>
      </c>
      <c r="N15" s="19">
        <f>K15-M15</f>
        <v>0.97175915123941659</v>
      </c>
      <c r="O15" s="74">
        <f>N15/($D$4/$D$2)</f>
        <v>1.8358600887321526</v>
      </c>
      <c r="P15" s="74"/>
      <c r="Q15" s="30"/>
      <c r="R15" s="108">
        <v>100</v>
      </c>
      <c r="S15" s="109">
        <v>31</v>
      </c>
      <c r="T15" s="13">
        <v>60</v>
      </c>
      <c r="U15" s="14">
        <v>428.27</v>
      </c>
      <c r="V15" s="15"/>
      <c r="W15" s="110"/>
      <c r="X15" s="69"/>
      <c r="Y15" s="30">
        <v>110</v>
      </c>
      <c r="Z15" s="71">
        <v>50.198999999999998</v>
      </c>
      <c r="AA15" s="40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19"/>
      <c r="AY15" s="74"/>
      <c r="AZ15" s="74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40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40"/>
      <c r="CH15" s="40"/>
      <c r="CI15" s="40"/>
      <c r="CJ15" s="40"/>
      <c r="CK15" s="40"/>
      <c r="CL15" s="40"/>
      <c r="CM15" s="40"/>
      <c r="CN15" s="40"/>
      <c r="CO15" s="13"/>
      <c r="CP15" s="13"/>
      <c r="CQ15" s="13"/>
      <c r="CR15" s="13"/>
      <c r="CS15" s="13"/>
      <c r="CT15" s="13"/>
      <c r="CU15" s="13"/>
    </row>
    <row r="16" spans="1:99" ht="14.1" customHeight="1">
      <c r="A16" s="12">
        <v>110</v>
      </c>
      <c r="B16" s="75">
        <v>94</v>
      </c>
      <c r="C16" s="65">
        <f>INTERCEPT(G15:G18,A15:A18)</f>
        <v>4389.6835660714305</v>
      </c>
      <c r="D16" s="104">
        <f>AVERAGE(U21:U22)</f>
        <v>418.77</v>
      </c>
      <c r="E16" s="66">
        <f>D16-$E$5</f>
        <v>386.25</v>
      </c>
      <c r="F16" s="116">
        <v>210</v>
      </c>
      <c r="G16" s="66">
        <f t="shared" si="0"/>
        <v>2758.7906250000001</v>
      </c>
      <c r="H16" s="78">
        <f t="shared" si="1"/>
        <v>2934.8836436170213</v>
      </c>
      <c r="I16" s="33">
        <f>$C$15*A16+$C$16</f>
        <v>2649.8623982142863</v>
      </c>
      <c r="J16" s="113">
        <f>((($N$2-(130*$D$2*(((B16+B15)*0.01)/2))*((I16-I15)/(A16-A15))))/((I16+I15)/2))/$D$2</f>
        <v>2.8771151598321993</v>
      </c>
      <c r="K16" s="67">
        <f>$N$2/H16/$D$2</f>
        <v>2.0236808799899939</v>
      </c>
      <c r="L16" s="67">
        <f>J16/($D$4/$D$2)</f>
        <v>5.4354835618325117</v>
      </c>
      <c r="M16" s="107">
        <f>(((S16/60)*$J$1)/$D$2)</f>
        <v>2.9894121942314715</v>
      </c>
      <c r="N16" s="19">
        <f>K16-M16</f>
        <v>-0.96573131424147762</v>
      </c>
      <c r="O16" s="67">
        <f>N16/($D$4/$D$2)</f>
        <v>-1.8244722202960437</v>
      </c>
      <c r="P16" s="67"/>
      <c r="Q16" s="30"/>
      <c r="R16" s="108">
        <v>110</v>
      </c>
      <c r="S16" s="109">
        <v>92</v>
      </c>
      <c r="U16" s="14">
        <v>410.05</v>
      </c>
      <c r="V16" s="15"/>
      <c r="W16" s="110"/>
      <c r="X16" s="69"/>
      <c r="Y16" s="30">
        <v>115</v>
      </c>
      <c r="Z16" s="71">
        <v>57.384999999999998</v>
      </c>
      <c r="AA16" s="40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19"/>
      <c r="AY16" s="74"/>
      <c r="AZ16" s="74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40"/>
    </row>
    <row r="17" spans="1:67" ht="14.1" customHeight="1">
      <c r="A17" s="12">
        <v>115</v>
      </c>
      <c r="B17" s="75">
        <v>101</v>
      </c>
      <c r="C17" s="65"/>
      <c r="D17" s="104">
        <f>AVERAGE(U23:U24)</f>
        <v>388.3</v>
      </c>
      <c r="E17" s="66">
        <f>D17-$E$5</f>
        <v>355.78000000000003</v>
      </c>
      <c r="F17" s="116">
        <v>220</v>
      </c>
      <c r="G17" s="66">
        <f t="shared" si="0"/>
        <v>2541.1586500000003</v>
      </c>
      <c r="H17" s="78">
        <f t="shared" si="1"/>
        <v>2515.998663366337</v>
      </c>
      <c r="I17" s="33">
        <f>$C$15*A17+$C$16</f>
        <v>2570.7796178571434</v>
      </c>
      <c r="J17" s="113">
        <f>((($N$2-(130*$D$2*(((B17+B16)*0.01)/2))*((I17-I16)/(A17-A16))))/((I17+I16)/2))/$D$2</f>
        <v>3.0433101416191843</v>
      </c>
      <c r="K17" s="67">
        <f>$N$2/H17/$D$2</f>
        <v>2.36060058419767</v>
      </c>
      <c r="L17" s="67">
        <f>J17/($D$4/$D$2)</f>
        <v>5.7494612934763492</v>
      </c>
      <c r="M17" s="107">
        <f>(((S17/60)*$J$1)/$D$2)</f>
        <v>2.9894121942314715</v>
      </c>
      <c r="N17" s="19">
        <f>K17-M17</f>
        <v>-0.62881161003380148</v>
      </c>
      <c r="O17" s="67">
        <f>N17/($D$4/$D$2)</f>
        <v>-1.1879591118026378</v>
      </c>
      <c r="P17" s="67"/>
      <c r="Q17" s="30"/>
      <c r="R17" s="108">
        <v>115</v>
      </c>
      <c r="S17" s="117">
        <v>92</v>
      </c>
      <c r="T17" s="40">
        <v>90</v>
      </c>
      <c r="U17" s="14">
        <v>439.74</v>
      </c>
      <c r="V17" s="15"/>
      <c r="W17" s="110"/>
      <c r="X17" s="69"/>
      <c r="Y17" s="30">
        <v>120</v>
      </c>
      <c r="Z17" s="71">
        <v>75.965000000000003</v>
      </c>
      <c r="AA17" s="40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19"/>
      <c r="AY17" s="74"/>
      <c r="AZ17" s="74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40"/>
    </row>
    <row r="18" spans="1:67" ht="14.1" customHeight="1">
      <c r="A18" s="12">
        <v>120</v>
      </c>
      <c r="B18" s="118">
        <v>107</v>
      </c>
      <c r="C18" s="65"/>
      <c r="D18" s="104">
        <f>AVERAGE(U25:U26)</f>
        <v>376.86</v>
      </c>
      <c r="E18" s="66">
        <f>D18-$E$5</f>
        <v>344.34000000000003</v>
      </c>
      <c r="F18" s="116">
        <v>225</v>
      </c>
      <c r="G18" s="66">
        <f t="shared" si="0"/>
        <v>2459.4484500000003</v>
      </c>
      <c r="H18" s="78">
        <f t="shared" si="1"/>
        <v>2298.5499532710282</v>
      </c>
      <c r="I18" s="33">
        <f>$C$15*A18+$C$16</f>
        <v>2491.6968375000006</v>
      </c>
      <c r="J18" s="113">
        <f>((($N$2-(130*$D$2*(((B18+B17)*0.01)/2))*((I18-I17)/(A18-A17))))/((I18+I17)/2))/$D$2</f>
        <v>3.1911916496490322</v>
      </c>
      <c r="K18" s="67">
        <f>$N$2/H18/$D$2</f>
        <v>2.5839194428344094</v>
      </c>
      <c r="L18" s="67">
        <f>J18/($D$4/$D$2)</f>
        <v>6.0288409711539437</v>
      </c>
      <c r="M18" s="107">
        <f>(((S18/60)*$J$1)/$D$2)</f>
        <v>2.9894121942314715</v>
      </c>
      <c r="N18" s="19">
        <f>K18-M18</f>
        <v>-0.40549275139706209</v>
      </c>
      <c r="O18" s="67">
        <f>N18/($D$4/$D$2)</f>
        <v>-0.76606220544523285</v>
      </c>
      <c r="P18" s="67"/>
      <c r="Q18" s="30"/>
      <c r="R18" s="108">
        <v>120</v>
      </c>
      <c r="S18" s="117">
        <v>92</v>
      </c>
      <c r="T18" s="30"/>
      <c r="U18" s="14">
        <v>429.39</v>
      </c>
      <c r="V18" s="15"/>
      <c r="W18" s="110"/>
      <c r="X18" s="96" t="e">
        <f>AVERAGE(X13:X17)</f>
        <v>#DIV/0!</v>
      </c>
      <c r="Y18" s="30" t="s">
        <v>107</v>
      </c>
      <c r="Z18" s="96">
        <f>AVERAGE(Z13:Z17)</f>
        <v>60.420800000000007</v>
      </c>
      <c r="AA18" s="30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5"/>
      <c r="AY18" s="95"/>
      <c r="AZ18" s="95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2"/>
      <c r="BO18" s="40"/>
    </row>
    <row r="19" spans="1:67" ht="14.1" customHeight="1" thickBot="1">
      <c r="A19" s="63"/>
      <c r="B19" s="98"/>
      <c r="C19" s="65"/>
      <c r="D19" s="99"/>
      <c r="E19" s="66"/>
      <c r="F19" s="63"/>
      <c r="G19" s="66"/>
      <c r="H19" s="66"/>
      <c r="I19" s="33"/>
      <c r="J19" s="113"/>
      <c r="K19" s="67"/>
      <c r="L19" s="67"/>
      <c r="M19" s="107"/>
      <c r="O19" s="67"/>
      <c r="P19" s="67"/>
      <c r="Q19" s="30"/>
      <c r="R19" s="108"/>
      <c r="S19" s="117"/>
      <c r="T19" s="41">
        <v>100</v>
      </c>
      <c r="U19" s="14">
        <v>423.23</v>
      </c>
      <c r="V19" s="15"/>
      <c r="W19" s="110"/>
      <c r="Y19" s="30"/>
      <c r="Z19" s="96"/>
      <c r="AA19" s="30"/>
      <c r="AB19" s="96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30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40"/>
    </row>
    <row r="20" spans="1:67" ht="14.1" customHeight="1" thickBot="1">
      <c r="A20" s="119" t="s">
        <v>112</v>
      </c>
      <c r="B20" s="120">
        <f>AVERAGE(B14:B19)</f>
        <v>98.2</v>
      </c>
      <c r="C20" s="121"/>
      <c r="D20" s="122">
        <f>AVERAGE(D14:D18)</f>
        <v>407.51400000000001</v>
      </c>
      <c r="E20" s="122">
        <f>AVERAGE(E14:E18)</f>
        <v>374.99400000000003</v>
      </c>
      <c r="F20" s="122"/>
      <c r="G20" s="122">
        <f>AVERAGE(G14:G18)</f>
        <v>2678.3946450000003</v>
      </c>
      <c r="H20" s="122">
        <f>AVERAGE(H14:H18)</f>
        <v>2742.1809196382828</v>
      </c>
      <c r="I20" s="122"/>
      <c r="J20" s="122">
        <f t="shared" ref="J20:O20" si="2">AVERAGE(J14:J18)</f>
        <v>2.9604492230350274</v>
      </c>
      <c r="K20" s="123">
        <f t="shared" si="2"/>
        <v>2.2368154983185669</v>
      </c>
      <c r="L20" s="122">
        <f t="shared" si="2"/>
        <v>5.5929193631530607</v>
      </c>
      <c r="M20" s="122">
        <f t="shared" si="2"/>
        <v>2.1965680905439942</v>
      </c>
      <c r="N20" s="123">
        <f t="shared" si="2"/>
        <v>-0.25706913110823115</v>
      </c>
      <c r="O20" s="122">
        <f t="shared" si="2"/>
        <v>-0.48565836220294045</v>
      </c>
      <c r="P20" s="124"/>
      <c r="Q20" s="30"/>
      <c r="R20" s="108"/>
      <c r="S20" s="117"/>
      <c r="T20" s="41"/>
      <c r="U20" s="14">
        <v>414.92</v>
      </c>
      <c r="V20" s="15"/>
      <c r="W20" s="110"/>
      <c r="X20" s="69"/>
      <c r="Y20" s="70">
        <v>210</v>
      </c>
      <c r="Z20" s="71">
        <v>281.69</v>
      </c>
      <c r="AA20" s="40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4"/>
      <c r="AY20" s="74"/>
      <c r="AZ20" s="74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40"/>
    </row>
    <row r="21" spans="1:67" ht="14.1" customHeight="1" thickBot="1">
      <c r="A21" s="70"/>
      <c r="B21" s="118"/>
      <c r="C21" s="36"/>
      <c r="D21" s="99"/>
      <c r="E21" s="33"/>
      <c r="F21" s="125" t="s">
        <v>113</v>
      </c>
      <c r="G21" s="33"/>
      <c r="H21" s="33"/>
      <c r="I21" s="126" t="s">
        <v>114</v>
      </c>
      <c r="J21" s="127">
        <f>J20-((B18-B15)*0.25*$D$2*10)/(30*$D$2)</f>
        <v>1.7104492230350274</v>
      </c>
      <c r="K21" s="74"/>
      <c r="L21" s="128" t="s">
        <v>33</v>
      </c>
      <c r="M21" s="129">
        <f>J21-M20</f>
        <v>-0.48611886750896671</v>
      </c>
      <c r="N21" s="19"/>
      <c r="O21" s="74"/>
      <c r="P21" s="130">
        <f>$M$20-(((B18-B14)*1.3)/(A18-A14))</f>
        <v>1.7632347572106608</v>
      </c>
      <c r="Q21" s="30"/>
      <c r="R21" s="131"/>
      <c r="S21" s="117"/>
      <c r="T21" s="41">
        <v>110</v>
      </c>
      <c r="U21" s="14">
        <v>418.81</v>
      </c>
      <c r="V21" s="15"/>
      <c r="W21" s="110"/>
      <c r="X21" s="69"/>
      <c r="Y21" s="70">
        <v>220</v>
      </c>
      <c r="Z21" s="71">
        <v>236.86</v>
      </c>
      <c r="AA21" s="40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4"/>
      <c r="AY21" s="74"/>
      <c r="AZ21" s="74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40"/>
    </row>
    <row r="22" spans="1:67" ht="14.1" customHeight="1" thickBot="1">
      <c r="A22" s="63"/>
      <c r="B22" s="98"/>
      <c r="C22" s="65"/>
      <c r="D22" s="99"/>
      <c r="E22" s="66"/>
      <c r="F22" s="63"/>
      <c r="G22" s="66"/>
      <c r="H22" s="66"/>
      <c r="I22" s="33"/>
      <c r="J22" s="132"/>
      <c r="K22" s="67"/>
      <c r="L22" s="133"/>
      <c r="M22" s="134"/>
      <c r="N22" s="101"/>
      <c r="O22" s="133"/>
      <c r="P22" s="133"/>
      <c r="Q22" s="30"/>
      <c r="R22" s="102" t="s">
        <v>25</v>
      </c>
      <c r="S22" s="103" t="s">
        <v>109</v>
      </c>
      <c r="T22" s="30"/>
      <c r="U22" s="14">
        <v>418.73</v>
      </c>
      <c r="V22" s="15"/>
      <c r="W22" s="110"/>
      <c r="X22" s="69"/>
      <c r="Y22" s="70">
        <v>230</v>
      </c>
      <c r="Z22" s="71">
        <v>281.87</v>
      </c>
      <c r="AA22" s="40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4"/>
      <c r="AY22" s="74"/>
      <c r="AZ22" s="74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40"/>
    </row>
    <row r="23" spans="1:67" ht="14.1" customHeight="1">
      <c r="A23" s="63">
        <v>210</v>
      </c>
      <c r="B23" s="75">
        <v>101</v>
      </c>
      <c r="C23" s="65"/>
      <c r="D23" s="104">
        <f>AVERAGE(U31:U32)</f>
        <v>171.56</v>
      </c>
      <c r="E23" s="78">
        <f>D23-$E$5</f>
        <v>139.04000000000002</v>
      </c>
      <c r="F23" s="78"/>
      <c r="G23" s="78">
        <f t="shared" si="0"/>
        <v>993.09320000000014</v>
      </c>
      <c r="H23" s="78">
        <f t="shared" si="1"/>
        <v>983.26059405940612</v>
      </c>
      <c r="I23" s="33">
        <f>$C$24*A23+$C$25</f>
        <v>1164.7999203571428</v>
      </c>
      <c r="J23" s="105" t="s">
        <v>110</v>
      </c>
      <c r="K23" s="106" t="s">
        <v>111</v>
      </c>
      <c r="L23" s="67"/>
      <c r="M23" s="19">
        <f>(((S23/60)*$J$1)/$D$2)</f>
        <v>6.0113179992698074</v>
      </c>
      <c r="N23" s="101"/>
      <c r="O23" s="133"/>
      <c r="P23" s="133"/>
      <c r="Q23" s="30"/>
      <c r="R23" s="131">
        <v>210</v>
      </c>
      <c r="S23" s="117">
        <v>185</v>
      </c>
      <c r="T23" s="13">
        <v>115</v>
      </c>
      <c r="U23" s="14">
        <v>396.04</v>
      </c>
      <c r="V23" s="15"/>
      <c r="W23" s="110"/>
      <c r="X23" s="69"/>
      <c r="Y23" s="70">
        <v>235</v>
      </c>
      <c r="Z23" s="71">
        <v>252.26</v>
      </c>
      <c r="AA23" s="40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4"/>
      <c r="AY23" s="74"/>
      <c r="AZ23" s="74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40"/>
    </row>
    <row r="24" spans="1:67" ht="14.1" customHeight="1">
      <c r="A24" s="63">
        <v>220</v>
      </c>
      <c r="B24" s="75">
        <v>100</v>
      </c>
      <c r="C24" s="65">
        <f>SLOPE(G24:G27,A24:A27)</f>
        <v>-9.3121874285714288</v>
      </c>
      <c r="D24" s="104">
        <f>AVERAGE(U33:U34)</f>
        <v>178.41500000000002</v>
      </c>
      <c r="E24" s="66">
        <f>D24-$E$5</f>
        <v>145.89500000000004</v>
      </c>
      <c r="F24" s="111">
        <v>180</v>
      </c>
      <c r="G24" s="112">
        <f t="shared" si="0"/>
        <v>1042.0550375000003</v>
      </c>
      <c r="H24" s="112">
        <f t="shared" si="1"/>
        <v>1042.0550375000003</v>
      </c>
      <c r="I24" s="33">
        <f>$C$24*A24+$C$25</f>
        <v>1071.6780460714285</v>
      </c>
      <c r="J24" s="113">
        <f>((($N$2-(130*$D$2*(((B24+B23)*0.01)/2))*((I24-I23)/(A24-A23))))/((I24+I23)/2))/$D$2</f>
        <v>6.3992628673675185</v>
      </c>
      <c r="K24" s="114">
        <f>$N$2/H24/$D$2</f>
        <v>5.6995721923019174</v>
      </c>
      <c r="L24" s="114">
        <f>J24/($D$4/$D$2)</f>
        <v>12.089571042908819</v>
      </c>
      <c r="M24" s="107">
        <f>(((S24/60)*$J$1)/$D$2)</f>
        <v>6.0113179992698074</v>
      </c>
      <c r="N24" s="19">
        <f>K24-M24</f>
        <v>-0.31174580696789</v>
      </c>
      <c r="O24" s="74">
        <f>N24/($D$4/$D$2)</f>
        <v>-0.58895425282281866</v>
      </c>
      <c r="P24" s="74"/>
      <c r="Q24" s="30"/>
      <c r="R24" s="131">
        <v>220</v>
      </c>
      <c r="S24" s="117">
        <v>185</v>
      </c>
      <c r="U24" s="14">
        <v>380.56</v>
      </c>
      <c r="V24" s="15"/>
      <c r="W24" s="110"/>
      <c r="X24" s="69"/>
      <c r="Y24" s="70">
        <v>240</v>
      </c>
      <c r="Z24" s="71">
        <v>255.9</v>
      </c>
      <c r="AA24" s="40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4"/>
      <c r="AY24" s="74"/>
      <c r="AZ24" s="74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40"/>
    </row>
    <row r="25" spans="1:67" ht="14.1" customHeight="1">
      <c r="A25" s="63">
        <v>230</v>
      </c>
      <c r="B25" s="75">
        <v>102</v>
      </c>
      <c r="C25" s="65">
        <f>INTERCEPT(G24:G27,A24:A27)</f>
        <v>3120.3592803571428</v>
      </c>
      <c r="D25" s="104">
        <f>AVERAGE(U35:U36)</f>
        <v>176.39500000000001</v>
      </c>
      <c r="E25" s="66">
        <f>D25-$E$5</f>
        <v>143.875</v>
      </c>
      <c r="F25" s="111">
        <v>180</v>
      </c>
      <c r="G25" s="112">
        <f t="shared" si="0"/>
        <v>1027.6271875</v>
      </c>
      <c r="H25" s="112">
        <f t="shared" si="1"/>
        <v>1007.4776348039215</v>
      </c>
      <c r="I25" s="33">
        <f>$C$24*A25+$C$25</f>
        <v>978.55617178571401</v>
      </c>
      <c r="J25" s="113">
        <f>((($N$2-(130*$D$2*(((B25+B24)*0.01)/2))*((I25-I24)/(A25-A24))))/((I25+I24)/2))/$D$2</f>
        <v>6.9864779951239697</v>
      </c>
      <c r="K25" s="114">
        <f>$N$2/H25/$D$2</f>
        <v>5.8951858675642477</v>
      </c>
      <c r="L25" s="114">
        <f>J25/($D$4/$D$2)</f>
        <v>13.198945536756232</v>
      </c>
      <c r="M25" s="107">
        <f>(((S25/60)*$J$1)/$D$2)</f>
        <v>6.0113179992698074</v>
      </c>
      <c r="N25" s="19">
        <f>K25-M25</f>
        <v>-0.11613213170555969</v>
      </c>
      <c r="O25" s="114">
        <f>N25/($D$4/$D$2)</f>
        <v>-0.21939834098366545</v>
      </c>
      <c r="P25" s="74"/>
      <c r="Q25" s="30"/>
      <c r="R25" s="131">
        <v>230</v>
      </c>
      <c r="S25" s="117">
        <v>185</v>
      </c>
      <c r="T25" s="13">
        <v>120</v>
      </c>
      <c r="U25" s="14">
        <v>362.14</v>
      </c>
      <c r="V25" s="15"/>
      <c r="W25" s="110"/>
      <c r="X25" s="96" t="e">
        <f>AVERAGE(X20:X24)</f>
        <v>#DIV/0!</v>
      </c>
      <c r="Y25" s="57" t="s">
        <v>107</v>
      </c>
      <c r="Z25" s="96">
        <f>AVERAGE(Z20:Z24)</f>
        <v>261.71600000000001</v>
      </c>
      <c r="AA25" s="30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5"/>
      <c r="AY25" s="95"/>
      <c r="AZ25" s="95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40"/>
    </row>
    <row r="26" spans="1:67" ht="14.1" customHeight="1">
      <c r="A26" s="63">
        <v>235</v>
      </c>
      <c r="B26" s="75">
        <v>98</v>
      </c>
      <c r="C26" s="65"/>
      <c r="D26" s="104">
        <f>AVERAGE(U37:U38)</f>
        <v>165.85500000000002</v>
      </c>
      <c r="E26" s="66">
        <f>D26-$E$5</f>
        <v>133.33500000000004</v>
      </c>
      <c r="F26" s="111">
        <v>180</v>
      </c>
      <c r="G26" s="112">
        <f t="shared" si="0"/>
        <v>952.34523750000028</v>
      </c>
      <c r="H26" s="112">
        <f t="shared" si="1"/>
        <v>971.78085459183706</v>
      </c>
      <c r="I26" s="33">
        <f>$C$24*A26+$C$25</f>
        <v>931.99523464285721</v>
      </c>
      <c r="J26" s="113">
        <f>((($N$2-(130*$D$2*(((B26+B25)*0.01)/2))*((I26-I25)/(A26-A25))))/((I26+I25)/2))/$D$2</f>
        <v>7.4845955531369457</v>
      </c>
      <c r="K26" s="114">
        <f>$N$2/H26/$D$2</f>
        <v>6.1117358780213022</v>
      </c>
      <c r="L26" s="114">
        <f>J26/($D$4/$D$2)</f>
        <v>14.139995737401518</v>
      </c>
      <c r="M26" s="107">
        <f>(((S26/60)*$J$1)/$D$2)</f>
        <v>6.0113179992698074</v>
      </c>
      <c r="N26" s="19">
        <f>K26-M26</f>
        <v>0.10041787875149488</v>
      </c>
      <c r="O26" s="114">
        <f>N26/($D$4/$D$2)</f>
        <v>0.18971076892857994</v>
      </c>
      <c r="P26" s="74"/>
      <c r="Q26" s="30"/>
      <c r="R26" s="131">
        <v>235</v>
      </c>
      <c r="S26" s="117">
        <v>185</v>
      </c>
      <c r="U26" s="14">
        <v>391.58</v>
      </c>
      <c r="V26" s="15"/>
      <c r="W26" s="11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</row>
    <row r="27" spans="1:67" ht="14.1" customHeight="1">
      <c r="A27" s="63">
        <v>240</v>
      </c>
      <c r="B27" s="118">
        <v>102</v>
      </c>
      <c r="C27" s="65"/>
      <c r="D27" s="104">
        <f>AVERAGE(U39:U40)</f>
        <v>150.91500000000002</v>
      </c>
      <c r="E27" s="66">
        <f>D27-$E$5</f>
        <v>118.39500000000002</v>
      </c>
      <c r="F27" s="111">
        <v>180</v>
      </c>
      <c r="G27" s="112">
        <f t="shared" si="0"/>
        <v>845.63628750000021</v>
      </c>
      <c r="H27" s="112">
        <f t="shared" si="1"/>
        <v>829.05518382352955</v>
      </c>
      <c r="I27" s="33">
        <f>$C$24*A27+$C$25</f>
        <v>885.43429749999996</v>
      </c>
      <c r="J27" s="113">
        <f>((($N$2-(130*$D$2*(((B27+B26)*0.01)/2))*((I27-I26)/(A27-A26))))/((I27+I26)/2))/$D$2</f>
        <v>7.868092989407212</v>
      </c>
      <c r="K27" s="114">
        <f>$N$2/H27/$D$2</f>
        <v>7.1638993766274419</v>
      </c>
      <c r="L27" s="114">
        <f>J27/($D$4/$D$2)</f>
        <v>14.864504106045864</v>
      </c>
      <c r="M27" s="107">
        <f>(((S27/60)*$J$1)/$D$2)</f>
        <v>6.0113179992698074</v>
      </c>
      <c r="N27" s="19">
        <f>K27-M27</f>
        <v>1.1525813773576346</v>
      </c>
      <c r="O27" s="114">
        <f>N27/($D$4/$D$2)</f>
        <v>2.1774718015343812</v>
      </c>
      <c r="P27" s="74"/>
      <c r="Q27" s="30"/>
      <c r="R27" s="131">
        <v>240</v>
      </c>
      <c r="S27" s="117">
        <v>185</v>
      </c>
      <c r="T27" s="13">
        <v>150</v>
      </c>
      <c r="U27" s="14">
        <v>255.54</v>
      </c>
      <c r="V27" s="15"/>
      <c r="W27" s="11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</row>
    <row r="28" spans="1:67" ht="14.1" customHeight="1" thickBot="1">
      <c r="A28" s="63"/>
      <c r="B28" s="118"/>
      <c r="C28" s="65"/>
      <c r="D28" s="99"/>
      <c r="E28" s="66"/>
      <c r="F28" s="135"/>
      <c r="G28" s="112"/>
      <c r="H28" s="112"/>
      <c r="I28" s="33"/>
      <c r="J28" s="113"/>
      <c r="K28" s="114"/>
      <c r="L28" s="114"/>
      <c r="M28" s="107"/>
      <c r="N28" s="107"/>
      <c r="O28" s="114"/>
      <c r="P28" s="74"/>
      <c r="Q28" s="30"/>
      <c r="R28" s="108"/>
      <c r="S28" s="117"/>
      <c r="U28" s="14">
        <v>270.44</v>
      </c>
      <c r="V28" s="15"/>
      <c r="W28" s="110"/>
      <c r="X28" s="69"/>
      <c r="Y28" s="13" t="s">
        <v>115</v>
      </c>
    </row>
    <row r="29" spans="1:67" ht="14.1" customHeight="1" thickBot="1">
      <c r="A29" s="119" t="s">
        <v>112</v>
      </c>
      <c r="B29" s="122">
        <f>AVERAGE(B23:B28)</f>
        <v>100.6</v>
      </c>
      <c r="C29" s="121"/>
      <c r="D29" s="122">
        <f>AVERAGE(D23:D28)</f>
        <v>168.62800000000001</v>
      </c>
      <c r="E29" s="122">
        <f>AVERAGE(E23:E28)</f>
        <v>136.108</v>
      </c>
      <c r="F29" s="122">
        <f>AVERAGE(F24:F28)</f>
        <v>180</v>
      </c>
      <c r="G29" s="122">
        <f>AVERAGE(G23:G28)</f>
        <v>972.15139000000022</v>
      </c>
      <c r="H29" s="122">
        <f>AVERAGE(H23:H28)</f>
        <v>966.72586095573899</v>
      </c>
      <c r="I29" s="122"/>
      <c r="J29" s="122">
        <f t="shared" ref="J29:O29" si="3">AVERAGE(J23:J28)</f>
        <v>7.1846073512589115</v>
      </c>
      <c r="K29" s="123">
        <f t="shared" si="3"/>
        <v>6.2175983286287275</v>
      </c>
      <c r="L29" s="122">
        <f t="shared" si="3"/>
        <v>13.573254105778108</v>
      </c>
      <c r="M29" s="122">
        <f t="shared" si="3"/>
        <v>6.0113179992698074</v>
      </c>
      <c r="N29" s="123">
        <f t="shared" si="3"/>
        <v>0.20628032935891993</v>
      </c>
      <c r="O29" s="122">
        <f t="shared" si="3"/>
        <v>0.38970749416411926</v>
      </c>
      <c r="P29" s="122"/>
      <c r="Q29" s="136"/>
      <c r="R29" s="137"/>
      <c r="S29" s="138"/>
      <c r="T29" s="13">
        <v>180</v>
      </c>
      <c r="U29" s="14">
        <v>227.82</v>
      </c>
      <c r="V29" s="15"/>
      <c r="W29" s="110"/>
      <c r="X29" s="69"/>
      <c r="Y29" s="13" t="s">
        <v>116</v>
      </c>
    </row>
    <row r="30" spans="1:67" ht="14.1" customHeight="1">
      <c r="A30" s="70"/>
      <c r="B30" s="139"/>
      <c r="C30" s="36"/>
      <c r="D30" s="99"/>
      <c r="E30" s="33"/>
      <c r="F30" s="125" t="s">
        <v>117</v>
      </c>
      <c r="G30" s="33"/>
      <c r="H30" s="33"/>
      <c r="I30" s="140" t="s">
        <v>114</v>
      </c>
      <c r="J30" s="141">
        <f>J29-((B27-B24)*0.25*$D$2*10)/(20*$D$2)</f>
        <v>6.9346073512589115</v>
      </c>
      <c r="K30" s="74"/>
      <c r="L30" s="142" t="s">
        <v>33</v>
      </c>
      <c r="M30" s="143">
        <f>J30-M29</f>
        <v>0.92328935198910411</v>
      </c>
      <c r="N30" s="19">
        <f>AVERAGE(J24:J25)-M29</f>
        <v>0.68155243197593673</v>
      </c>
      <c r="O30" s="74"/>
      <c r="P30" s="130">
        <f>$M$29-(((B27-B23)*1.3)/(A27-A23))</f>
        <v>5.9679846659364744</v>
      </c>
      <c r="Q30" s="30"/>
      <c r="R30" s="63"/>
      <c r="S30" s="144"/>
      <c r="U30" s="14">
        <v>199.01</v>
      </c>
      <c r="V30" s="15"/>
      <c r="W30" s="110"/>
      <c r="X30" s="69"/>
      <c r="Y30" s="13" t="s">
        <v>118</v>
      </c>
    </row>
    <row r="31" spans="1:67" ht="14.1" customHeight="1">
      <c r="A31" s="145"/>
      <c r="B31" s="139"/>
      <c r="C31" s="146"/>
      <c r="D31" s="147"/>
      <c r="E31" s="148"/>
      <c r="F31" s="145"/>
      <c r="G31" s="148"/>
      <c r="H31" s="148"/>
      <c r="I31" s="148"/>
      <c r="J31" s="149"/>
      <c r="K31" s="150"/>
      <c r="L31" s="133"/>
      <c r="M31" s="134"/>
      <c r="N31" s="101"/>
      <c r="O31" s="150"/>
      <c r="P31" s="150"/>
      <c r="Q31" s="96"/>
      <c r="R31" s="151"/>
      <c r="S31" s="101" t="s">
        <v>32</v>
      </c>
      <c r="T31" s="13">
        <v>210</v>
      </c>
      <c r="U31" s="14">
        <v>174.01</v>
      </c>
      <c r="V31" s="15"/>
      <c r="W31" s="110"/>
      <c r="X31" s="69"/>
      <c r="Y31" s="13" t="s">
        <v>119</v>
      </c>
    </row>
    <row r="32" spans="1:67" ht="14.1" customHeight="1">
      <c r="A32" s="145"/>
      <c r="B32" s="148"/>
      <c r="C32" s="146"/>
      <c r="D32" s="147"/>
      <c r="E32" s="148"/>
      <c r="F32" s="148"/>
      <c r="G32" s="148"/>
      <c r="H32" s="148"/>
      <c r="I32" s="148"/>
      <c r="J32" s="152"/>
      <c r="K32" s="153"/>
      <c r="L32" s="58"/>
      <c r="M32" s="124"/>
      <c r="N32" s="101"/>
      <c r="O32" s="150"/>
      <c r="P32" s="150"/>
      <c r="Q32" s="96"/>
      <c r="R32" s="145"/>
      <c r="S32" s="58"/>
      <c r="U32" s="14">
        <v>169.11</v>
      </c>
      <c r="V32" s="15"/>
      <c r="W32" s="110"/>
      <c r="X32" s="69"/>
      <c r="Y32" s="13" t="s">
        <v>120</v>
      </c>
    </row>
    <row r="33" spans="1:99" ht="14.1" customHeight="1">
      <c r="A33" s="145"/>
      <c r="B33" s="148"/>
      <c r="C33" s="146"/>
      <c r="D33" s="147"/>
      <c r="E33" s="148"/>
      <c r="F33" s="145"/>
      <c r="G33" s="148"/>
      <c r="H33" s="148"/>
      <c r="I33" s="148"/>
      <c r="J33" s="149"/>
      <c r="K33" s="150"/>
      <c r="L33" s="150"/>
      <c r="M33" s="124"/>
      <c r="N33" s="124"/>
      <c r="O33" s="150"/>
      <c r="P33" s="150"/>
      <c r="Q33" s="96"/>
      <c r="R33" s="145"/>
      <c r="S33" s="58"/>
      <c r="T33" s="13">
        <v>220</v>
      </c>
      <c r="U33" s="14">
        <v>183.22</v>
      </c>
      <c r="V33" s="15"/>
      <c r="W33" s="110"/>
      <c r="X33" s="69"/>
      <c r="Y33" s="20" t="s">
        <v>121</v>
      </c>
    </row>
    <row r="34" spans="1:99" ht="14.1" customHeight="1">
      <c r="A34" s="145"/>
      <c r="B34" s="148"/>
      <c r="C34" s="146"/>
      <c r="D34" s="147"/>
      <c r="E34" s="148"/>
      <c r="F34" s="145"/>
      <c r="G34" s="148"/>
      <c r="H34" s="148"/>
      <c r="I34" s="148"/>
      <c r="J34" s="149"/>
      <c r="K34" s="150"/>
      <c r="L34" s="150"/>
      <c r="M34" s="124"/>
      <c r="N34" s="124"/>
      <c r="O34" s="150"/>
      <c r="P34" s="150"/>
      <c r="Q34" s="96"/>
      <c r="R34" s="145"/>
      <c r="S34" s="58"/>
      <c r="U34" s="14">
        <v>173.61</v>
      </c>
      <c r="V34" s="15"/>
      <c r="W34" s="110"/>
    </row>
    <row r="35" spans="1:99" ht="14.1" customHeight="1">
      <c r="A35" s="145"/>
      <c r="B35" s="148"/>
      <c r="C35" s="146"/>
      <c r="D35" s="147"/>
      <c r="E35" s="148"/>
      <c r="F35" s="145"/>
      <c r="G35" s="148"/>
      <c r="H35" s="148"/>
      <c r="I35" s="148"/>
      <c r="J35" s="149"/>
      <c r="K35" s="150"/>
      <c r="L35" s="150"/>
      <c r="M35" s="124"/>
      <c r="N35" s="124"/>
      <c r="O35" s="150"/>
      <c r="P35" s="150"/>
      <c r="Q35" s="96"/>
      <c r="R35" s="145"/>
      <c r="S35" s="58"/>
      <c r="T35" s="13">
        <v>230</v>
      </c>
      <c r="U35" s="14">
        <v>177.21</v>
      </c>
      <c r="V35" s="15"/>
      <c r="W35" s="110"/>
    </row>
    <row r="36" spans="1:99" ht="14.1" customHeight="1">
      <c r="A36" s="145"/>
      <c r="B36" s="139"/>
      <c r="C36" s="146"/>
      <c r="D36" s="147"/>
      <c r="E36" s="148"/>
      <c r="F36" s="145"/>
      <c r="G36" s="148"/>
      <c r="H36" s="148"/>
      <c r="I36" s="148"/>
      <c r="J36" s="149"/>
      <c r="K36" s="150"/>
      <c r="L36" s="150"/>
      <c r="M36" s="124"/>
      <c r="N36" s="124"/>
      <c r="O36" s="150"/>
      <c r="P36" s="150"/>
      <c r="Q36" s="96"/>
      <c r="R36" s="145"/>
      <c r="S36" s="58"/>
      <c r="U36" s="14">
        <v>175.58</v>
      </c>
      <c r="V36" s="15"/>
      <c r="W36" s="110"/>
      <c r="X36"/>
    </row>
    <row r="37" spans="1:99" ht="14.1" customHeight="1">
      <c r="A37" s="145"/>
      <c r="B37" s="139"/>
      <c r="C37" s="146"/>
      <c r="D37" s="147"/>
      <c r="E37" s="148"/>
      <c r="F37" s="145"/>
      <c r="G37" s="148"/>
      <c r="H37" s="148"/>
      <c r="I37" s="148"/>
      <c r="J37" s="149"/>
      <c r="K37" s="150"/>
      <c r="L37" s="150"/>
      <c r="M37" s="124"/>
      <c r="N37" s="124"/>
      <c r="O37" s="150"/>
      <c r="P37" s="150"/>
      <c r="Q37" s="96"/>
      <c r="R37" s="96"/>
      <c r="S37" s="58"/>
      <c r="T37" s="13">
        <v>235</v>
      </c>
      <c r="U37" s="14">
        <v>182.43</v>
      </c>
      <c r="V37" s="15"/>
      <c r="W37" s="15"/>
      <c r="X37" s="6"/>
    </row>
    <row r="38" spans="1:99" s="156" customFormat="1" ht="14.1" customHeight="1">
      <c r="A38" s="154"/>
      <c r="B38" s="139"/>
      <c r="C38" s="155"/>
      <c r="D38" s="139"/>
      <c r="E38" s="139"/>
      <c r="F38" s="139"/>
      <c r="G38" s="139"/>
      <c r="H38" s="139"/>
      <c r="I38" s="139"/>
      <c r="J38" s="124"/>
      <c r="K38" s="124"/>
      <c r="L38" s="124"/>
      <c r="M38" s="124"/>
      <c r="N38" s="124"/>
      <c r="O38" s="124"/>
      <c r="P38" s="124"/>
      <c r="Q38" s="155"/>
      <c r="R38" s="145"/>
      <c r="S38" s="58"/>
      <c r="T38" s="13"/>
      <c r="U38" s="14">
        <v>149.28</v>
      </c>
      <c r="V38" s="15"/>
      <c r="W38" s="15"/>
      <c r="X38" s="6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</row>
    <row r="39" spans="1:99" s="3" customFormat="1" ht="14.1" customHeight="1">
      <c r="A39" s="157"/>
      <c r="B39" s="158"/>
      <c r="C39" s="159"/>
      <c r="D39" s="160"/>
      <c r="E39" s="160"/>
      <c r="F39" s="161"/>
      <c r="G39" s="160"/>
      <c r="H39" s="148"/>
      <c r="I39" s="162"/>
      <c r="J39" s="163"/>
      <c r="K39" s="150"/>
      <c r="L39" s="155"/>
      <c r="M39" s="134"/>
      <c r="N39" s="155"/>
      <c r="O39" s="155"/>
      <c r="P39" s="155"/>
      <c r="Q39" s="58"/>
      <c r="R39" s="58"/>
      <c r="S39" s="58"/>
      <c r="T39" s="13">
        <v>240</v>
      </c>
      <c r="U39" s="14">
        <v>154.5</v>
      </c>
      <c r="V39" s="15"/>
      <c r="W39" s="15"/>
      <c r="X39" s="6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</row>
    <row r="40" spans="1:99" ht="14.1" customHeight="1">
      <c r="A40" s="164"/>
      <c r="B40" s="165"/>
      <c r="C40" s="164"/>
      <c r="D40" s="148"/>
      <c r="E40" s="164"/>
      <c r="F40" s="164"/>
      <c r="G40" s="96"/>
      <c r="H40" s="101"/>
      <c r="I40" s="58"/>
      <c r="J40" s="155"/>
      <c r="K40" s="166"/>
      <c r="L40" s="167"/>
      <c r="M40" s="168"/>
      <c r="N40" s="134"/>
      <c r="O40" s="169"/>
      <c r="P40" s="169"/>
      <c r="Q40" s="58"/>
      <c r="R40" s="58"/>
      <c r="S40" s="58"/>
      <c r="U40" s="14">
        <v>147.33000000000001</v>
      </c>
      <c r="V40" s="15"/>
      <c r="W40" s="15"/>
    </row>
    <row r="41" spans="1:99" ht="14.1" customHeight="1">
      <c r="A41" s="164"/>
      <c r="B41" s="170"/>
      <c r="C41" s="164"/>
      <c r="D41" s="171"/>
      <c r="E41" s="164"/>
      <c r="F41" s="164"/>
      <c r="G41" s="124"/>
      <c r="H41" s="58"/>
      <c r="I41" s="58"/>
      <c r="J41" s="170"/>
      <c r="K41" s="170"/>
      <c r="L41" s="96"/>
      <c r="M41" s="172"/>
      <c r="N41" s="160"/>
      <c r="O41" s="58"/>
      <c r="P41" s="58"/>
      <c r="Q41" s="58"/>
      <c r="R41" s="58"/>
      <c r="S41" s="58"/>
      <c r="U41" s="173"/>
      <c r="V41" s="174"/>
      <c r="W41" s="175"/>
    </row>
    <row r="42" spans="1:99" ht="14.1" customHeight="1">
      <c r="A42" s="3"/>
      <c r="B42" s="3"/>
      <c r="C42" s="3"/>
      <c r="D42" s="33"/>
      <c r="E42" s="3"/>
      <c r="F42" s="3"/>
      <c r="G42" s="19"/>
      <c r="H42" s="40"/>
      <c r="I42" s="40"/>
      <c r="J42" s="30"/>
      <c r="K42" s="30"/>
      <c r="L42" s="30"/>
      <c r="M42" s="30"/>
      <c r="N42" s="33"/>
      <c r="O42" s="33"/>
      <c r="P42" s="33"/>
      <c r="Q42" s="40"/>
      <c r="R42" s="40"/>
      <c r="U42" s="173"/>
      <c r="V42" s="174"/>
      <c r="W42" s="175"/>
    </row>
    <row r="43" spans="1:99" ht="14.1" customHeight="1">
      <c r="A43" s="30"/>
      <c r="B43" s="176"/>
      <c r="C43" s="3"/>
      <c r="D43" s="33"/>
      <c r="E43" s="177"/>
      <c r="F43" s="177"/>
      <c r="G43" s="33"/>
      <c r="H43" s="174"/>
      <c r="I43" s="40"/>
      <c r="J43" s="30"/>
      <c r="K43" s="30"/>
      <c r="L43" s="30"/>
      <c r="M43" s="33"/>
      <c r="N43" s="178"/>
      <c r="O43" s="33"/>
      <c r="P43" s="33"/>
      <c r="Q43" s="40"/>
      <c r="R43" s="40"/>
      <c r="U43" s="173"/>
      <c r="V43" s="174"/>
      <c r="W43" s="175"/>
    </row>
    <row r="44" spans="1:99" ht="14.1" customHeight="1">
      <c r="A44" s="3"/>
      <c r="B44" s="30"/>
      <c r="C44" s="3"/>
      <c r="D44" s="41"/>
      <c r="E44" s="42"/>
      <c r="F44" s="42"/>
      <c r="G44" s="19"/>
      <c r="H44" s="19"/>
      <c r="I44" s="30"/>
      <c r="J44" s="179"/>
      <c r="K44" s="179"/>
      <c r="L44" s="180"/>
      <c r="M44" s="39"/>
      <c r="N44" s="179"/>
      <c r="O44" s="180"/>
      <c r="P44" s="180"/>
      <c r="Q44" s="46"/>
      <c r="R44" s="46"/>
      <c r="U44" s="173"/>
      <c r="V44" s="174"/>
      <c r="W44" s="175"/>
    </row>
    <row r="45" spans="1:99" s="1" customFormat="1" ht="14.1" customHeight="1">
      <c r="A45" s="3"/>
      <c r="B45" s="181"/>
      <c r="C45" s="181"/>
      <c r="D45" s="25"/>
      <c r="E45" s="181"/>
      <c r="F45" s="181"/>
      <c r="G45" s="181"/>
      <c r="H45" s="95"/>
      <c r="I45" s="95"/>
      <c r="J45" s="182"/>
      <c r="K45" s="182"/>
      <c r="L45" s="182"/>
      <c r="M45" s="182"/>
      <c r="N45" s="182"/>
      <c r="O45" s="54"/>
      <c r="P45" s="54"/>
      <c r="Q45" s="55"/>
      <c r="R45" s="55"/>
      <c r="S45" s="13"/>
      <c r="T45" s="13"/>
      <c r="U45" s="173"/>
      <c r="V45" s="40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</row>
    <row r="46" spans="1:99" ht="14.1" customHeight="1">
      <c r="A46" s="70"/>
      <c r="B46" s="33"/>
      <c r="C46" s="36"/>
      <c r="D46" s="33"/>
      <c r="E46" s="33"/>
      <c r="F46" s="33"/>
      <c r="G46" s="33"/>
      <c r="H46" s="33"/>
      <c r="I46" s="33"/>
      <c r="J46" s="74"/>
      <c r="K46" s="74"/>
      <c r="L46" s="74"/>
      <c r="M46" s="30"/>
      <c r="N46" s="19"/>
      <c r="O46" s="74"/>
      <c r="P46" s="74"/>
      <c r="Q46" s="30"/>
      <c r="R46" s="30"/>
      <c r="U46" s="173"/>
    </row>
    <row r="47" spans="1:99" ht="14.1" customHeight="1">
      <c r="A47" s="70"/>
      <c r="B47" s="33"/>
      <c r="C47" s="36"/>
      <c r="D47" s="33"/>
      <c r="E47" s="33"/>
      <c r="F47" s="33"/>
      <c r="G47" s="33"/>
      <c r="H47" s="33"/>
      <c r="I47" s="33"/>
      <c r="J47" s="74"/>
      <c r="K47" s="74"/>
      <c r="L47" s="74"/>
      <c r="M47" s="30"/>
      <c r="N47" s="19"/>
      <c r="O47" s="74"/>
      <c r="P47" s="74"/>
      <c r="Q47" s="30"/>
      <c r="R47" s="30"/>
      <c r="T47" s="40"/>
      <c r="U47" s="173"/>
    </row>
    <row r="48" spans="1:99" s="80" customFormat="1" ht="14.1" customHeight="1">
      <c r="A48" s="183"/>
      <c r="B48" s="25"/>
      <c r="C48" s="184"/>
      <c r="D48" s="25"/>
      <c r="E48" s="25"/>
      <c r="F48" s="25"/>
      <c r="G48" s="25"/>
      <c r="H48" s="25"/>
      <c r="I48" s="25"/>
      <c r="J48" s="95"/>
      <c r="K48" s="95"/>
      <c r="L48" s="95"/>
      <c r="M48" s="95"/>
      <c r="N48" s="95"/>
      <c r="O48" s="95"/>
      <c r="P48" s="95"/>
      <c r="Q48" s="95"/>
      <c r="R48" s="95"/>
      <c r="S48" s="13"/>
      <c r="T48" s="40"/>
      <c r="U48" s="17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</row>
    <row r="49" spans="1:99" ht="14.1" customHeight="1">
      <c r="A49" s="30"/>
      <c r="B49" s="176"/>
      <c r="C49" s="185"/>
      <c r="D49" s="33"/>
      <c r="E49" s="40"/>
      <c r="F49" s="40"/>
      <c r="G49" s="40"/>
      <c r="H49" s="40"/>
      <c r="I49" s="40"/>
      <c r="J49" s="40"/>
      <c r="K49" s="40"/>
      <c r="L49" s="40"/>
      <c r="M49" s="30"/>
      <c r="N49" s="40"/>
      <c r="O49" s="40"/>
      <c r="P49" s="40"/>
      <c r="Q49" s="30"/>
      <c r="R49" s="30"/>
      <c r="T49" s="40"/>
      <c r="U49" s="173"/>
    </row>
    <row r="50" spans="1:99" ht="14.1" customHeight="1">
      <c r="A50" s="30"/>
      <c r="B50" s="176"/>
      <c r="C50" s="185"/>
      <c r="D50" s="33"/>
      <c r="E50" s="40"/>
      <c r="F50" s="40"/>
      <c r="G50" s="40"/>
      <c r="H50" s="40"/>
      <c r="I50" s="40"/>
      <c r="J50" s="40"/>
      <c r="K50" s="40"/>
      <c r="L50" s="40"/>
      <c r="M50" s="30"/>
      <c r="N50" s="40"/>
      <c r="O50" s="40"/>
      <c r="P50" s="40"/>
      <c r="Q50" s="30"/>
      <c r="R50" s="30"/>
      <c r="T50" s="40"/>
      <c r="U50" s="173"/>
    </row>
    <row r="51" spans="1:99" ht="14.1" customHeight="1">
      <c r="A51" s="30"/>
      <c r="B51" s="176"/>
      <c r="C51" s="185"/>
      <c r="D51" s="33"/>
      <c r="E51" s="40"/>
      <c r="F51" s="40"/>
      <c r="G51" s="40"/>
      <c r="H51" s="40"/>
      <c r="I51" s="40"/>
      <c r="J51" s="40"/>
      <c r="K51" s="40"/>
      <c r="L51" s="40"/>
      <c r="M51" s="19"/>
      <c r="N51" s="40"/>
      <c r="O51" s="40"/>
      <c r="P51" s="40"/>
      <c r="Q51" s="30"/>
      <c r="R51" s="30"/>
      <c r="T51" s="40"/>
      <c r="U51" s="173"/>
    </row>
    <row r="52" spans="1:99" ht="14.1" customHeight="1">
      <c r="A52" s="30"/>
      <c r="B52" s="176"/>
      <c r="C52" s="185"/>
      <c r="D52" s="33"/>
      <c r="E52" s="40"/>
      <c r="F52" s="40"/>
      <c r="G52" s="40"/>
      <c r="H52" s="40"/>
      <c r="I52" s="40"/>
      <c r="J52" s="40"/>
      <c r="K52" s="40"/>
      <c r="L52" s="40"/>
      <c r="M52" s="19"/>
      <c r="N52" s="40"/>
      <c r="O52" s="40"/>
      <c r="P52" s="40"/>
      <c r="Q52" s="30"/>
      <c r="R52" s="30"/>
      <c r="U52" s="173"/>
    </row>
    <row r="53" spans="1:99" ht="14.1" customHeight="1">
      <c r="A53" s="30"/>
      <c r="B53" s="176"/>
      <c r="C53" s="186"/>
      <c r="D53" s="33"/>
      <c r="E53" s="33"/>
      <c r="F53" s="33"/>
      <c r="G53" s="33"/>
      <c r="H53" s="33"/>
      <c r="I53" s="33"/>
      <c r="J53" s="187"/>
      <c r="K53" s="188"/>
      <c r="L53" s="40"/>
      <c r="M53" s="19"/>
      <c r="N53" s="40"/>
      <c r="O53" s="40"/>
      <c r="P53" s="40"/>
      <c r="Q53" s="30"/>
      <c r="R53" s="30"/>
      <c r="U53" s="173"/>
    </row>
    <row r="54" spans="1:99" ht="14.1" customHeight="1">
      <c r="A54" s="70"/>
      <c r="B54" s="189"/>
      <c r="C54" s="36"/>
      <c r="D54" s="33"/>
      <c r="E54" s="33"/>
      <c r="F54" s="33"/>
      <c r="G54" s="33"/>
      <c r="H54" s="33"/>
      <c r="I54" s="33"/>
      <c r="J54" s="132"/>
      <c r="K54" s="74"/>
      <c r="L54" s="74"/>
      <c r="M54" s="19"/>
      <c r="N54" s="19"/>
      <c r="O54" s="74"/>
      <c r="P54" s="74"/>
      <c r="Q54" s="30"/>
      <c r="R54" s="30"/>
      <c r="U54" s="173"/>
    </row>
    <row r="55" spans="1:99" ht="14.1" customHeight="1">
      <c r="A55" s="70"/>
      <c r="B55" s="189"/>
      <c r="C55" s="36"/>
      <c r="D55" s="33"/>
      <c r="E55" s="33"/>
      <c r="F55" s="33"/>
      <c r="G55" s="33"/>
      <c r="H55" s="33"/>
      <c r="I55" s="33"/>
      <c r="J55" s="132"/>
      <c r="K55" s="74"/>
      <c r="L55" s="74"/>
      <c r="M55" s="19"/>
      <c r="N55" s="19"/>
      <c r="O55" s="74"/>
      <c r="P55" s="74"/>
      <c r="Q55" s="30"/>
      <c r="R55" s="30"/>
      <c r="U55" s="173"/>
    </row>
    <row r="56" spans="1:99" s="30" customFormat="1" ht="14.1" customHeight="1">
      <c r="A56" s="70"/>
      <c r="B56" s="189"/>
      <c r="C56" s="36"/>
      <c r="D56" s="33"/>
      <c r="E56" s="33"/>
      <c r="F56" s="33"/>
      <c r="G56" s="33"/>
      <c r="H56" s="33"/>
      <c r="I56" s="33"/>
      <c r="J56" s="132"/>
      <c r="K56" s="74"/>
      <c r="L56" s="74"/>
      <c r="M56" s="19"/>
      <c r="N56" s="19"/>
      <c r="O56" s="74"/>
      <c r="P56" s="74"/>
      <c r="S56" s="13"/>
      <c r="T56" s="13"/>
      <c r="U56" s="17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</row>
    <row r="57" spans="1:99" ht="14.1" customHeight="1">
      <c r="A57" s="70"/>
      <c r="B57" s="189"/>
      <c r="C57" s="36"/>
      <c r="D57" s="33"/>
      <c r="E57" s="33"/>
      <c r="F57" s="33"/>
      <c r="G57" s="33"/>
      <c r="H57" s="33"/>
      <c r="I57" s="33"/>
      <c r="J57" s="132"/>
      <c r="K57" s="74"/>
      <c r="L57" s="74"/>
      <c r="M57" s="19"/>
      <c r="N57" s="19"/>
      <c r="O57" s="74"/>
      <c r="P57" s="74"/>
      <c r="Q57" s="30"/>
      <c r="R57" s="30"/>
      <c r="U57" s="173"/>
    </row>
    <row r="58" spans="1:99" ht="14.1" customHeight="1">
      <c r="A58" s="183"/>
      <c r="B58" s="25"/>
      <c r="C58" s="184"/>
      <c r="D58" s="25"/>
      <c r="E58" s="25"/>
      <c r="F58" s="25"/>
      <c r="G58" s="25"/>
      <c r="H58" s="25"/>
      <c r="I58" s="25"/>
      <c r="J58" s="95"/>
      <c r="K58" s="95"/>
      <c r="L58" s="95"/>
      <c r="M58" s="95"/>
      <c r="N58" s="95"/>
      <c r="O58" s="95"/>
      <c r="P58" s="95"/>
      <c r="Q58" s="95"/>
      <c r="R58" s="95"/>
      <c r="U58" s="173"/>
    </row>
    <row r="59" spans="1:99" s="115" customFormat="1" ht="14.1" customHeight="1">
      <c r="A59" s="40"/>
      <c r="B59" s="40"/>
      <c r="C59" s="40"/>
      <c r="D59" s="19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13"/>
      <c r="T59" s="13"/>
      <c r="U59" s="17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</row>
    <row r="60" spans="1:99" s="30" customFormat="1" ht="14.1" customHeight="1">
      <c r="A60" s="191"/>
      <c r="B60" s="40"/>
      <c r="C60" s="40"/>
      <c r="D60" s="19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13"/>
      <c r="T60" s="13"/>
      <c r="U60" s="17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</row>
    <row r="61" spans="1:99" ht="14.1" customHeight="1">
      <c r="A61" s="40"/>
      <c r="B61" s="40"/>
      <c r="C61" s="40"/>
      <c r="D61" s="19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U61" s="173"/>
    </row>
    <row r="62" spans="1:99" ht="14.1" customHeight="1">
      <c r="A62" s="40"/>
      <c r="B62" s="40"/>
      <c r="C62" s="40"/>
      <c r="D62" s="19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U62" s="173"/>
    </row>
    <row r="63" spans="1:99" ht="14.1" customHeight="1">
      <c r="A63" s="40"/>
      <c r="B63" s="40"/>
      <c r="C63" s="40"/>
      <c r="D63" s="19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U63" s="173"/>
    </row>
    <row r="64" spans="1:99" s="156" customFormat="1" ht="14.1" customHeight="1">
      <c r="A64" s="30"/>
      <c r="B64" s="189"/>
      <c r="C64" s="36"/>
      <c r="D64" s="33"/>
      <c r="E64" s="189"/>
      <c r="F64" s="189"/>
      <c r="G64" s="19"/>
      <c r="H64" s="30"/>
      <c r="I64" s="30"/>
      <c r="J64" s="30"/>
      <c r="K64" s="30"/>
      <c r="L64" s="30"/>
      <c r="M64" s="30"/>
      <c r="N64" s="19"/>
      <c r="O64" s="30"/>
      <c r="P64" s="30"/>
      <c r="Q64" s="40"/>
      <c r="R64" s="40"/>
      <c r="S64" s="13"/>
      <c r="T64" s="13"/>
      <c r="U64" s="17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</row>
    <row r="65" spans="1:21" s="13" customFormat="1" ht="14.1" customHeight="1">
      <c r="A65" s="30"/>
      <c r="B65" s="189"/>
      <c r="C65" s="36"/>
      <c r="D65" s="33"/>
      <c r="E65" s="189"/>
      <c r="F65" s="189"/>
      <c r="G65" s="19"/>
      <c r="H65" s="30"/>
      <c r="I65" s="30"/>
      <c r="J65" s="30"/>
      <c r="K65" s="30"/>
      <c r="L65" s="30"/>
      <c r="M65" s="30"/>
      <c r="N65" s="19"/>
      <c r="O65" s="30"/>
      <c r="P65" s="30"/>
      <c r="Q65" s="40"/>
      <c r="R65" s="40"/>
      <c r="U65" s="173"/>
    </row>
    <row r="66" spans="1:21" s="13" customFormat="1" ht="14.1" customHeight="1">
      <c r="A66" s="12"/>
      <c r="B66" s="192"/>
      <c r="C66" s="65"/>
      <c r="D66" s="66"/>
      <c r="E66" s="192"/>
      <c r="F66" s="192"/>
      <c r="G66" s="68"/>
      <c r="H66" s="12"/>
      <c r="I66" s="12"/>
      <c r="J66" s="12"/>
      <c r="K66" s="12"/>
      <c r="L66" s="12"/>
      <c r="M66" s="12"/>
      <c r="N66" s="68"/>
      <c r="O66" s="12"/>
      <c r="P66" s="12"/>
      <c r="U66" s="173"/>
    </row>
    <row r="67" spans="1:21" ht="14.1" customHeight="1">
      <c r="C67" s="65"/>
      <c r="U67" s="173"/>
    </row>
    <row r="68" spans="1:21" ht="14.1" customHeight="1">
      <c r="A68" s="13"/>
      <c r="B68" s="13"/>
      <c r="C68" s="13"/>
      <c r="D68" s="97"/>
      <c r="E68" s="13"/>
      <c r="F68" s="13"/>
      <c r="G68" s="13"/>
      <c r="H68" s="13"/>
      <c r="I68" s="13"/>
      <c r="J68" s="13"/>
      <c r="M68" s="13"/>
      <c r="N68" s="13"/>
      <c r="O68" s="13"/>
      <c r="P68" s="13"/>
      <c r="U68" s="173"/>
    </row>
    <row r="69" spans="1:21" ht="14.1" customHeight="1">
      <c r="A69" s="13"/>
      <c r="B69" s="13"/>
      <c r="C69" s="13"/>
      <c r="D69" s="97"/>
      <c r="E69" s="13"/>
      <c r="F69" s="13"/>
      <c r="G69" s="13"/>
      <c r="H69" s="13"/>
      <c r="I69" s="13"/>
      <c r="J69" s="13"/>
      <c r="M69" s="13"/>
      <c r="N69" s="13"/>
      <c r="O69" s="13"/>
      <c r="P69" s="13"/>
      <c r="U69" s="173"/>
    </row>
    <row r="70" spans="1:21" ht="14.1" customHeight="1">
      <c r="C70" s="65"/>
      <c r="U70" s="173"/>
    </row>
    <row r="71" spans="1:21" ht="14.1" customHeight="1">
      <c r="C71" s="65"/>
      <c r="Q71" s="13"/>
      <c r="R71" s="13"/>
    </row>
    <row r="72" spans="1:21" ht="14.1" customHeight="1">
      <c r="C72" s="65"/>
      <c r="Q72" s="13"/>
      <c r="R72" s="13"/>
    </row>
    <row r="73" spans="1:21" ht="14.1" customHeight="1">
      <c r="C73" s="65"/>
    </row>
    <row r="74" spans="1:21" ht="14.1" customHeight="1">
      <c r="C74" s="65"/>
    </row>
  </sheetData>
  <pageMargins left="0.75" right="0.5" top="1" bottom="0.5" header="0.5" footer="0.5"/>
  <pageSetup scale="70" orientation="landscape" r:id="rId1"/>
  <headerFooter alignWithMargins="0">
    <oddHeader>&amp;R&amp;D</oddHeader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U74"/>
  <sheetViews>
    <sheetView topLeftCell="N1" zoomScale="87" zoomScaleNormal="87" workbookViewId="0">
      <selection activeCell="AB11" sqref="AB11:CQ11"/>
    </sheetView>
  </sheetViews>
  <sheetFormatPr defaultColWidth="13.7109375" defaultRowHeight="14.1" customHeight="1"/>
  <cols>
    <col min="1" max="1" width="6.28515625" style="12" customWidth="1"/>
    <col min="2" max="2" width="16.5703125" style="192" customWidth="1"/>
    <col min="3" max="3" width="8.28515625" style="12" customWidth="1"/>
    <col min="4" max="4" width="11.140625" style="66" customWidth="1"/>
    <col min="5" max="5" width="12.85546875" style="192" customWidth="1"/>
    <col min="6" max="6" width="9.28515625" style="192" customWidth="1"/>
    <col min="7" max="7" width="9.140625" style="68" customWidth="1"/>
    <col min="8" max="8" width="10.85546875" style="12" customWidth="1"/>
    <col min="9" max="9" width="13.140625" style="12" customWidth="1"/>
    <col min="10" max="10" width="12.28515625" style="12" customWidth="1"/>
    <col min="11" max="11" width="10.140625" style="12" customWidth="1"/>
    <col min="12" max="12" width="14.42578125" style="12" customWidth="1"/>
    <col min="13" max="13" width="8.85546875" style="12" customWidth="1"/>
    <col min="14" max="14" width="17.140625" style="68" customWidth="1"/>
    <col min="15" max="15" width="15.7109375" style="12" customWidth="1"/>
    <col min="16" max="16" width="10.85546875" style="12" customWidth="1"/>
    <col min="17" max="17" width="6.140625" style="12" customWidth="1"/>
    <col min="18" max="18" width="7.28515625" style="12" customWidth="1"/>
    <col min="19" max="19" width="12" style="13" customWidth="1"/>
    <col min="20" max="20" width="10.42578125" style="13" customWidth="1"/>
    <col min="21" max="21" width="13.7109375" style="13" customWidth="1"/>
    <col min="22" max="22" width="2.5703125" style="13" customWidth="1"/>
    <col min="23" max="29" width="13.7109375" style="13" customWidth="1"/>
    <col min="30" max="31" width="25" style="13" customWidth="1"/>
    <col min="32" max="34" width="13.7109375" style="13" customWidth="1"/>
    <col min="35" max="35" width="19.85546875" style="13" customWidth="1"/>
    <col min="36" max="36" width="19.5703125" style="13" customWidth="1"/>
    <col min="37" max="37" width="27.42578125" style="13" customWidth="1"/>
    <col min="38" max="38" width="31.42578125" style="13" customWidth="1"/>
    <col min="39" max="39" width="31.28515625" style="13" customWidth="1"/>
    <col min="40" max="45" width="27.42578125" style="13" customWidth="1"/>
    <col min="46" max="46" width="31.28515625" style="13" customWidth="1"/>
    <col min="47" max="47" width="35.42578125" style="13" customWidth="1"/>
    <col min="48" max="50" width="13.7109375" style="13" customWidth="1"/>
    <col min="51" max="52" width="17.28515625" style="13" customWidth="1"/>
    <col min="53" max="60" width="17.5703125" style="13" customWidth="1"/>
    <col min="61" max="65" width="20.42578125" style="13" customWidth="1"/>
    <col min="66" max="68" width="13.7109375" style="13" customWidth="1"/>
    <col min="69" max="69" width="18.7109375" style="13" customWidth="1"/>
    <col min="70" max="72" width="13.7109375" style="13" customWidth="1"/>
    <col min="73" max="73" width="17.28515625" style="13" customWidth="1"/>
    <col min="74" max="74" width="16.85546875" style="13" customWidth="1"/>
    <col min="75" max="75" width="13.7109375" style="13" customWidth="1"/>
    <col min="76" max="76" width="17" style="13" customWidth="1"/>
    <col min="77" max="81" width="17.85546875" style="13" customWidth="1"/>
    <col min="82" max="92" width="13.7109375" style="13" customWidth="1"/>
    <col min="93" max="93" width="26.140625" style="13" customWidth="1"/>
    <col min="94" max="94" width="25.7109375" style="13" customWidth="1"/>
    <col min="95" max="95" width="22.85546875" style="13" customWidth="1"/>
    <col min="96" max="99" width="13.7109375" style="13" customWidth="1"/>
    <col min="100" max="16384" width="13.7109375" style="12"/>
  </cols>
  <sheetData>
    <row r="1" spans="1:99" ht="14.1" customHeight="1">
      <c r="A1" s="1" t="s">
        <v>0</v>
      </c>
      <c r="B1" s="2" t="s">
        <v>138</v>
      </c>
      <c r="C1" s="3" t="s">
        <v>1</v>
      </c>
      <c r="D1" s="4" t="s">
        <v>183</v>
      </c>
      <c r="E1" s="1" t="s">
        <v>2</v>
      </c>
      <c r="F1" s="1"/>
      <c r="G1" s="5">
        <v>65</v>
      </c>
      <c r="H1" s="6"/>
      <c r="I1" s="6" t="s">
        <v>3</v>
      </c>
      <c r="J1" s="5">
        <v>178</v>
      </c>
      <c r="K1" s="7"/>
      <c r="L1" s="7"/>
      <c r="M1" s="8" t="s">
        <v>4</v>
      </c>
      <c r="N1" s="9">
        <f>((AVERAGE(W7:W8))*20)</f>
        <v>7581483</v>
      </c>
      <c r="O1" s="10">
        <f>(O3*20)</f>
        <v>7822606.4630999994</v>
      </c>
      <c r="P1" s="10"/>
      <c r="Q1" s="11" t="s">
        <v>5</v>
      </c>
      <c r="S1" s="13">
        <v>-120</v>
      </c>
      <c r="T1" s="13" t="s">
        <v>6</v>
      </c>
      <c r="U1" s="14">
        <v>30.97</v>
      </c>
      <c r="V1" s="15"/>
      <c r="W1" s="15" t="s">
        <v>7</v>
      </c>
    </row>
    <row r="2" spans="1:99" ht="14.1" customHeight="1" thickBot="1">
      <c r="A2" s="16" t="s">
        <v>8</v>
      </c>
      <c r="B2" s="17">
        <v>42607</v>
      </c>
      <c r="C2" s="3" t="s">
        <v>9</v>
      </c>
      <c r="D2" s="18">
        <v>106.9</v>
      </c>
      <c r="E2" s="3" t="s">
        <v>10</v>
      </c>
      <c r="F2" s="3"/>
      <c r="G2" s="19">
        <f>D2/(D3/100*D3/100)</f>
        <v>32.884122075458755</v>
      </c>
      <c r="H2" s="13"/>
      <c r="I2" s="20" t="s">
        <v>11</v>
      </c>
      <c r="J2" s="21"/>
      <c r="K2" s="22"/>
      <c r="L2" s="23"/>
      <c r="M2" s="24" t="s">
        <v>12</v>
      </c>
      <c r="N2" s="25">
        <f>(O1*0.068)</f>
        <v>531937.23949079996</v>
      </c>
      <c r="O2" s="13"/>
      <c r="P2" s="13"/>
      <c r="Q2" s="11"/>
      <c r="R2" s="26"/>
      <c r="T2" s="13" t="s">
        <v>6</v>
      </c>
      <c r="U2" s="14">
        <v>26.98</v>
      </c>
      <c r="V2" s="15"/>
      <c r="W2" s="27">
        <v>135267.6</v>
      </c>
    </row>
    <row r="3" spans="1:99" ht="14.1" customHeight="1" thickTop="1" thickBot="1">
      <c r="A3" s="16" t="s">
        <v>13</v>
      </c>
      <c r="B3" s="28" t="s">
        <v>167</v>
      </c>
      <c r="C3" s="3" t="s">
        <v>15</v>
      </c>
      <c r="D3" s="29">
        <v>180.3</v>
      </c>
      <c r="E3" s="3" t="s">
        <v>16</v>
      </c>
      <c r="F3" s="3"/>
      <c r="G3" s="19">
        <f>SQRT(((D2*D3)/3600))</f>
        <v>2.3138514069259792</v>
      </c>
      <c r="H3" s="13"/>
      <c r="I3" s="20"/>
      <c r="J3" s="30"/>
      <c r="K3" s="30"/>
      <c r="L3" s="30"/>
      <c r="M3" s="31" t="s">
        <v>17</v>
      </c>
      <c r="N3" s="32">
        <f>($O$1/$N$1)*100</f>
        <v>103.18042608682232</v>
      </c>
      <c r="O3" s="33">
        <f>((AVERAGE(W2:W5))*2.85714)</f>
        <v>391130.32315499999</v>
      </c>
      <c r="P3" s="33"/>
      <c r="Q3" s="34" t="s">
        <v>18</v>
      </c>
      <c r="R3" s="13"/>
      <c r="T3" s="13">
        <v>-30</v>
      </c>
      <c r="U3" s="14">
        <v>352.18</v>
      </c>
      <c r="V3" s="15"/>
      <c r="W3" s="27">
        <v>136720.29999999999</v>
      </c>
    </row>
    <row r="4" spans="1:99" ht="14.1" customHeight="1" thickTop="1">
      <c r="B4" s="35"/>
      <c r="C4" s="3" t="s">
        <v>19</v>
      </c>
      <c r="D4" s="19">
        <v>77.507999999999996</v>
      </c>
      <c r="E4" s="37" t="s">
        <v>20</v>
      </c>
      <c r="F4" s="37"/>
      <c r="G4" s="38">
        <v>0.27100000000000002</v>
      </c>
      <c r="H4" s="13"/>
      <c r="I4" s="20"/>
      <c r="J4" s="30"/>
      <c r="K4" s="30"/>
      <c r="L4" s="30"/>
      <c r="M4" s="33"/>
      <c r="N4" s="39"/>
      <c r="O4" s="30"/>
      <c r="P4" s="30"/>
      <c r="Q4" s="30"/>
      <c r="R4" s="30"/>
      <c r="U4" s="14">
        <v>341.26</v>
      </c>
      <c r="V4" s="15"/>
      <c r="W4" s="27">
        <v>137963.1</v>
      </c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</row>
    <row r="5" spans="1:99" ht="14.1" customHeight="1" thickBot="1">
      <c r="A5" s="16"/>
      <c r="B5" s="30"/>
      <c r="C5" s="3"/>
      <c r="D5" s="41" t="s">
        <v>21</v>
      </c>
      <c r="E5" s="42">
        <f>AVERAGE(U1:U2)</f>
        <v>28.975000000000001</v>
      </c>
      <c r="F5" s="42"/>
      <c r="G5" s="19"/>
      <c r="H5" s="30"/>
      <c r="I5" s="30"/>
      <c r="J5" s="43" t="s">
        <v>22</v>
      </c>
      <c r="K5" s="43"/>
      <c r="L5" s="44" t="s">
        <v>23</v>
      </c>
      <c r="M5" s="45"/>
      <c r="N5" s="43" t="s">
        <v>22</v>
      </c>
      <c r="O5" s="44" t="s">
        <v>23</v>
      </c>
      <c r="P5" s="44" t="s">
        <v>24</v>
      </c>
      <c r="Q5" s="46"/>
      <c r="R5" s="46"/>
      <c r="T5" s="13">
        <v>-20</v>
      </c>
      <c r="U5" s="14">
        <v>330.8</v>
      </c>
      <c r="V5" s="15"/>
      <c r="W5" s="27">
        <v>137632</v>
      </c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</row>
    <row r="6" spans="1:99" s="1" customFormat="1" ht="14.1" customHeight="1">
      <c r="A6" s="47" t="s">
        <v>25</v>
      </c>
      <c r="B6" s="48" t="s">
        <v>26</v>
      </c>
      <c r="C6" s="48"/>
      <c r="D6" s="49" t="s">
        <v>27</v>
      </c>
      <c r="E6" s="48" t="s">
        <v>28</v>
      </c>
      <c r="F6" s="48"/>
      <c r="G6" s="48" t="s">
        <v>29</v>
      </c>
      <c r="H6" s="50" t="s">
        <v>30</v>
      </c>
      <c r="I6" s="50"/>
      <c r="J6" s="51" t="s">
        <v>31</v>
      </c>
      <c r="K6" s="52"/>
      <c r="L6" s="52" t="s">
        <v>31</v>
      </c>
      <c r="M6" s="52" t="s">
        <v>32</v>
      </c>
      <c r="N6" s="52" t="s">
        <v>33</v>
      </c>
      <c r="O6" s="53" t="s">
        <v>34</v>
      </c>
      <c r="P6" s="54"/>
      <c r="Q6" s="55"/>
      <c r="R6" s="55"/>
      <c r="S6" s="13"/>
      <c r="T6" s="13"/>
      <c r="U6" s="14">
        <v>329.16</v>
      </c>
      <c r="V6" s="15"/>
      <c r="W6" s="56" t="s">
        <v>35</v>
      </c>
      <c r="X6" s="13" t="s">
        <v>36</v>
      </c>
      <c r="Y6" s="57" t="s">
        <v>37</v>
      </c>
      <c r="Z6" s="58" t="s">
        <v>38</v>
      </c>
      <c r="AA6" s="40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60"/>
      <c r="AY6" s="60"/>
      <c r="AZ6" s="60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60"/>
      <c r="BO6" s="60"/>
      <c r="BP6" s="60"/>
      <c r="BQ6" s="59"/>
      <c r="BR6" s="59"/>
      <c r="BS6" s="59"/>
      <c r="BT6" s="59"/>
      <c r="BU6" s="59"/>
      <c r="BV6" s="59"/>
      <c r="BW6" s="59"/>
      <c r="BX6" s="59"/>
      <c r="BY6" s="59"/>
      <c r="BZ6" s="61"/>
      <c r="CA6" s="61"/>
      <c r="CB6" s="61"/>
      <c r="CC6" s="61"/>
      <c r="CD6" s="40"/>
      <c r="CE6" s="61"/>
      <c r="CF6" s="61"/>
      <c r="CG6" s="33"/>
      <c r="CH6" s="40"/>
      <c r="CI6" s="30"/>
      <c r="CJ6" s="30"/>
      <c r="CK6" s="30"/>
      <c r="CL6" s="30"/>
      <c r="CM6" s="30"/>
      <c r="CN6" s="30"/>
      <c r="CO6" s="30"/>
      <c r="CP6" s="62"/>
      <c r="CQ6" s="62"/>
      <c r="CR6" s="13"/>
      <c r="CS6" s="13"/>
      <c r="CT6" s="13"/>
      <c r="CU6" s="13"/>
    </row>
    <row r="7" spans="1:99" ht="14.1" customHeight="1">
      <c r="A7" s="63">
        <v>-30</v>
      </c>
      <c r="B7" s="64">
        <v>98</v>
      </c>
      <c r="C7" s="65"/>
      <c r="D7" s="42">
        <f>AVERAGE(U3:U4)</f>
        <v>346.72</v>
      </c>
      <c r="E7" s="66">
        <f>D7-$E$5</f>
        <v>317.745</v>
      </c>
      <c r="F7" s="66"/>
      <c r="G7" s="66">
        <f>($E7*7.1425)</f>
        <v>2269.4936625</v>
      </c>
      <c r="H7" s="66">
        <f>($G7/($B7*0.01))</f>
        <v>2315.8098596938776</v>
      </c>
      <c r="I7" s="66"/>
      <c r="J7" s="67">
        <f>$N$2/$H7/$D$2</f>
        <v>2.1487198274470511</v>
      </c>
      <c r="K7" s="67"/>
      <c r="L7" s="67">
        <f>J7/($D$4/$D$2)</f>
        <v>2.9635411770925555</v>
      </c>
      <c r="N7" s="68">
        <f>J7-M7</f>
        <v>2.1487198274470511</v>
      </c>
      <c r="O7" s="67">
        <f>N7/($D$4/$D$2)</f>
        <v>2.9635411770925555</v>
      </c>
      <c r="P7" s="67"/>
      <c r="Q7" s="30"/>
      <c r="R7" s="30"/>
      <c r="T7" s="13">
        <v>-10</v>
      </c>
      <c r="U7" s="14">
        <v>352.01</v>
      </c>
      <c r="V7" s="15"/>
      <c r="W7" s="27">
        <v>379585.9</v>
      </c>
      <c r="X7" s="69">
        <v>0.60099999999999998</v>
      </c>
      <c r="Y7" s="70">
        <v>-30</v>
      </c>
      <c r="Z7" s="71">
        <v>15.789</v>
      </c>
      <c r="AA7" s="40"/>
      <c r="AB7" s="72"/>
      <c r="AC7" s="72"/>
      <c r="AD7" s="72"/>
      <c r="AE7" s="72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19"/>
      <c r="AY7" s="74"/>
      <c r="AZ7" s="74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</row>
    <row r="8" spans="1:99" ht="14.1" customHeight="1">
      <c r="A8" s="63">
        <v>-20</v>
      </c>
      <c r="B8" s="64">
        <v>93</v>
      </c>
      <c r="C8" s="65"/>
      <c r="D8" s="66">
        <f>AVERAGE(U5:U6)</f>
        <v>329.98</v>
      </c>
      <c r="E8" s="66">
        <f>D8-$E$5</f>
        <v>301.005</v>
      </c>
      <c r="F8" s="66"/>
      <c r="G8" s="66">
        <f>($E8*7.1425)</f>
        <v>2149.9282125</v>
      </c>
      <c r="H8" s="66">
        <f>($G8/($B8*0.01))</f>
        <v>2311.7507661290319</v>
      </c>
      <c r="I8" s="66"/>
      <c r="J8" s="67">
        <f>$N$2/H8/$D$2</f>
        <v>2.1524926627163357</v>
      </c>
      <c r="K8" s="67"/>
      <c r="L8" s="67">
        <f>J8/($D$4/$D$2)</f>
        <v>2.9687447185371356</v>
      </c>
      <c r="N8" s="68">
        <f>J8-M8</f>
        <v>2.1524926627163357</v>
      </c>
      <c r="O8" s="67">
        <f>N8/($D$4/$D$2)</f>
        <v>2.9687447185371356</v>
      </c>
      <c r="P8" s="67"/>
      <c r="Q8" s="30"/>
      <c r="R8" s="30"/>
      <c r="U8" s="14">
        <v>365.01</v>
      </c>
      <c r="V8" s="15"/>
      <c r="W8" s="27">
        <v>378562.4</v>
      </c>
      <c r="X8" s="69">
        <v>0.78900000000000003</v>
      </c>
      <c r="Y8" s="70">
        <v>-20</v>
      </c>
      <c r="Z8" s="71">
        <v>18.117999999999999</v>
      </c>
      <c r="AA8" s="40"/>
      <c r="AB8" s="72"/>
      <c r="AC8" s="72"/>
      <c r="AD8" s="72"/>
      <c r="AE8" s="72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19"/>
      <c r="AY8" s="74"/>
      <c r="AZ8" s="74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</row>
    <row r="9" spans="1:99" ht="14.1" customHeight="1" thickBot="1">
      <c r="A9" s="63">
        <v>-10</v>
      </c>
      <c r="B9" s="75">
        <v>93</v>
      </c>
      <c r="C9" s="65"/>
      <c r="D9" s="66">
        <f>AVERAGE(U7:U8)</f>
        <v>358.51</v>
      </c>
      <c r="E9" s="66">
        <f>D9-$E$5</f>
        <v>329.53499999999997</v>
      </c>
      <c r="F9" s="66"/>
      <c r="G9" s="66">
        <f>($E9*7.1425)</f>
        <v>2353.7037375</v>
      </c>
      <c r="H9" s="66">
        <f>($G9/($B9*0.01))</f>
        <v>2530.8642338709674</v>
      </c>
      <c r="I9" s="66"/>
      <c r="J9" s="67">
        <f>$N$2/H9/$D$2</f>
        <v>1.9661372963142931</v>
      </c>
      <c r="K9" s="67"/>
      <c r="L9" s="67">
        <f>J9/($D$4/$D$2)</f>
        <v>2.7117210736439845</v>
      </c>
      <c r="N9" s="68">
        <f>J9-M9</f>
        <v>1.9661372963142931</v>
      </c>
      <c r="O9" s="67">
        <f>N9/($D$4/$D$2)</f>
        <v>2.7117210736439845</v>
      </c>
      <c r="P9" s="67"/>
      <c r="Q9" s="30"/>
      <c r="R9" s="30"/>
      <c r="T9" s="13">
        <v>-5</v>
      </c>
      <c r="U9" s="14">
        <v>332.28</v>
      </c>
      <c r="V9" s="15"/>
      <c r="W9" s="76">
        <v>388283.7</v>
      </c>
      <c r="X9" s="69">
        <v>0.76100000000000001</v>
      </c>
      <c r="Y9" s="70">
        <v>-10</v>
      </c>
      <c r="Z9" s="71">
        <v>20.795999999999999</v>
      </c>
      <c r="AA9" s="40"/>
      <c r="AB9" s="72"/>
      <c r="AC9" s="72"/>
      <c r="AD9" s="72"/>
      <c r="AE9" s="72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19"/>
      <c r="AY9" s="74"/>
      <c r="AZ9" s="74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</row>
    <row r="10" spans="1:99" s="80" customFormat="1" ht="14.1" customHeight="1">
      <c r="A10" s="77">
        <v>0</v>
      </c>
      <c r="B10" s="75">
        <v>95</v>
      </c>
      <c r="C10" s="65"/>
      <c r="D10" s="66">
        <f>AVERAGE(U11:U12)</f>
        <v>351.875</v>
      </c>
      <c r="E10" s="66">
        <f>D10-$E$5</f>
        <v>322.89999999999998</v>
      </c>
      <c r="F10" s="66"/>
      <c r="G10" s="78">
        <f>($E10*7.1425)</f>
        <v>2306.3132499999997</v>
      </c>
      <c r="H10" s="78">
        <f>($G10/($B10*0.01))</f>
        <v>2427.6981578947361</v>
      </c>
      <c r="I10" s="78"/>
      <c r="J10" s="79">
        <f>$N$2/H10/$D$2</f>
        <v>2.0496891452258401</v>
      </c>
      <c r="K10" s="79"/>
      <c r="L10" s="67">
        <f>J10/($D$4/$D$2)</f>
        <v>2.8269568254198578</v>
      </c>
      <c r="N10" s="81">
        <f>J10-M10</f>
        <v>2.0496891452258401</v>
      </c>
      <c r="O10" s="67">
        <f>N10/($D$4/$D$2)</f>
        <v>2.8269568254198578</v>
      </c>
      <c r="P10" s="67"/>
      <c r="Q10" s="30"/>
      <c r="R10" s="30"/>
      <c r="S10" s="13"/>
      <c r="T10" s="13" t="s">
        <v>39</v>
      </c>
      <c r="U10" s="14">
        <v>351.94</v>
      </c>
      <c r="V10" s="15"/>
      <c r="W10" s="15"/>
      <c r="X10" s="69">
        <v>0.73699999999999999</v>
      </c>
      <c r="Y10" s="70">
        <v>0</v>
      </c>
      <c r="Z10" s="82">
        <v>18.806000000000001</v>
      </c>
      <c r="AA10" s="30"/>
      <c r="AB10" s="83" t="s">
        <v>40</v>
      </c>
      <c r="AC10" s="83" t="s">
        <v>41</v>
      </c>
      <c r="AD10" s="83" t="s">
        <v>42</v>
      </c>
      <c r="AE10" s="83" t="s">
        <v>43</v>
      </c>
      <c r="AF10" s="83" t="s">
        <v>44</v>
      </c>
      <c r="AG10" s="83" t="s">
        <v>45</v>
      </c>
      <c r="AH10" s="83" t="s">
        <v>46</v>
      </c>
      <c r="AI10" s="83" t="s">
        <v>47</v>
      </c>
      <c r="AJ10" s="83" t="s">
        <v>48</v>
      </c>
      <c r="AK10" s="83" t="s">
        <v>49</v>
      </c>
      <c r="AL10" s="83" t="s">
        <v>50</v>
      </c>
      <c r="AM10" s="83" t="s">
        <v>51</v>
      </c>
      <c r="AN10" s="83" t="s">
        <v>52</v>
      </c>
      <c r="AO10" s="83" t="s">
        <v>53</v>
      </c>
      <c r="AP10" s="83" t="s">
        <v>54</v>
      </c>
      <c r="AQ10" s="83" t="s">
        <v>55</v>
      </c>
      <c r="AR10" s="83" t="s">
        <v>56</v>
      </c>
      <c r="AS10" s="83" t="s">
        <v>57</v>
      </c>
      <c r="AT10" s="83" t="s">
        <v>58</v>
      </c>
      <c r="AU10" s="83" t="s">
        <v>59</v>
      </c>
      <c r="AV10" s="84" t="s">
        <v>60</v>
      </c>
      <c r="AW10" s="84" t="s">
        <v>61</v>
      </c>
      <c r="AX10" s="85" t="s">
        <v>62</v>
      </c>
      <c r="AY10" s="85" t="s">
        <v>63</v>
      </c>
      <c r="AZ10" s="85" t="s">
        <v>64</v>
      </c>
      <c r="BA10" s="86" t="s">
        <v>65</v>
      </c>
      <c r="BB10" s="86" t="s">
        <v>66</v>
      </c>
      <c r="BC10" s="86" t="s">
        <v>67</v>
      </c>
      <c r="BD10" s="86" t="s">
        <v>68</v>
      </c>
      <c r="BE10" s="86" t="s">
        <v>69</v>
      </c>
      <c r="BF10" s="86" t="s">
        <v>70</v>
      </c>
      <c r="BG10" s="86" t="s">
        <v>71</v>
      </c>
      <c r="BH10" s="86" t="s">
        <v>72</v>
      </c>
      <c r="BI10" s="86" t="s">
        <v>73</v>
      </c>
      <c r="BJ10" s="86" t="s">
        <v>74</v>
      </c>
      <c r="BK10" s="86" t="s">
        <v>75</v>
      </c>
      <c r="BL10" s="86" t="s">
        <v>76</v>
      </c>
      <c r="BM10" s="86" t="s">
        <v>77</v>
      </c>
      <c r="BN10" s="87" t="s">
        <v>78</v>
      </c>
      <c r="BO10" s="87" t="s">
        <v>79</v>
      </c>
      <c r="BP10" s="87" t="s">
        <v>80</v>
      </c>
      <c r="BQ10" s="88" t="s">
        <v>81</v>
      </c>
      <c r="BR10" s="88" t="s">
        <v>82</v>
      </c>
      <c r="BS10" s="88" t="s">
        <v>83</v>
      </c>
      <c r="BT10" s="88" t="s">
        <v>84</v>
      </c>
      <c r="BU10" s="88" t="s">
        <v>85</v>
      </c>
      <c r="BV10" s="88" t="s">
        <v>86</v>
      </c>
      <c r="BW10" s="88" t="s">
        <v>87</v>
      </c>
      <c r="BX10" s="88" t="s">
        <v>88</v>
      </c>
      <c r="BY10" s="88" t="s">
        <v>89</v>
      </c>
      <c r="BZ10" s="88" t="s">
        <v>90</v>
      </c>
      <c r="CA10" s="88" t="s">
        <v>91</v>
      </c>
      <c r="CB10" s="88" t="s">
        <v>92</v>
      </c>
      <c r="CC10" s="88" t="s">
        <v>93</v>
      </c>
      <c r="CD10" s="40"/>
      <c r="CE10" s="89" t="s">
        <v>94</v>
      </c>
      <c r="CF10" s="89" t="s">
        <v>95</v>
      </c>
      <c r="CG10" s="90" t="s">
        <v>96</v>
      </c>
      <c r="CH10" s="40"/>
      <c r="CI10" s="91" t="s">
        <v>97</v>
      </c>
      <c r="CJ10" s="91" t="s">
        <v>98</v>
      </c>
      <c r="CK10" s="91" t="s">
        <v>99</v>
      </c>
      <c r="CL10" s="91" t="s">
        <v>100</v>
      </c>
      <c r="CM10" s="91" t="s">
        <v>101</v>
      </c>
      <c r="CN10" s="91" t="s">
        <v>102</v>
      </c>
      <c r="CO10" s="91" t="s">
        <v>103</v>
      </c>
      <c r="CP10" s="92" t="s">
        <v>104</v>
      </c>
      <c r="CQ10" s="92" t="s">
        <v>105</v>
      </c>
      <c r="CR10" s="13"/>
      <c r="CS10" s="13"/>
      <c r="CT10" s="13"/>
      <c r="CU10" s="13"/>
    </row>
    <row r="11" spans="1:99" s="49" customFormat="1" ht="14.1" customHeight="1">
      <c r="A11" s="93" t="s">
        <v>106</v>
      </c>
      <c r="B11" s="49">
        <f>AVERAGE(B7:B10)</f>
        <v>94.75</v>
      </c>
      <c r="E11" s="50">
        <f>AVERAGE(E7:E10)</f>
        <v>317.79624999999999</v>
      </c>
      <c r="G11" s="50">
        <f>AVERAGE(G7:G10)</f>
        <v>2269.8597156249998</v>
      </c>
      <c r="H11" s="50">
        <f>AVERAGE(H7:H10)</f>
        <v>2396.530754397153</v>
      </c>
      <c r="J11" s="94">
        <f>AVERAGE(J7:J10)</f>
        <v>2.07925973292588</v>
      </c>
      <c r="K11" s="50" t="s">
        <v>39</v>
      </c>
      <c r="L11" s="50">
        <f>AVERAGE(L7:L10)</f>
        <v>2.8677409486733834</v>
      </c>
      <c r="M11" s="50"/>
      <c r="N11" s="94">
        <f>AVERAGE(N7:N10)</f>
        <v>2.07925973292588</v>
      </c>
      <c r="O11" s="50">
        <f>AVERAGE(O7:O10)</f>
        <v>2.8677409486733834</v>
      </c>
      <c r="P11" s="95"/>
      <c r="Q11" s="95"/>
      <c r="R11" s="95"/>
      <c r="S11" s="6"/>
      <c r="T11" s="13">
        <v>0</v>
      </c>
      <c r="U11" s="14">
        <v>339.5</v>
      </c>
      <c r="V11" s="15"/>
      <c r="W11" s="15"/>
      <c r="X11" s="96">
        <f>AVERAGE(X7:X10)</f>
        <v>0.72200000000000009</v>
      </c>
      <c r="Y11" s="70" t="s">
        <v>107</v>
      </c>
      <c r="Z11" s="96">
        <f>AVERAGE(Z7:Z10)</f>
        <v>18.37725</v>
      </c>
      <c r="AA11" s="30"/>
      <c r="AB11" s="72">
        <f>J11</f>
        <v>2.07925973292588</v>
      </c>
      <c r="AC11" s="73">
        <f>AB11/($D$4/$D$2)</f>
        <v>2.8677409486733834</v>
      </c>
      <c r="AD11" s="73">
        <f>AB11/Z11</f>
        <v>0.11314313800627841</v>
      </c>
      <c r="AE11" s="73">
        <f>AC11/Z11</f>
        <v>0.15604842665107038</v>
      </c>
      <c r="AF11" s="72">
        <f>N20</f>
        <v>0.904966256144491</v>
      </c>
      <c r="AG11" s="72">
        <f>AF11/($D$4/$D$2)</f>
        <v>1.248140743947026</v>
      </c>
      <c r="AH11" s="72">
        <f>AF11/Z18</f>
        <v>2.43705500178946E-2</v>
      </c>
      <c r="AI11" s="72">
        <f>AG11/Z18</f>
        <v>3.3612166446211136E-2</v>
      </c>
      <c r="AJ11" s="73">
        <f>((AB11-AF11)/AB11)*100</f>
        <v>56.476517011607484</v>
      </c>
      <c r="AK11" s="73">
        <f>((AC11-AG11)/AC11)*100</f>
        <v>56.476517011607484</v>
      </c>
      <c r="AL11" s="73">
        <f>((AD11-AH11)/AD11)*100</f>
        <v>78.460425928311921</v>
      </c>
      <c r="AM11" s="73">
        <f>((AE11-AI11)/AE11)*100</f>
        <v>78.460425928311935</v>
      </c>
      <c r="AN11" s="72">
        <f>N29</f>
        <v>-0.20974633071213644</v>
      </c>
      <c r="AO11" s="72">
        <f>AN11/($D$4/$D$2)</f>
        <v>-0.28928475451730645</v>
      </c>
      <c r="AP11" s="72">
        <f>AN11/Z25</f>
        <v>-1.0345582061366107E-3</v>
      </c>
      <c r="AQ11" s="72">
        <f>AO11/Z25</f>
        <v>-1.4268755771791777E-3</v>
      </c>
      <c r="AR11" s="73">
        <f>((AB11-AN11)/AB11)*100</f>
        <v>110.08754834187968</v>
      </c>
      <c r="AS11" s="73">
        <f>((AC11-AO11)/AC11)*100</f>
        <v>110.08754834187968</v>
      </c>
      <c r="AT11" s="73">
        <f>((AD11-AP11)/AD11)*100</f>
        <v>100.9143799830611</v>
      </c>
      <c r="AU11" s="73">
        <f>((AE11-AQ11)/AE11)*100</f>
        <v>100.91437998306112</v>
      </c>
      <c r="AV11" s="72">
        <f>J11</f>
        <v>2.07925973292588</v>
      </c>
      <c r="AW11" s="72">
        <f>AV11/($D$4/$D$2)</f>
        <v>2.8677409486733834</v>
      </c>
      <c r="AX11" s="95">
        <f>M20</f>
        <v>0.76594948550046771</v>
      </c>
      <c r="AY11" s="95">
        <f>AX11/($D$4/$D$2)</f>
        <v>1.0564070805594261</v>
      </c>
      <c r="AZ11" s="95">
        <f>AX11/Z11</f>
        <v>4.1679222163297974E-2</v>
      </c>
      <c r="BA11" s="73">
        <f>AY11/Z11</f>
        <v>5.7484502880432387E-2</v>
      </c>
      <c r="BB11" s="72">
        <f>P21</f>
        <v>0.72261615216713437</v>
      </c>
      <c r="BC11" s="73">
        <f>BB11/($D$4/$D$2)</f>
        <v>0.99664120692917724</v>
      </c>
      <c r="BD11" s="73">
        <f>BB11/Z18</f>
        <v>1.9459900256563713E-2</v>
      </c>
      <c r="BE11" s="73">
        <f>BC11/Z18</f>
        <v>2.6839337067485435E-2</v>
      </c>
      <c r="BF11" s="72">
        <f>K20</f>
        <v>1.7375200447319559</v>
      </c>
      <c r="BG11" s="73">
        <f>BF11/($D$4/$D$2)</f>
        <v>2.3964093097724892</v>
      </c>
      <c r="BH11" s="73">
        <f>BF11/Z18</f>
        <v>4.6791047588490092E-2</v>
      </c>
      <c r="BI11" s="73">
        <f>BG11/Z18</f>
        <v>6.4534796243092218E-2</v>
      </c>
      <c r="BJ11" s="72">
        <f>J21</f>
        <v>1.5624448047680777</v>
      </c>
      <c r="BK11" s="73">
        <f>BJ11/($D$4/$D$2)</f>
        <v>2.1549433559078741</v>
      </c>
      <c r="BL11" s="73">
        <f>BJ11/Z18</f>
        <v>4.2076308377536183E-2</v>
      </c>
      <c r="BM11" s="73">
        <f>BK11/Z18</f>
        <v>5.803216913813565E-2</v>
      </c>
      <c r="BN11" s="95">
        <f>M29</f>
        <v>4.0961646398503273</v>
      </c>
      <c r="BO11" s="95">
        <f>BN11/($D$4/$D$2)</f>
        <v>5.6494813438612796</v>
      </c>
      <c r="BP11" s="95">
        <f>BN11/Z25</f>
        <v>2.020402801544011E-2</v>
      </c>
      <c r="BQ11" s="73">
        <f>BO11/Z25</f>
        <v>2.7865647350603137E-2</v>
      </c>
      <c r="BR11" s="72">
        <f>P30</f>
        <v>4.1394979731836603</v>
      </c>
      <c r="BS11" s="73">
        <f>BR11/($D$4/$D$2)</f>
        <v>5.7092472174915274</v>
      </c>
      <c r="BT11" s="73">
        <f>BR11/Z25</f>
        <v>2.0417766465343105E-2</v>
      </c>
      <c r="BU11" s="73">
        <f>BS11/Z25</f>
        <v>2.8160438085683772E-2</v>
      </c>
      <c r="BV11" s="72">
        <f>K29</f>
        <v>3.6616287862195751</v>
      </c>
      <c r="BW11" s="73">
        <f>BV11/($D$4/$D$2)</f>
        <v>5.0501640765710976</v>
      </c>
      <c r="BX11" s="73">
        <f>BV11/Z25</f>
        <v>1.8060712174309834E-2</v>
      </c>
      <c r="BY11" s="73">
        <f>BW11/Z25</f>
        <v>2.4909559418817687E-2</v>
      </c>
      <c r="BZ11" s="72">
        <f>J30</f>
        <v>6.1742069578841754</v>
      </c>
      <c r="CA11" s="73">
        <f>BZ11/($D$4/$D$2)</f>
        <v>8.5155432187363687</v>
      </c>
      <c r="CB11" s="73">
        <f>BZ11/Z25</f>
        <v>3.0453817489810478E-2</v>
      </c>
      <c r="CC11" s="73">
        <f>CA11/Z25</f>
        <v>4.2002284792031025E-2</v>
      </c>
      <c r="CD11" s="13"/>
      <c r="CE11" s="97">
        <f>B11</f>
        <v>94.75</v>
      </c>
      <c r="CF11" s="13">
        <f>Z11</f>
        <v>18.37725</v>
      </c>
      <c r="CG11" s="40">
        <f>((CE11/18)*CF11)/22.5</f>
        <v>4.2993689814814822</v>
      </c>
      <c r="CH11" s="40"/>
      <c r="CI11" s="40">
        <f>X28</f>
        <v>0</v>
      </c>
      <c r="CJ11" s="40">
        <f>X29</f>
        <v>0</v>
      </c>
      <c r="CK11" s="40">
        <f>X30</f>
        <v>0</v>
      </c>
      <c r="CL11" s="40">
        <f>X31</f>
        <v>0</v>
      </c>
      <c r="CM11" s="40">
        <f>X32</f>
        <v>0</v>
      </c>
      <c r="CN11" s="40">
        <f>X33</f>
        <v>0</v>
      </c>
      <c r="CO11" s="13">
        <f>X11</f>
        <v>0.72200000000000009</v>
      </c>
      <c r="CP11" s="13">
        <f>X18</f>
        <v>0.26080000000000003</v>
      </c>
      <c r="CQ11" s="13">
        <f>X25</f>
        <v>6.8199999999999997E-2</v>
      </c>
      <c r="CR11" s="13"/>
      <c r="CS11" s="13"/>
      <c r="CT11" s="13"/>
      <c r="CU11" s="13"/>
    </row>
    <row r="12" spans="1:99" ht="14.1" customHeight="1" thickBot="1">
      <c r="B12" s="98"/>
      <c r="C12" s="65"/>
      <c r="D12" s="99"/>
      <c r="E12" s="13"/>
      <c r="F12" s="13"/>
      <c r="G12" s="13"/>
      <c r="H12" s="13"/>
      <c r="I12" s="13"/>
      <c r="J12" s="6" t="s">
        <v>108</v>
      </c>
      <c r="K12" s="13"/>
      <c r="L12" s="13"/>
      <c r="M12" s="12" t="s">
        <v>39</v>
      </c>
      <c r="N12" s="13"/>
      <c r="O12" s="13"/>
      <c r="P12" s="13"/>
      <c r="Q12" s="30"/>
      <c r="R12" s="30"/>
      <c r="U12" s="14">
        <v>364.25</v>
      </c>
      <c r="V12" s="15"/>
      <c r="W12" s="15"/>
      <c r="Y12" s="70"/>
      <c r="Z12" s="96"/>
      <c r="AA12" s="30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30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40"/>
      <c r="CG12" s="40"/>
      <c r="CH12" s="40"/>
      <c r="CI12" s="40"/>
      <c r="CJ12" s="40"/>
      <c r="CK12" s="40"/>
      <c r="CL12" s="40"/>
      <c r="CM12" s="40"/>
      <c r="CN12" s="40"/>
    </row>
    <row r="13" spans="1:99" ht="14.1" customHeight="1" thickBot="1">
      <c r="B13" s="98"/>
      <c r="C13" s="65"/>
      <c r="D13" s="99"/>
      <c r="E13" s="13"/>
      <c r="F13" s="13"/>
      <c r="G13" s="13"/>
      <c r="H13" s="13"/>
      <c r="I13" s="13"/>
      <c r="J13" s="6"/>
      <c r="K13" s="13"/>
      <c r="L13" s="13"/>
      <c r="M13" s="100" t="s">
        <v>32</v>
      </c>
      <c r="N13" s="101"/>
      <c r="O13" s="101"/>
      <c r="P13" s="101"/>
      <c r="Q13" s="30"/>
      <c r="R13" s="102" t="s">
        <v>25</v>
      </c>
      <c r="S13" s="103" t="s">
        <v>109</v>
      </c>
      <c r="T13" s="13">
        <v>30</v>
      </c>
      <c r="U13" s="14">
        <v>427.02</v>
      </c>
      <c r="V13" s="15"/>
      <c r="W13" s="15"/>
      <c r="X13" s="69">
        <v>0.26200000000000001</v>
      </c>
      <c r="Y13" s="30">
        <v>90</v>
      </c>
      <c r="Z13" s="71">
        <v>18.584</v>
      </c>
      <c r="AA13" s="40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19"/>
      <c r="AY13" s="74"/>
      <c r="AZ13" s="74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40"/>
      <c r="CG13" s="40"/>
      <c r="CH13" s="40"/>
      <c r="CI13" s="40"/>
      <c r="CJ13" s="40"/>
      <c r="CK13" s="40"/>
      <c r="CL13" s="40"/>
      <c r="CM13" s="40"/>
      <c r="CN13" s="40"/>
    </row>
    <row r="14" spans="1:99" ht="14.1" customHeight="1">
      <c r="A14" s="12">
        <v>90</v>
      </c>
      <c r="B14" s="75">
        <v>94</v>
      </c>
      <c r="C14" s="65"/>
      <c r="D14" s="104">
        <f>AVERAGE(U17:U18)</f>
        <v>390.83</v>
      </c>
      <c r="E14" s="78">
        <f>D14-$E$5</f>
        <v>361.85499999999996</v>
      </c>
      <c r="F14" s="78"/>
      <c r="G14" s="78">
        <f t="shared" ref="G14:G27" si="0">($E14*7.1425)</f>
        <v>2584.5493374999996</v>
      </c>
      <c r="H14" s="78">
        <f t="shared" ref="H14:H27" si="1">($G14/($B14*0.01))</f>
        <v>2749.5205718085099</v>
      </c>
      <c r="I14" s="33">
        <f>$C$15*A14+$C$16</f>
        <v>2602.6484325000001</v>
      </c>
      <c r="J14" s="105" t="s">
        <v>110</v>
      </c>
      <c r="K14" s="106" t="s">
        <v>111</v>
      </c>
      <c r="L14" s="13"/>
      <c r="M14" s="107">
        <f>(((S14/60)*$J$1)/$D$2)</f>
        <v>0.49953227315247889</v>
      </c>
      <c r="N14" s="101"/>
      <c r="O14" s="101"/>
      <c r="P14" s="101"/>
      <c r="Q14" s="30"/>
      <c r="R14" s="108">
        <v>90</v>
      </c>
      <c r="S14" s="109">
        <v>18</v>
      </c>
      <c r="U14" s="14">
        <v>380.56</v>
      </c>
      <c r="V14" s="15"/>
      <c r="W14" s="110"/>
      <c r="X14" s="69">
        <v>0.27200000000000002</v>
      </c>
      <c r="Y14" s="30">
        <v>100</v>
      </c>
      <c r="Z14" s="71">
        <v>29.489000000000001</v>
      </c>
      <c r="AA14" s="40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19"/>
      <c r="AY14" s="74"/>
      <c r="AZ14" s="74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40"/>
      <c r="CG14" s="40"/>
      <c r="CH14" s="40"/>
      <c r="CI14" s="40"/>
      <c r="CJ14" s="40"/>
      <c r="CK14" s="40"/>
      <c r="CL14" s="40"/>
      <c r="CM14" s="40"/>
      <c r="CN14" s="40"/>
    </row>
    <row r="15" spans="1:99" s="115" customFormat="1" ht="14.1" customHeight="1">
      <c r="A15" s="12">
        <v>100</v>
      </c>
      <c r="B15" s="195">
        <v>94</v>
      </c>
      <c r="C15" s="65">
        <f>SLOPE(G15:G18,A15:A18)</f>
        <v>4.5883419999999937</v>
      </c>
      <c r="D15" s="104">
        <f>AVERAGE(U19:U20)</f>
        <v>401.64</v>
      </c>
      <c r="E15" s="66">
        <f>D15-$E$5</f>
        <v>372.66499999999996</v>
      </c>
      <c r="F15" s="111">
        <v>180</v>
      </c>
      <c r="G15" s="112">
        <f t="shared" si="0"/>
        <v>2661.7597624999999</v>
      </c>
      <c r="H15" s="78">
        <f t="shared" si="1"/>
        <v>2831.6593218085104</v>
      </c>
      <c r="I15" s="33">
        <f>$C$15*A15+$C$16</f>
        <v>2648.5318524999998</v>
      </c>
      <c r="J15" s="113">
        <f>((($N$2-(130*$D$2*(((B15+B14)*0.01)/2))*((I15-I14)/(A15-A14))))/((I15+I14)/2))/$D$2</f>
        <v>1.6816528590092434</v>
      </c>
      <c r="K15" s="114">
        <f>$N$2/H15/$D$2</f>
        <v>1.7572829202290987</v>
      </c>
      <c r="L15" s="114">
        <f>J15/($D$4/$D$2)</f>
        <v>2.3193565906498446</v>
      </c>
      <c r="M15" s="107">
        <f>(((S15/60)*$J$1)/$D$2)</f>
        <v>0.83255378858746487</v>
      </c>
      <c r="N15" s="19">
        <f>K15-M15</f>
        <v>0.92472913164163384</v>
      </c>
      <c r="O15" s="74">
        <f>N15/($D$4/$D$2)</f>
        <v>1.2753979482439319</v>
      </c>
      <c r="P15" s="74"/>
      <c r="Q15" s="30"/>
      <c r="R15" s="108">
        <v>100</v>
      </c>
      <c r="S15" s="109">
        <v>30</v>
      </c>
      <c r="T15" s="13">
        <v>60</v>
      </c>
      <c r="U15" s="14">
        <v>387.68</v>
      </c>
      <c r="V15" s="15"/>
      <c r="W15" s="110"/>
      <c r="X15" s="69">
        <v>0.27200000000000002</v>
      </c>
      <c r="Y15" s="30">
        <v>110</v>
      </c>
      <c r="Z15" s="71">
        <v>57.017000000000003</v>
      </c>
      <c r="AA15" s="40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19"/>
      <c r="AY15" s="74"/>
      <c r="AZ15" s="74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40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40"/>
      <c r="CH15" s="40"/>
      <c r="CI15" s="40"/>
      <c r="CJ15" s="40"/>
      <c r="CK15" s="40"/>
      <c r="CL15" s="40"/>
      <c r="CM15" s="40"/>
      <c r="CN15" s="40"/>
      <c r="CO15" s="13"/>
      <c r="CP15" s="13"/>
      <c r="CQ15" s="13"/>
      <c r="CR15" s="13"/>
      <c r="CS15" s="13"/>
      <c r="CT15" s="13"/>
      <c r="CU15" s="13"/>
    </row>
    <row r="16" spans="1:99" ht="14.1" customHeight="1">
      <c r="A16" s="12">
        <v>110</v>
      </c>
      <c r="B16" s="75">
        <v>94</v>
      </c>
      <c r="C16" s="65">
        <f>INTERCEPT(G15:G18,A15:A18)</f>
        <v>2189.6976525000005</v>
      </c>
      <c r="D16" s="104">
        <f>AVERAGE(U21:U22)</f>
        <v>398.58000000000004</v>
      </c>
      <c r="E16" s="66">
        <f>D16-$E$5</f>
        <v>369.60500000000002</v>
      </c>
      <c r="F16" s="116">
        <v>210</v>
      </c>
      <c r="G16" s="66">
        <f t="shared" si="0"/>
        <v>2639.9037125</v>
      </c>
      <c r="H16" s="78">
        <f t="shared" si="1"/>
        <v>2808.4082047872339</v>
      </c>
      <c r="I16" s="33">
        <f>$C$15*A16+$C$16</f>
        <v>2694.4152724999999</v>
      </c>
      <c r="J16" s="113">
        <f>((($N$2-(130*$D$2*(((B16+B15)*0.01)/2))*((I16-I15)/(A16-A15))))/((I16+I15)/2))/$D$2</f>
        <v>1.6527699288139996</v>
      </c>
      <c r="K16" s="67">
        <f>$N$2/H16/$D$2</f>
        <v>1.7718316566799068</v>
      </c>
      <c r="L16" s="67">
        <f>J16/($D$4/$D$2)</f>
        <v>2.2795208932009157</v>
      </c>
      <c r="M16" s="107">
        <f>(((S16/60)*$J$1)/$D$2)</f>
        <v>0.83255378858746487</v>
      </c>
      <c r="N16" s="19">
        <f>K16-M16</f>
        <v>0.93927786809244196</v>
      </c>
      <c r="O16" s="67">
        <f>N16/($D$4/$D$2)</f>
        <v>1.2954637469562118</v>
      </c>
      <c r="P16" s="67"/>
      <c r="Q16" s="30"/>
      <c r="R16" s="108">
        <v>110</v>
      </c>
      <c r="S16" s="109">
        <v>30</v>
      </c>
      <c r="U16" s="14">
        <v>409</v>
      </c>
      <c r="V16" s="15"/>
      <c r="W16" s="110"/>
      <c r="X16" s="69">
        <v>0.23799999999999999</v>
      </c>
      <c r="Y16" s="30">
        <v>115</v>
      </c>
      <c r="Z16" s="71">
        <v>38.866</v>
      </c>
      <c r="AA16" s="40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19"/>
      <c r="AY16" s="74"/>
      <c r="AZ16" s="74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40"/>
    </row>
    <row r="17" spans="1:67" ht="14.1" customHeight="1">
      <c r="A17" s="12">
        <v>115</v>
      </c>
      <c r="B17" s="75">
        <v>94</v>
      </c>
      <c r="C17" s="65"/>
      <c r="D17" s="104">
        <f>AVERAGE(U23:U24)</f>
        <v>417.28</v>
      </c>
      <c r="E17" s="66">
        <f>D17-$E$5</f>
        <v>388.30499999999995</v>
      </c>
      <c r="F17" s="116">
        <v>220</v>
      </c>
      <c r="G17" s="66">
        <f t="shared" si="0"/>
        <v>2773.4684624999995</v>
      </c>
      <c r="H17" s="78">
        <f t="shared" si="1"/>
        <v>2950.4983643617015</v>
      </c>
      <c r="I17" s="33">
        <f>$C$15*A17+$C$16</f>
        <v>2717.3569824999995</v>
      </c>
      <c r="J17" s="113">
        <f>((($N$2-(130*$D$2*(((B17+B16)*0.01)/2))*((I17-I16)/(A17-A16))))/((I17+I16)/2))/$D$2</f>
        <v>1.6317505473894403</v>
      </c>
      <c r="K17" s="67">
        <f>$N$2/H17/$D$2</f>
        <v>1.6865037521205679</v>
      </c>
      <c r="L17" s="67">
        <f>J17/($D$4/$D$2)</f>
        <v>2.2505307002623107</v>
      </c>
      <c r="M17" s="107">
        <f>(((S17/60)*$J$1)/$D$2)</f>
        <v>0.83255378858746487</v>
      </c>
      <c r="N17" s="19">
        <f>K17-M17</f>
        <v>0.85394996353310304</v>
      </c>
      <c r="O17" s="67">
        <f>N17/($D$4/$D$2)</f>
        <v>1.1777784370863489</v>
      </c>
      <c r="P17" s="67"/>
      <c r="Q17" s="30"/>
      <c r="R17" s="108">
        <v>115</v>
      </c>
      <c r="S17" s="117">
        <v>30</v>
      </c>
      <c r="T17" s="40">
        <v>90</v>
      </c>
      <c r="U17" s="14">
        <v>399.89</v>
      </c>
      <c r="V17" s="15"/>
      <c r="W17" s="110"/>
      <c r="X17" s="69">
        <v>0.26</v>
      </c>
      <c r="Y17" s="30">
        <v>120</v>
      </c>
      <c r="Z17" s="71">
        <v>41.712000000000003</v>
      </c>
      <c r="AA17" s="40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19"/>
      <c r="AY17" s="74"/>
      <c r="AZ17" s="74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40"/>
    </row>
    <row r="18" spans="1:67" ht="14.1" customHeight="1">
      <c r="A18" s="12">
        <v>120</v>
      </c>
      <c r="B18" s="118">
        <v>95</v>
      </c>
      <c r="C18" s="65"/>
      <c r="D18" s="104">
        <f>AVERAGE(U25:U26)</f>
        <v>410.56</v>
      </c>
      <c r="E18" s="66">
        <f>D18-$E$5</f>
        <v>381.58499999999998</v>
      </c>
      <c r="F18" s="116">
        <v>225</v>
      </c>
      <c r="G18" s="66">
        <f t="shared" si="0"/>
        <v>2725.4708624999998</v>
      </c>
      <c r="H18" s="78">
        <f t="shared" si="1"/>
        <v>2868.9166973684205</v>
      </c>
      <c r="I18" s="33">
        <f>$C$15*A18+$C$16</f>
        <v>2740.2986924999996</v>
      </c>
      <c r="J18" s="113">
        <f>((($N$2-(130*$D$2*(((B18+B17)*0.01)/2))*((I18-I17)/(A18-A17))))/((I18+I17)/2))/$D$2</f>
        <v>1.6169392171929597</v>
      </c>
      <c r="K18" s="67">
        <f>$N$2/H18/$D$2</f>
        <v>1.73446184989825</v>
      </c>
      <c r="L18" s="67">
        <f>J18/($D$4/$D$2)</f>
        <v>2.230102728981878</v>
      </c>
      <c r="M18" s="107">
        <f>(((S18/60)*$J$1)/$D$2)</f>
        <v>0.83255378858746487</v>
      </c>
      <c r="N18" s="19">
        <f>K18-M18</f>
        <v>0.90190806131078516</v>
      </c>
      <c r="O18" s="67">
        <f>N18/($D$4/$D$2)</f>
        <v>1.2439228435016121</v>
      </c>
      <c r="P18" s="67"/>
      <c r="Q18" s="30"/>
      <c r="R18" s="108">
        <v>120</v>
      </c>
      <c r="S18" s="117">
        <v>30</v>
      </c>
      <c r="T18" s="30"/>
      <c r="U18" s="14">
        <v>381.77</v>
      </c>
      <c r="V18" s="15"/>
      <c r="W18" s="110"/>
      <c r="X18" s="96">
        <f>AVERAGE(X13:X17)</f>
        <v>0.26080000000000003</v>
      </c>
      <c r="Y18" s="30" t="s">
        <v>107</v>
      </c>
      <c r="Z18" s="96">
        <f>AVERAGE(Z13:Z17)</f>
        <v>37.133600000000001</v>
      </c>
      <c r="AA18" s="30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5"/>
      <c r="AY18" s="95"/>
      <c r="AZ18" s="95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2"/>
      <c r="BO18" s="40"/>
    </row>
    <row r="19" spans="1:67" ht="14.1" customHeight="1" thickBot="1">
      <c r="A19" s="63"/>
      <c r="B19" s="98"/>
      <c r="C19" s="65"/>
      <c r="D19" s="99"/>
      <c r="E19" s="66"/>
      <c r="F19" s="63"/>
      <c r="G19" s="66"/>
      <c r="H19" s="66"/>
      <c r="I19" s="33"/>
      <c r="J19" s="113"/>
      <c r="K19" s="67"/>
      <c r="L19" s="67"/>
      <c r="M19" s="107"/>
      <c r="O19" s="67"/>
      <c r="P19" s="67"/>
      <c r="Q19" s="30"/>
      <c r="R19" s="108"/>
      <c r="S19" s="117"/>
      <c r="T19" s="41">
        <v>100</v>
      </c>
      <c r="U19" s="14">
        <v>400.37</v>
      </c>
      <c r="V19" s="15"/>
      <c r="W19" s="110"/>
      <c r="Y19" s="30"/>
      <c r="Z19" s="96"/>
      <c r="AA19" s="30"/>
      <c r="AB19" s="96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30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40"/>
    </row>
    <row r="20" spans="1:67" ht="14.1" customHeight="1" thickBot="1">
      <c r="A20" s="119" t="s">
        <v>112</v>
      </c>
      <c r="B20" s="120">
        <f>AVERAGE(B14:B19)</f>
        <v>94.2</v>
      </c>
      <c r="C20" s="121"/>
      <c r="D20" s="122">
        <f>AVERAGE(D14:D18)</f>
        <v>403.77800000000002</v>
      </c>
      <c r="E20" s="122">
        <f>AVERAGE(E14:E18)</f>
        <v>374.803</v>
      </c>
      <c r="F20" s="122"/>
      <c r="G20" s="122">
        <f>AVERAGE(G14:G18)</f>
        <v>2677.0304274999999</v>
      </c>
      <c r="H20" s="122">
        <f>AVERAGE(H14:H18)</f>
        <v>2841.8006320268751</v>
      </c>
      <c r="I20" s="122"/>
      <c r="J20" s="122">
        <f t="shared" ref="J20:O20" si="2">AVERAGE(J14:J18)</f>
        <v>1.6457781381014109</v>
      </c>
      <c r="K20" s="123">
        <f t="shared" si="2"/>
        <v>1.7375200447319559</v>
      </c>
      <c r="L20" s="122">
        <f t="shared" si="2"/>
        <v>2.2698777282737375</v>
      </c>
      <c r="M20" s="122">
        <f t="shared" si="2"/>
        <v>0.76594948550046771</v>
      </c>
      <c r="N20" s="123">
        <f t="shared" si="2"/>
        <v>0.904966256144491</v>
      </c>
      <c r="O20" s="122">
        <f t="shared" si="2"/>
        <v>1.248140743947026</v>
      </c>
      <c r="P20" s="124"/>
      <c r="Q20" s="30"/>
      <c r="R20" s="108"/>
      <c r="S20" s="117"/>
      <c r="T20" s="41"/>
      <c r="U20" s="14">
        <v>402.91</v>
      </c>
      <c r="V20" s="15"/>
      <c r="W20" s="110"/>
      <c r="X20" s="69">
        <v>7.3999999999999996E-2</v>
      </c>
      <c r="Y20" s="70">
        <v>210</v>
      </c>
      <c r="Z20" s="71">
        <v>184.86</v>
      </c>
      <c r="AA20" s="40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4"/>
      <c r="AY20" s="74"/>
      <c r="AZ20" s="74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40"/>
    </row>
    <row r="21" spans="1:67" ht="14.1" customHeight="1" thickBot="1">
      <c r="A21" s="70"/>
      <c r="B21" s="118"/>
      <c r="C21" s="36"/>
      <c r="D21" s="99"/>
      <c r="E21" s="33"/>
      <c r="F21" s="125" t="s">
        <v>113</v>
      </c>
      <c r="G21" s="33"/>
      <c r="H21" s="33"/>
      <c r="I21" s="126" t="s">
        <v>114</v>
      </c>
      <c r="J21" s="127">
        <f>J20-((B18-B15)*0.25*$D$2*10)/(30*$D$2)</f>
        <v>1.5624448047680777</v>
      </c>
      <c r="K21" s="74"/>
      <c r="L21" s="128" t="s">
        <v>33</v>
      </c>
      <c r="M21" s="129">
        <f>J21-M20</f>
        <v>0.79649531926760997</v>
      </c>
      <c r="N21" s="19"/>
      <c r="O21" s="74"/>
      <c r="P21" s="130">
        <f>$M$20-(((B18-B14)*1.3)/(A18-A14))</f>
        <v>0.72261615216713437</v>
      </c>
      <c r="Q21" s="30"/>
      <c r="R21" s="131"/>
      <c r="S21" s="117"/>
      <c r="T21" s="41">
        <v>110</v>
      </c>
      <c r="U21" s="14">
        <v>391.75</v>
      </c>
      <c r="V21" s="15"/>
      <c r="W21" s="110"/>
      <c r="X21" s="69">
        <v>7.3999999999999996E-2</v>
      </c>
      <c r="Y21" s="70">
        <v>220</v>
      </c>
      <c r="Z21" s="71">
        <v>211.7</v>
      </c>
      <c r="AA21" s="40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4"/>
      <c r="AY21" s="74"/>
      <c r="AZ21" s="74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40"/>
    </row>
    <row r="22" spans="1:67" ht="14.1" customHeight="1" thickBot="1">
      <c r="A22" s="63"/>
      <c r="B22" s="98"/>
      <c r="C22" s="65"/>
      <c r="D22" s="99"/>
      <c r="E22" s="66"/>
      <c r="F22" s="63"/>
      <c r="G22" s="66"/>
      <c r="H22" s="66"/>
      <c r="I22" s="33"/>
      <c r="J22" s="132"/>
      <c r="K22" s="67"/>
      <c r="L22" s="133"/>
      <c r="M22" s="134"/>
      <c r="N22" s="101"/>
      <c r="O22" s="133"/>
      <c r="P22" s="133"/>
      <c r="Q22" s="30"/>
      <c r="R22" s="102" t="s">
        <v>25</v>
      </c>
      <c r="S22" s="103" t="s">
        <v>109</v>
      </c>
      <c r="T22" s="30"/>
      <c r="U22" s="14">
        <v>405.41</v>
      </c>
      <c r="V22" s="15"/>
      <c r="W22" s="110"/>
      <c r="X22" s="69">
        <v>8.1000000000000003E-2</v>
      </c>
      <c r="Y22" s="70">
        <v>230</v>
      </c>
      <c r="Z22" s="71">
        <v>229.75</v>
      </c>
      <c r="AA22" s="40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4"/>
      <c r="AY22" s="74"/>
      <c r="AZ22" s="74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40"/>
    </row>
    <row r="23" spans="1:67" ht="14.1" customHeight="1">
      <c r="A23" s="63">
        <v>210</v>
      </c>
      <c r="B23" s="75">
        <v>105</v>
      </c>
      <c r="C23" s="65"/>
      <c r="D23" s="104">
        <f>AVERAGE(U31:U32)</f>
        <v>277.91500000000002</v>
      </c>
      <c r="E23" s="78">
        <f>D23-$E$5</f>
        <v>248.94000000000003</v>
      </c>
      <c r="F23" s="78"/>
      <c r="G23" s="78">
        <f t="shared" si="0"/>
        <v>1778.0539500000002</v>
      </c>
      <c r="H23" s="78">
        <f t="shared" si="1"/>
        <v>1693.3847142857144</v>
      </c>
      <c r="I23" s="33">
        <f>$C$24*A23+$C$25</f>
        <v>1953.2451899999996</v>
      </c>
      <c r="J23" s="105" t="s">
        <v>110</v>
      </c>
      <c r="K23" s="106" t="s">
        <v>111</v>
      </c>
      <c r="L23" s="67"/>
      <c r="M23" s="19">
        <f>(((S23/60)*$J$1)/$D$2)</f>
        <v>4.995322731524789</v>
      </c>
      <c r="N23" s="101"/>
      <c r="O23" s="133"/>
      <c r="P23" s="133"/>
      <c r="Q23" s="30"/>
      <c r="R23" s="131">
        <v>210</v>
      </c>
      <c r="S23" s="117">
        <v>180</v>
      </c>
      <c r="T23" s="13">
        <v>115</v>
      </c>
      <c r="U23" s="14">
        <v>402.63</v>
      </c>
      <c r="V23" s="15"/>
      <c r="W23" s="110"/>
      <c r="X23" s="69">
        <v>0.06</v>
      </c>
      <c r="Y23" s="70">
        <v>235</v>
      </c>
      <c r="Z23" s="71">
        <v>183.81</v>
      </c>
      <c r="AA23" s="40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4"/>
      <c r="AY23" s="74"/>
      <c r="AZ23" s="74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40"/>
    </row>
    <row r="24" spans="1:67" ht="14.1" customHeight="1">
      <c r="A24" s="63">
        <v>220</v>
      </c>
      <c r="B24" s="75">
        <v>113</v>
      </c>
      <c r="C24" s="65">
        <f>SLOPE(G24:G27,A24:A27)</f>
        <v>-20.6432535</v>
      </c>
      <c r="D24" s="104">
        <f>AVERAGE(U33:U34)</f>
        <v>271.60500000000002</v>
      </c>
      <c r="E24" s="66">
        <f>D24-$E$5</f>
        <v>242.63000000000002</v>
      </c>
      <c r="F24" s="111">
        <v>180</v>
      </c>
      <c r="G24" s="112">
        <f t="shared" si="0"/>
        <v>1732.9847750000001</v>
      </c>
      <c r="H24" s="112">
        <f t="shared" si="1"/>
        <v>1533.6148451327433</v>
      </c>
      <c r="I24" s="33">
        <f>$C$24*A24+$C$25</f>
        <v>1746.8126549999997</v>
      </c>
      <c r="J24" s="113">
        <f>((($N$2-(130*$D$2*(((B24+B23)*0.01)/2))*((I24-I23)/(A24-A23))))/((I24+I23)/2))/$D$2</f>
        <v>4.2708389512065095</v>
      </c>
      <c r="K24" s="114">
        <f>$N$2/H24/$D$2</f>
        <v>3.2446390160568019</v>
      </c>
      <c r="L24" s="114">
        <f>J24/($D$4/$D$2)</f>
        <v>5.8903943319912253</v>
      </c>
      <c r="M24" s="107">
        <f>(((S24/60)*$J$1)/$D$2)</f>
        <v>4.4957904583723103</v>
      </c>
      <c r="N24" s="19">
        <f>K24-M24</f>
        <v>-1.2511514423155083</v>
      </c>
      <c r="O24" s="74">
        <f>N24/($D$4/$D$2)</f>
        <v>-1.7256036690861312</v>
      </c>
      <c r="P24" s="74"/>
      <c r="Q24" s="30"/>
      <c r="R24" s="131">
        <v>220</v>
      </c>
      <c r="S24" s="117">
        <v>162</v>
      </c>
      <c r="U24" s="14">
        <v>431.93</v>
      </c>
      <c r="V24" s="15"/>
      <c r="W24" s="110"/>
      <c r="X24" s="69">
        <v>5.1999999999999998E-2</v>
      </c>
      <c r="Y24" s="70">
        <v>240</v>
      </c>
      <c r="Z24" s="71">
        <v>203.58</v>
      </c>
      <c r="AA24" s="40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4"/>
      <c r="AY24" s="74"/>
      <c r="AZ24" s="74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40"/>
    </row>
    <row r="25" spans="1:67" ht="14.1" customHeight="1">
      <c r="A25" s="63">
        <v>230</v>
      </c>
      <c r="B25" s="75">
        <v>113</v>
      </c>
      <c r="C25" s="65">
        <f>INTERCEPT(G24:G27,A24:A27)</f>
        <v>6288.3284249999997</v>
      </c>
      <c r="D25" s="104">
        <f>AVERAGE(U35:U36)</f>
        <v>253.245</v>
      </c>
      <c r="E25" s="66">
        <f>D25-$E$5</f>
        <v>224.27</v>
      </c>
      <c r="F25" s="111">
        <v>180</v>
      </c>
      <c r="G25" s="112">
        <f t="shared" si="0"/>
        <v>1601.848475</v>
      </c>
      <c r="H25" s="112">
        <f t="shared" si="1"/>
        <v>1417.5650221238936</v>
      </c>
      <c r="I25" s="33">
        <f>$C$24*A25+$C$25</f>
        <v>1540.3801199999998</v>
      </c>
      <c r="J25" s="113">
        <f>((($N$2-(130*$D$2*(((B25+B24)*0.01)/2))*((I25-I24)/(A25-A24))))/((I25+I24)/2))/$D$2</f>
        <v>4.8725590796977878</v>
      </c>
      <c r="K25" s="114">
        <f>$N$2/H25/$D$2</f>
        <v>3.5102633632044489</v>
      </c>
      <c r="L25" s="114">
        <f>J25/($D$4/$D$2)</f>
        <v>6.7202942356878461</v>
      </c>
      <c r="M25" s="107">
        <f>(((S25/60)*$J$1)/$D$2)</f>
        <v>3.9962581852198311</v>
      </c>
      <c r="N25" s="19">
        <f>K25-M25</f>
        <v>-0.48599482201538224</v>
      </c>
      <c r="O25" s="114">
        <f>N25/($D$4/$D$2)</f>
        <v>-0.67029011809676897</v>
      </c>
      <c r="P25" s="74"/>
      <c r="Q25" s="30"/>
      <c r="R25" s="131">
        <v>230</v>
      </c>
      <c r="S25" s="117">
        <v>144</v>
      </c>
      <c r="T25" s="13">
        <v>120</v>
      </c>
      <c r="U25" s="14">
        <v>404.5</v>
      </c>
      <c r="V25" s="15"/>
      <c r="W25" s="110"/>
      <c r="X25" s="96">
        <f>AVERAGE(X20:X24)</f>
        <v>6.8199999999999997E-2</v>
      </c>
      <c r="Y25" s="57" t="s">
        <v>107</v>
      </c>
      <c r="Z25" s="96">
        <f>AVERAGE(Z20:Z24)</f>
        <v>202.73999999999998</v>
      </c>
      <c r="AA25" s="30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5"/>
      <c r="AY25" s="95"/>
      <c r="AZ25" s="95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40"/>
    </row>
    <row r="26" spans="1:67" ht="14.1" customHeight="1">
      <c r="A26" s="63">
        <v>235</v>
      </c>
      <c r="B26" s="75">
        <v>112</v>
      </c>
      <c r="C26" s="65"/>
      <c r="D26" s="104">
        <f>AVERAGE(U37:U38)</f>
        <v>220.72</v>
      </c>
      <c r="E26" s="66">
        <f>D26-$E$5</f>
        <v>191.745</v>
      </c>
      <c r="F26" s="111">
        <v>180</v>
      </c>
      <c r="G26" s="112">
        <f t="shared" si="0"/>
        <v>1369.5386625000001</v>
      </c>
      <c r="H26" s="112">
        <f t="shared" si="1"/>
        <v>1222.8023772321428</v>
      </c>
      <c r="I26" s="33">
        <f>$C$24*A26+$C$25</f>
        <v>1437.1638524999998</v>
      </c>
      <c r="J26" s="113">
        <f>((($N$2-(130*$D$2*(((B26+B25)*0.01)/2))*((I26-I25)/(A26-A25))))/((I26+I25)/2))/$D$2</f>
        <v>5.3702665420479248</v>
      </c>
      <c r="K26" s="114">
        <f>$N$2/H26/$D$2</f>
        <v>4.0693628461739042</v>
      </c>
      <c r="L26" s="114">
        <f>J26/($D$4/$D$2)</f>
        <v>7.4067385733720803</v>
      </c>
      <c r="M26" s="107">
        <f>(((S26/60)*$J$1)/$D$2)</f>
        <v>3.4967259120673524</v>
      </c>
      <c r="N26" s="19">
        <f>K26-M26</f>
        <v>0.57263693410655181</v>
      </c>
      <c r="O26" s="114">
        <f>N26/($D$4/$D$2)</f>
        <v>0.78978799938058519</v>
      </c>
      <c r="P26" s="74"/>
      <c r="Q26" s="30"/>
      <c r="R26" s="131">
        <v>235</v>
      </c>
      <c r="S26" s="117">
        <v>126</v>
      </c>
      <c r="U26" s="14">
        <v>416.62</v>
      </c>
      <c r="V26" s="15"/>
      <c r="W26" s="11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</row>
    <row r="27" spans="1:67" ht="14.1" customHeight="1">
      <c r="A27" s="63">
        <v>240</v>
      </c>
      <c r="B27" s="118">
        <v>104</v>
      </c>
      <c r="C27" s="65"/>
      <c r="D27" s="104">
        <f>AVERAGE(U39:U40)</f>
        <v>218.53500000000003</v>
      </c>
      <c r="E27" s="66">
        <f>D27-$E$5</f>
        <v>189.56000000000003</v>
      </c>
      <c r="F27" s="111">
        <v>180</v>
      </c>
      <c r="G27" s="112">
        <f t="shared" si="0"/>
        <v>1353.9323000000002</v>
      </c>
      <c r="H27" s="112">
        <f t="shared" si="1"/>
        <v>1301.8579807692308</v>
      </c>
      <c r="I27" s="33">
        <f>$C$24*A27+$C$25</f>
        <v>1333.9475849999999</v>
      </c>
      <c r="J27" s="113">
        <f>((($N$2-(130*$D$2*(((B27+B26)*0.01)/2))*((I27-I26)/(A27-A26))))/((I27+I26)/2))/$D$2</f>
        <v>5.6831632585844769</v>
      </c>
      <c r="K27" s="114">
        <f>$N$2/H27/$D$2</f>
        <v>3.8222499194431454</v>
      </c>
      <c r="L27" s="114">
        <f>J27/($D$4/$D$2)</f>
        <v>7.8382896261376978</v>
      </c>
      <c r="M27" s="107">
        <f>(((S27/60)*$J$1)/$D$2)</f>
        <v>3.4967259120673524</v>
      </c>
      <c r="N27" s="19">
        <f>K27-M27</f>
        <v>0.32552400737579301</v>
      </c>
      <c r="O27" s="114">
        <f>N27/($D$4/$D$2)</f>
        <v>0.44896676973308919</v>
      </c>
      <c r="P27" s="74"/>
      <c r="Q27" s="30"/>
      <c r="R27" s="131">
        <v>240</v>
      </c>
      <c r="S27" s="117">
        <v>126</v>
      </c>
      <c r="T27" s="13">
        <v>150</v>
      </c>
      <c r="U27" s="14">
        <v>394.56</v>
      </c>
      <c r="V27" s="15"/>
      <c r="W27" s="11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</row>
    <row r="28" spans="1:67" ht="14.1" customHeight="1" thickBot="1">
      <c r="A28" s="63"/>
      <c r="B28" s="118"/>
      <c r="C28" s="65"/>
      <c r="D28" s="99"/>
      <c r="E28" s="66"/>
      <c r="F28" s="135"/>
      <c r="G28" s="112"/>
      <c r="H28" s="112"/>
      <c r="I28" s="33"/>
      <c r="J28" s="113"/>
      <c r="K28" s="114"/>
      <c r="L28" s="114"/>
      <c r="M28" s="107"/>
      <c r="N28" s="107"/>
      <c r="O28" s="114"/>
      <c r="P28" s="74"/>
      <c r="Q28" s="30"/>
      <c r="R28" s="108"/>
      <c r="S28" s="117"/>
      <c r="U28" s="14">
        <v>390.54</v>
      </c>
      <c r="V28" s="15"/>
      <c r="W28" s="110"/>
      <c r="X28" s="69"/>
      <c r="Y28" s="13" t="s">
        <v>115</v>
      </c>
    </row>
    <row r="29" spans="1:67" ht="14.1" customHeight="1" thickBot="1">
      <c r="A29" s="119" t="s">
        <v>112</v>
      </c>
      <c r="B29" s="122">
        <f>AVERAGE(B23:B28)</f>
        <v>109.4</v>
      </c>
      <c r="C29" s="121"/>
      <c r="D29" s="122">
        <f>AVERAGE(D23:D28)</f>
        <v>248.404</v>
      </c>
      <c r="E29" s="122">
        <f>AVERAGE(E23:E28)</f>
        <v>219.429</v>
      </c>
      <c r="F29" s="122">
        <f>AVERAGE(F24:F28)</f>
        <v>180</v>
      </c>
      <c r="G29" s="122">
        <f>AVERAGE(G23:G28)</f>
        <v>1567.2716325000001</v>
      </c>
      <c r="H29" s="122">
        <f>AVERAGE(H23:H28)</f>
        <v>1433.844987908745</v>
      </c>
      <c r="I29" s="122"/>
      <c r="J29" s="122">
        <f t="shared" ref="J29:O29" si="3">AVERAGE(J23:J28)</f>
        <v>5.0492069578841754</v>
      </c>
      <c r="K29" s="123">
        <f t="shared" si="3"/>
        <v>3.6616287862195751</v>
      </c>
      <c r="L29" s="122">
        <f t="shared" si="3"/>
        <v>6.9639291917972121</v>
      </c>
      <c r="M29" s="122">
        <f t="shared" si="3"/>
        <v>4.0961646398503273</v>
      </c>
      <c r="N29" s="123">
        <f t="shared" si="3"/>
        <v>-0.20974633071213644</v>
      </c>
      <c r="O29" s="122">
        <f t="shared" si="3"/>
        <v>-0.28928475451730645</v>
      </c>
      <c r="P29" s="122"/>
      <c r="Q29" s="136"/>
      <c r="R29" s="137"/>
      <c r="S29" s="138"/>
      <c r="T29" s="13">
        <v>180</v>
      </c>
      <c r="U29" s="14">
        <v>295.18</v>
      </c>
      <c r="V29" s="15"/>
      <c r="W29" s="110"/>
      <c r="X29" s="69"/>
      <c r="Y29" s="13" t="s">
        <v>116</v>
      </c>
    </row>
    <row r="30" spans="1:67" ht="14.1" customHeight="1">
      <c r="A30" s="70"/>
      <c r="B30" s="139"/>
      <c r="C30" s="36"/>
      <c r="D30" s="99"/>
      <c r="E30" s="33"/>
      <c r="F30" s="125" t="s">
        <v>117</v>
      </c>
      <c r="G30" s="33"/>
      <c r="H30" s="33"/>
      <c r="I30" s="140" t="s">
        <v>114</v>
      </c>
      <c r="J30" s="141">
        <f>J29-((B27-B24)*0.25*$D$2*10)/(20*$D$2)</f>
        <v>6.1742069578841754</v>
      </c>
      <c r="K30" s="74"/>
      <c r="L30" s="142" t="s">
        <v>33</v>
      </c>
      <c r="M30" s="143">
        <f>J30-M29</f>
        <v>2.0780423180338481</v>
      </c>
      <c r="N30" s="19">
        <f>AVERAGE(J24:J25)-M29</f>
        <v>0.47553437560182132</v>
      </c>
      <c r="O30" s="74"/>
      <c r="P30" s="130">
        <f>$M$29-(((B27-B23)*1.3)/(A27-A23))</f>
        <v>4.1394979731836603</v>
      </c>
      <c r="Q30" s="30"/>
      <c r="R30" s="63"/>
      <c r="S30" s="144"/>
      <c r="U30" s="14">
        <v>273.29000000000002</v>
      </c>
      <c r="V30" s="15"/>
      <c r="W30" s="110"/>
      <c r="X30" s="69"/>
      <c r="Y30" s="13" t="s">
        <v>118</v>
      </c>
    </row>
    <row r="31" spans="1:67" ht="14.1" customHeight="1">
      <c r="A31" s="145"/>
      <c r="B31" s="139"/>
      <c r="C31" s="146"/>
      <c r="D31" s="147"/>
      <c r="E31" s="148"/>
      <c r="F31" s="145"/>
      <c r="G31" s="148"/>
      <c r="H31" s="148"/>
      <c r="I31" s="148"/>
      <c r="J31" s="149"/>
      <c r="K31" s="150"/>
      <c r="L31" s="133"/>
      <c r="M31" s="134"/>
      <c r="N31" s="101"/>
      <c r="O31" s="150"/>
      <c r="P31" s="150"/>
      <c r="Q31" s="96"/>
      <c r="R31" s="151"/>
      <c r="S31" s="101" t="s">
        <v>32</v>
      </c>
      <c r="T31" s="13">
        <v>210</v>
      </c>
      <c r="U31" s="196">
        <v>284.23</v>
      </c>
      <c r="V31" s="15"/>
      <c r="W31" s="110"/>
      <c r="X31" s="69"/>
      <c r="Y31" s="13" t="s">
        <v>119</v>
      </c>
    </row>
    <row r="32" spans="1:67" ht="14.1" customHeight="1">
      <c r="A32" s="145"/>
      <c r="B32" s="148"/>
      <c r="C32" s="146"/>
      <c r="D32" s="147"/>
      <c r="E32" s="148"/>
      <c r="F32" s="148"/>
      <c r="G32" s="148"/>
      <c r="H32" s="148"/>
      <c r="I32" s="148"/>
      <c r="J32" s="152"/>
      <c r="K32" s="153"/>
      <c r="L32" s="58"/>
      <c r="M32" s="124"/>
      <c r="N32" s="101"/>
      <c r="O32" s="150"/>
      <c r="P32" s="150"/>
      <c r="Q32" s="96"/>
      <c r="R32" s="145"/>
      <c r="S32" s="58"/>
      <c r="U32" s="196">
        <v>271.60000000000002</v>
      </c>
      <c r="V32" s="15"/>
      <c r="W32" s="110"/>
      <c r="X32" s="69"/>
      <c r="Y32" s="13" t="s">
        <v>120</v>
      </c>
    </row>
    <row r="33" spans="1:99" ht="14.1" customHeight="1">
      <c r="A33" s="145"/>
      <c r="B33" s="148"/>
      <c r="C33" s="146"/>
      <c r="D33" s="147"/>
      <c r="E33" s="148"/>
      <c r="F33" s="145"/>
      <c r="G33" s="148"/>
      <c r="H33" s="148"/>
      <c r="I33" s="148"/>
      <c r="J33" s="149"/>
      <c r="K33" s="150"/>
      <c r="L33" s="150"/>
      <c r="M33" s="124"/>
      <c r="N33" s="124"/>
      <c r="O33" s="150"/>
      <c r="P33" s="150"/>
      <c r="Q33" s="96"/>
      <c r="R33" s="145"/>
      <c r="S33" s="58"/>
      <c r="T33" s="13">
        <v>220</v>
      </c>
      <c r="U33" s="14">
        <v>270.8</v>
      </c>
      <c r="V33" s="15"/>
      <c r="W33" s="110"/>
      <c r="X33" s="69"/>
      <c r="Y33" s="20" t="s">
        <v>121</v>
      </c>
    </row>
    <row r="34" spans="1:99" ht="14.1" customHeight="1">
      <c r="A34" s="145"/>
      <c r="B34" s="148"/>
      <c r="C34" s="146"/>
      <c r="D34" s="147"/>
      <c r="E34" s="148"/>
      <c r="F34" s="145"/>
      <c r="G34" s="148"/>
      <c r="H34" s="148"/>
      <c r="I34" s="148"/>
      <c r="J34" s="149"/>
      <c r="K34" s="150"/>
      <c r="L34" s="150"/>
      <c r="M34" s="124"/>
      <c r="N34" s="124"/>
      <c r="O34" s="150"/>
      <c r="P34" s="150"/>
      <c r="Q34" s="96"/>
      <c r="R34" s="145"/>
      <c r="S34" s="58"/>
      <c r="U34" s="14">
        <v>272.41000000000003</v>
      </c>
      <c r="V34" s="15"/>
      <c r="W34" s="110"/>
    </row>
    <row r="35" spans="1:99" ht="14.1" customHeight="1">
      <c r="A35" s="145"/>
      <c r="B35" s="148"/>
      <c r="C35" s="146"/>
      <c r="D35" s="147"/>
      <c r="E35" s="148"/>
      <c r="F35" s="145"/>
      <c r="G35" s="148"/>
      <c r="H35" s="148"/>
      <c r="I35" s="148"/>
      <c r="J35" s="149"/>
      <c r="K35" s="150"/>
      <c r="L35" s="150"/>
      <c r="M35" s="124"/>
      <c r="N35" s="124"/>
      <c r="O35" s="150"/>
      <c r="P35" s="150"/>
      <c r="Q35" s="96"/>
      <c r="R35" s="145"/>
      <c r="S35" s="58"/>
      <c r="T35" s="13">
        <v>230</v>
      </c>
      <c r="U35" s="14">
        <v>248.82</v>
      </c>
      <c r="V35" s="15"/>
      <c r="W35" s="110"/>
    </row>
    <row r="36" spans="1:99" ht="14.1" customHeight="1">
      <c r="A36" s="145"/>
      <c r="B36" s="139"/>
      <c r="C36" s="146"/>
      <c r="D36" s="147"/>
      <c r="E36" s="148"/>
      <c r="F36" s="145"/>
      <c r="G36" s="148"/>
      <c r="H36" s="148"/>
      <c r="I36" s="148"/>
      <c r="J36" s="149"/>
      <c r="K36" s="150"/>
      <c r="L36" s="150"/>
      <c r="M36" s="124"/>
      <c r="N36" s="124"/>
      <c r="O36" s="150"/>
      <c r="P36" s="150"/>
      <c r="Q36" s="96"/>
      <c r="R36" s="145"/>
      <c r="S36" s="58"/>
      <c r="U36" s="14">
        <v>257.67</v>
      </c>
      <c r="V36" s="15"/>
      <c r="W36" s="110"/>
      <c r="X36"/>
    </row>
    <row r="37" spans="1:99" ht="14.1" customHeight="1">
      <c r="A37" s="145"/>
      <c r="B37" s="139"/>
      <c r="C37" s="146"/>
      <c r="D37" s="147"/>
      <c r="E37" s="148"/>
      <c r="F37" s="145"/>
      <c r="G37" s="148"/>
      <c r="H37" s="148"/>
      <c r="I37" s="148"/>
      <c r="J37" s="149"/>
      <c r="K37" s="150"/>
      <c r="L37" s="150"/>
      <c r="M37" s="124"/>
      <c r="N37" s="124"/>
      <c r="O37" s="150"/>
      <c r="P37" s="150"/>
      <c r="Q37" s="96"/>
      <c r="R37" s="96"/>
      <c r="S37" s="58"/>
      <c r="T37" s="13">
        <v>235</v>
      </c>
      <c r="U37" s="14">
        <v>222.32</v>
      </c>
      <c r="V37" s="15"/>
      <c r="W37" s="15"/>
      <c r="X37" s="6"/>
    </row>
    <row r="38" spans="1:99" s="156" customFormat="1" ht="14.1" customHeight="1">
      <c r="A38" s="154"/>
      <c r="B38" s="139"/>
      <c r="C38" s="155"/>
      <c r="D38" s="139"/>
      <c r="E38" s="139"/>
      <c r="F38" s="139"/>
      <c r="G38" s="139"/>
      <c r="H38" s="139"/>
      <c r="I38" s="139"/>
      <c r="J38" s="124"/>
      <c r="K38" s="124"/>
      <c r="L38" s="124"/>
      <c r="M38" s="124"/>
      <c r="N38" s="124"/>
      <c r="O38" s="124"/>
      <c r="P38" s="124"/>
      <c r="Q38" s="155"/>
      <c r="R38" s="145"/>
      <c r="S38" s="58"/>
      <c r="T38" s="13"/>
      <c r="U38" s="14">
        <v>219.12</v>
      </c>
      <c r="V38" s="15"/>
      <c r="W38" s="15"/>
      <c r="X38" s="6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</row>
    <row r="39" spans="1:99" s="3" customFormat="1" ht="14.1" customHeight="1">
      <c r="A39" s="157"/>
      <c r="B39" s="158"/>
      <c r="C39" s="159"/>
      <c r="D39" s="160"/>
      <c r="E39" s="160"/>
      <c r="F39" s="161"/>
      <c r="G39" s="160"/>
      <c r="H39" s="148"/>
      <c r="I39" s="162"/>
      <c r="J39" s="163"/>
      <c r="K39" s="150"/>
      <c r="L39" s="155"/>
      <c r="M39" s="134"/>
      <c r="N39" s="155"/>
      <c r="O39" s="155"/>
      <c r="P39" s="155"/>
      <c r="Q39" s="58"/>
      <c r="R39" s="58"/>
      <c r="S39" s="58"/>
      <c r="T39" s="13">
        <v>240</v>
      </c>
      <c r="U39" s="14">
        <v>219.33</v>
      </c>
      <c r="V39" s="15"/>
      <c r="W39" s="15"/>
      <c r="X39" s="6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</row>
    <row r="40" spans="1:99" ht="14.1" customHeight="1">
      <c r="A40" s="164"/>
      <c r="B40" s="165"/>
      <c r="C40" s="164"/>
      <c r="D40" s="148"/>
      <c r="E40" s="164"/>
      <c r="F40" s="164"/>
      <c r="G40" s="96"/>
      <c r="H40" s="101"/>
      <c r="I40" s="58"/>
      <c r="J40" s="155"/>
      <c r="K40" s="166"/>
      <c r="L40" s="167"/>
      <c r="M40" s="168"/>
      <c r="N40" s="134"/>
      <c r="O40" s="169"/>
      <c r="P40" s="169"/>
      <c r="Q40" s="58"/>
      <c r="R40" s="58"/>
      <c r="S40" s="58"/>
      <c r="U40" s="14">
        <v>217.74</v>
      </c>
      <c r="V40" s="15"/>
      <c r="W40" s="15"/>
    </row>
    <row r="41" spans="1:99" ht="14.1" customHeight="1">
      <c r="A41" s="164"/>
      <c r="B41" s="170"/>
      <c r="C41" s="164"/>
      <c r="D41" s="171"/>
      <c r="E41" s="164"/>
      <c r="F41" s="164"/>
      <c r="G41" s="124"/>
      <c r="H41" s="58"/>
      <c r="I41" s="58"/>
      <c r="J41" s="170"/>
      <c r="K41" s="170"/>
      <c r="L41" s="96"/>
      <c r="M41" s="172"/>
      <c r="N41" s="160"/>
      <c r="O41" s="58"/>
      <c r="P41" s="58"/>
      <c r="Q41" s="58"/>
      <c r="R41" s="58"/>
      <c r="S41" s="58"/>
      <c r="U41" s="173"/>
      <c r="V41" s="174"/>
      <c r="W41" s="175"/>
    </row>
    <row r="42" spans="1:99" ht="14.1" customHeight="1">
      <c r="A42" s="3"/>
      <c r="B42" s="3"/>
      <c r="C42" s="3"/>
      <c r="D42" s="33"/>
      <c r="E42" s="3"/>
      <c r="F42" s="3"/>
      <c r="G42" s="19"/>
      <c r="H42" s="40"/>
      <c r="I42" s="40"/>
      <c r="J42" s="30"/>
      <c r="K42" s="30"/>
      <c r="L42" s="30"/>
      <c r="M42" s="30"/>
      <c r="N42" s="33"/>
      <c r="O42" s="33"/>
      <c r="P42" s="33"/>
      <c r="Q42" s="40"/>
      <c r="R42" s="40"/>
      <c r="U42" s="173"/>
      <c r="V42" s="174"/>
      <c r="W42" s="175"/>
    </row>
    <row r="43" spans="1:99" ht="14.1" customHeight="1">
      <c r="A43" s="30"/>
      <c r="B43" s="176"/>
      <c r="C43" s="3"/>
      <c r="D43" s="33"/>
      <c r="E43" s="177"/>
      <c r="F43" s="177"/>
      <c r="G43" s="33"/>
      <c r="H43" s="174"/>
      <c r="I43" s="40"/>
      <c r="J43" s="30"/>
      <c r="K43" s="30"/>
      <c r="L43" s="30"/>
      <c r="M43" s="33"/>
      <c r="N43" s="178"/>
      <c r="O43" s="33"/>
      <c r="P43" s="33"/>
      <c r="Q43" s="40"/>
      <c r="R43" s="40"/>
      <c r="U43" s="173"/>
      <c r="V43" s="174"/>
      <c r="W43" s="175"/>
    </row>
    <row r="44" spans="1:99" ht="14.1" customHeight="1">
      <c r="A44" s="3"/>
      <c r="B44" s="30"/>
      <c r="C44" s="3"/>
      <c r="D44" s="41"/>
      <c r="E44" s="42"/>
      <c r="F44" s="42"/>
      <c r="G44" s="19"/>
      <c r="H44" s="19"/>
      <c r="I44" s="30"/>
      <c r="J44" s="179"/>
      <c r="K44" s="179"/>
      <c r="L44" s="180"/>
      <c r="M44" s="39"/>
      <c r="N44" s="179"/>
      <c r="O44" s="180"/>
      <c r="P44" s="180"/>
      <c r="Q44" s="46"/>
      <c r="R44" s="46"/>
      <c r="U44" s="173"/>
      <c r="V44" s="174"/>
      <c r="W44" s="175"/>
    </row>
    <row r="45" spans="1:99" s="1" customFormat="1" ht="14.1" customHeight="1">
      <c r="A45" s="3"/>
      <c r="B45" s="181"/>
      <c r="C45" s="181"/>
      <c r="D45" s="25"/>
      <c r="E45" s="181"/>
      <c r="F45" s="181"/>
      <c r="G45" s="181"/>
      <c r="H45" s="95"/>
      <c r="I45" s="95"/>
      <c r="J45" s="182"/>
      <c r="K45" s="182"/>
      <c r="L45" s="182"/>
      <c r="M45" s="182"/>
      <c r="N45" s="182"/>
      <c r="O45" s="54"/>
      <c r="P45" s="54"/>
      <c r="Q45" s="55"/>
      <c r="R45" s="55"/>
      <c r="S45" s="13"/>
      <c r="T45" s="13"/>
      <c r="U45" s="173"/>
      <c r="V45" s="40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</row>
    <row r="46" spans="1:99" ht="14.1" customHeight="1">
      <c r="A46" s="70"/>
      <c r="B46" s="33"/>
      <c r="C46" s="36"/>
      <c r="D46" s="33"/>
      <c r="E46" s="33"/>
      <c r="F46" s="33"/>
      <c r="G46" s="33"/>
      <c r="H46" s="33"/>
      <c r="I46" s="33"/>
      <c r="J46" s="74"/>
      <c r="K46" s="74"/>
      <c r="L46" s="74"/>
      <c r="M46" s="30"/>
      <c r="N46" s="19"/>
      <c r="O46" s="74"/>
      <c r="P46" s="74"/>
      <c r="Q46" s="30"/>
      <c r="R46" s="30"/>
      <c r="U46" s="173"/>
    </row>
    <row r="47" spans="1:99" ht="14.1" customHeight="1">
      <c r="A47" s="70"/>
      <c r="B47" s="33"/>
      <c r="C47" s="36"/>
      <c r="D47" s="33"/>
      <c r="E47" s="33"/>
      <c r="F47" s="33"/>
      <c r="G47" s="33"/>
      <c r="H47" s="33"/>
      <c r="I47" s="33"/>
      <c r="J47" s="74"/>
      <c r="K47" s="74"/>
      <c r="L47" s="74"/>
      <c r="M47" s="30"/>
      <c r="N47" s="19"/>
      <c r="O47" s="74"/>
      <c r="P47" s="74"/>
      <c r="Q47" s="30"/>
      <c r="R47" s="30"/>
      <c r="T47" s="40"/>
      <c r="U47" s="173"/>
    </row>
    <row r="48" spans="1:99" s="80" customFormat="1" ht="14.1" customHeight="1">
      <c r="A48" s="183"/>
      <c r="B48" s="25"/>
      <c r="C48" s="184"/>
      <c r="D48" s="25"/>
      <c r="E48" s="25"/>
      <c r="F48" s="25"/>
      <c r="G48" s="25"/>
      <c r="H48" s="25"/>
      <c r="I48" s="25"/>
      <c r="J48" s="95"/>
      <c r="K48" s="95"/>
      <c r="L48" s="95"/>
      <c r="M48" s="95"/>
      <c r="N48" s="95"/>
      <c r="O48" s="95"/>
      <c r="P48" s="95"/>
      <c r="Q48" s="95"/>
      <c r="R48" s="95"/>
      <c r="S48" s="13"/>
      <c r="T48" s="40"/>
      <c r="U48" s="17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</row>
    <row r="49" spans="1:99" ht="14.1" customHeight="1">
      <c r="A49" s="30"/>
      <c r="B49" s="176"/>
      <c r="C49" s="185"/>
      <c r="D49" s="33"/>
      <c r="E49" s="40"/>
      <c r="F49" s="40"/>
      <c r="G49" s="40"/>
      <c r="H49" s="40"/>
      <c r="I49" s="40"/>
      <c r="J49" s="40"/>
      <c r="K49" s="40"/>
      <c r="L49" s="40"/>
      <c r="M49" s="30"/>
      <c r="N49" s="40"/>
      <c r="O49" s="40"/>
      <c r="P49" s="40"/>
      <c r="Q49" s="30"/>
      <c r="R49" s="30"/>
      <c r="T49" s="40"/>
      <c r="U49" s="173"/>
    </row>
    <row r="50" spans="1:99" ht="14.1" customHeight="1">
      <c r="A50" s="30"/>
      <c r="B50" s="176"/>
      <c r="C50" s="185"/>
      <c r="D50" s="33"/>
      <c r="E50" s="40"/>
      <c r="F50" s="40"/>
      <c r="G50" s="40"/>
      <c r="H50" s="40"/>
      <c r="I50" s="40"/>
      <c r="J50" s="40"/>
      <c r="K50" s="40"/>
      <c r="L50" s="40"/>
      <c r="M50" s="30"/>
      <c r="N50" s="40"/>
      <c r="O50" s="40"/>
      <c r="P50" s="40"/>
      <c r="Q50" s="30"/>
      <c r="R50" s="30"/>
      <c r="T50" s="40"/>
      <c r="U50" s="173"/>
    </row>
    <row r="51" spans="1:99" ht="14.1" customHeight="1">
      <c r="A51" s="30"/>
      <c r="B51" s="176"/>
      <c r="C51" s="185"/>
      <c r="D51" s="33"/>
      <c r="E51" s="40"/>
      <c r="F51" s="40"/>
      <c r="G51" s="40"/>
      <c r="H51" s="40"/>
      <c r="I51" s="40"/>
      <c r="J51" s="40"/>
      <c r="K51" s="40"/>
      <c r="L51" s="40"/>
      <c r="M51" s="19"/>
      <c r="N51" s="40"/>
      <c r="O51" s="40"/>
      <c r="P51" s="40"/>
      <c r="Q51" s="30"/>
      <c r="R51" s="30"/>
      <c r="T51" s="40"/>
      <c r="U51" s="173"/>
    </row>
    <row r="52" spans="1:99" ht="14.1" customHeight="1">
      <c r="A52" s="30"/>
      <c r="B52" s="176"/>
      <c r="C52" s="185"/>
      <c r="D52" s="33"/>
      <c r="E52" s="40"/>
      <c r="F52" s="40"/>
      <c r="G52" s="40"/>
      <c r="H52" s="40"/>
      <c r="I52" s="40"/>
      <c r="J52" s="40"/>
      <c r="K52" s="40"/>
      <c r="L52" s="40"/>
      <c r="M52" s="19"/>
      <c r="N52" s="40"/>
      <c r="O52" s="40"/>
      <c r="P52" s="40"/>
      <c r="Q52" s="30"/>
      <c r="R52" s="30"/>
      <c r="U52" s="173"/>
    </row>
    <row r="53" spans="1:99" ht="14.1" customHeight="1">
      <c r="A53" s="30"/>
      <c r="B53" s="176"/>
      <c r="C53" s="186"/>
      <c r="D53" s="33"/>
      <c r="E53" s="33"/>
      <c r="F53" s="33"/>
      <c r="G53" s="33"/>
      <c r="H53" s="33"/>
      <c r="I53" s="33"/>
      <c r="J53" s="187"/>
      <c r="K53" s="188"/>
      <c r="L53" s="40"/>
      <c r="M53" s="19"/>
      <c r="N53" s="40"/>
      <c r="O53" s="40"/>
      <c r="P53" s="40"/>
      <c r="Q53" s="30"/>
      <c r="R53" s="30"/>
      <c r="U53" s="173"/>
    </row>
    <row r="54" spans="1:99" ht="14.1" customHeight="1">
      <c r="A54" s="70"/>
      <c r="B54" s="189"/>
      <c r="C54" s="36"/>
      <c r="D54" s="33"/>
      <c r="E54" s="33"/>
      <c r="F54" s="33"/>
      <c r="G54" s="33"/>
      <c r="H54" s="33"/>
      <c r="I54" s="33"/>
      <c r="J54" s="132"/>
      <c r="K54" s="74"/>
      <c r="L54" s="74"/>
      <c r="M54" s="19"/>
      <c r="N54" s="19"/>
      <c r="O54" s="74"/>
      <c r="P54" s="74"/>
      <c r="Q54" s="30"/>
      <c r="R54" s="30"/>
      <c r="U54" s="173"/>
    </row>
    <row r="55" spans="1:99" ht="14.1" customHeight="1">
      <c r="A55" s="70"/>
      <c r="B55" s="189"/>
      <c r="C55" s="36"/>
      <c r="D55" s="33"/>
      <c r="E55" s="33"/>
      <c r="F55" s="33"/>
      <c r="G55" s="33"/>
      <c r="H55" s="33"/>
      <c r="I55" s="33"/>
      <c r="J55" s="132"/>
      <c r="K55" s="74"/>
      <c r="L55" s="74"/>
      <c r="M55" s="19"/>
      <c r="N55" s="19"/>
      <c r="O55" s="74"/>
      <c r="P55" s="74"/>
      <c r="Q55" s="30"/>
      <c r="R55" s="30"/>
      <c r="U55" s="173"/>
    </row>
    <row r="56" spans="1:99" s="30" customFormat="1" ht="14.1" customHeight="1">
      <c r="A56" s="70"/>
      <c r="B56" s="189"/>
      <c r="C56" s="36"/>
      <c r="D56" s="33"/>
      <c r="E56" s="33"/>
      <c r="F56" s="33"/>
      <c r="G56" s="33"/>
      <c r="H56" s="33"/>
      <c r="I56" s="33"/>
      <c r="J56" s="132"/>
      <c r="K56" s="74"/>
      <c r="L56" s="74"/>
      <c r="M56" s="19"/>
      <c r="N56" s="19"/>
      <c r="O56" s="74"/>
      <c r="P56" s="74"/>
      <c r="S56" s="13"/>
      <c r="T56" s="13"/>
      <c r="U56" s="17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</row>
    <row r="57" spans="1:99" ht="14.1" customHeight="1">
      <c r="A57" s="70"/>
      <c r="B57" s="189"/>
      <c r="C57" s="36"/>
      <c r="D57" s="33"/>
      <c r="E57" s="33"/>
      <c r="F57" s="33"/>
      <c r="G57" s="33"/>
      <c r="H57" s="33"/>
      <c r="I57" s="33"/>
      <c r="J57" s="132"/>
      <c r="K57" s="74"/>
      <c r="L57" s="74"/>
      <c r="M57" s="19"/>
      <c r="N57" s="19"/>
      <c r="O57" s="74"/>
      <c r="P57" s="74"/>
      <c r="Q57" s="30"/>
      <c r="R57" s="30"/>
      <c r="U57" s="173"/>
    </row>
    <row r="58" spans="1:99" ht="14.1" customHeight="1">
      <c r="A58" s="183"/>
      <c r="B58" s="25"/>
      <c r="C58" s="184"/>
      <c r="D58" s="25"/>
      <c r="E58" s="25"/>
      <c r="F58" s="25"/>
      <c r="G58" s="25"/>
      <c r="H58" s="25"/>
      <c r="I58" s="25"/>
      <c r="J58" s="95"/>
      <c r="K58" s="95"/>
      <c r="L58" s="95"/>
      <c r="M58" s="95"/>
      <c r="N58" s="95"/>
      <c r="O58" s="95"/>
      <c r="P58" s="95"/>
      <c r="Q58" s="95"/>
      <c r="R58" s="95"/>
      <c r="U58" s="173"/>
    </row>
    <row r="59" spans="1:99" s="115" customFormat="1" ht="14.1" customHeight="1">
      <c r="A59" s="40"/>
      <c r="B59" s="40"/>
      <c r="C59" s="40"/>
      <c r="D59" s="19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13"/>
      <c r="T59" s="13"/>
      <c r="U59" s="17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</row>
    <row r="60" spans="1:99" s="30" customFormat="1" ht="14.1" customHeight="1">
      <c r="A60" s="191"/>
      <c r="B60" s="40"/>
      <c r="C60" s="40"/>
      <c r="D60" s="19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13"/>
      <c r="T60" s="13"/>
      <c r="U60" s="17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</row>
    <row r="61" spans="1:99" ht="14.1" customHeight="1">
      <c r="A61" s="40"/>
      <c r="B61" s="40"/>
      <c r="C61" s="40"/>
      <c r="D61" s="19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U61" s="173"/>
    </row>
    <row r="62" spans="1:99" ht="14.1" customHeight="1">
      <c r="A62" s="40"/>
      <c r="B62" s="40"/>
      <c r="C62" s="40"/>
      <c r="D62" s="19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U62" s="173"/>
    </row>
    <row r="63" spans="1:99" ht="14.1" customHeight="1">
      <c r="A63" s="40"/>
      <c r="B63" s="40"/>
      <c r="C63" s="40"/>
      <c r="D63" s="19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U63" s="173"/>
    </row>
    <row r="64" spans="1:99" s="156" customFormat="1" ht="14.1" customHeight="1">
      <c r="A64" s="30"/>
      <c r="B64" s="189"/>
      <c r="C64" s="36"/>
      <c r="D64" s="33"/>
      <c r="E64" s="189"/>
      <c r="F64" s="189"/>
      <c r="G64" s="19"/>
      <c r="H64" s="30"/>
      <c r="I64" s="30"/>
      <c r="J64" s="30"/>
      <c r="K64" s="30"/>
      <c r="L64" s="30"/>
      <c r="M64" s="30"/>
      <c r="N64" s="19"/>
      <c r="O64" s="30"/>
      <c r="P64" s="30"/>
      <c r="Q64" s="40"/>
      <c r="R64" s="40"/>
      <c r="S64" s="13"/>
      <c r="T64" s="13"/>
      <c r="U64" s="17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</row>
    <row r="65" spans="1:21" s="13" customFormat="1" ht="14.1" customHeight="1">
      <c r="A65" s="30"/>
      <c r="B65" s="189"/>
      <c r="C65" s="36"/>
      <c r="D65" s="33"/>
      <c r="E65" s="189"/>
      <c r="F65" s="189"/>
      <c r="G65" s="19"/>
      <c r="H65" s="30"/>
      <c r="I65" s="30"/>
      <c r="J65" s="30"/>
      <c r="K65" s="30"/>
      <c r="L65" s="30"/>
      <c r="M65" s="30"/>
      <c r="N65" s="19"/>
      <c r="O65" s="30"/>
      <c r="P65" s="30"/>
      <c r="Q65" s="40"/>
      <c r="R65" s="40"/>
      <c r="U65" s="173"/>
    </row>
    <row r="66" spans="1:21" s="13" customFormat="1" ht="14.1" customHeight="1">
      <c r="A66" s="12"/>
      <c r="B66" s="192"/>
      <c r="C66" s="65"/>
      <c r="D66" s="66"/>
      <c r="E66" s="192"/>
      <c r="F66" s="192"/>
      <c r="G66" s="68"/>
      <c r="H66" s="12"/>
      <c r="I66" s="12"/>
      <c r="J66" s="12"/>
      <c r="K66" s="12"/>
      <c r="L66" s="12"/>
      <c r="M66" s="12"/>
      <c r="N66" s="68"/>
      <c r="O66" s="12"/>
      <c r="P66" s="12"/>
      <c r="U66" s="173"/>
    </row>
    <row r="67" spans="1:21" ht="14.1" customHeight="1">
      <c r="C67" s="65"/>
      <c r="U67" s="173"/>
    </row>
    <row r="68" spans="1:21" ht="14.1" customHeight="1">
      <c r="A68" s="13"/>
      <c r="B68" s="13"/>
      <c r="C68" s="13"/>
      <c r="D68" s="97"/>
      <c r="E68" s="13"/>
      <c r="F68" s="13"/>
      <c r="G68" s="13"/>
      <c r="H68" s="13"/>
      <c r="I68" s="13"/>
      <c r="J68" s="13"/>
      <c r="M68" s="13"/>
      <c r="N68" s="13"/>
      <c r="O68" s="13"/>
      <c r="P68" s="13"/>
      <c r="U68" s="173"/>
    </row>
    <row r="69" spans="1:21" ht="14.1" customHeight="1">
      <c r="A69" s="13"/>
      <c r="B69" s="13"/>
      <c r="C69" s="13"/>
      <c r="D69" s="97"/>
      <c r="E69" s="13"/>
      <c r="F69" s="13"/>
      <c r="G69" s="13"/>
      <c r="H69" s="13"/>
      <c r="I69" s="13"/>
      <c r="J69" s="13"/>
      <c r="M69" s="13"/>
      <c r="N69" s="13"/>
      <c r="O69" s="13"/>
      <c r="P69" s="13"/>
      <c r="U69" s="173"/>
    </row>
    <row r="70" spans="1:21" ht="14.1" customHeight="1">
      <c r="C70" s="65"/>
      <c r="U70" s="173"/>
    </row>
    <row r="71" spans="1:21" ht="14.1" customHeight="1">
      <c r="C71" s="65"/>
      <c r="Q71" s="13"/>
      <c r="R71" s="13"/>
    </row>
    <row r="72" spans="1:21" ht="14.1" customHeight="1">
      <c r="C72" s="65"/>
      <c r="Q72" s="13"/>
      <c r="R72" s="13"/>
    </row>
    <row r="73" spans="1:21" ht="14.1" customHeight="1">
      <c r="C73" s="65"/>
    </row>
    <row r="74" spans="1:21" ht="14.1" customHeight="1">
      <c r="C74" s="65"/>
    </row>
  </sheetData>
  <pageMargins left="0.75" right="0.5" top="1" bottom="0.5" header="0.5" footer="0.5"/>
  <pageSetup scale="70" orientation="landscape" r:id="rId1"/>
  <headerFooter alignWithMargins="0">
    <oddHeader>&amp;R&amp;D</oddHeader>
  </headerFooter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U74"/>
  <sheetViews>
    <sheetView topLeftCell="T1" zoomScale="87" zoomScaleNormal="87" workbookViewId="0">
      <selection activeCell="AB11" sqref="AB11:CQ11"/>
    </sheetView>
  </sheetViews>
  <sheetFormatPr defaultColWidth="13.7109375" defaultRowHeight="14.1" customHeight="1"/>
  <cols>
    <col min="1" max="1" width="6.28515625" style="12" customWidth="1"/>
    <col min="2" max="2" width="16.5703125" style="192" customWidth="1"/>
    <col min="3" max="3" width="8.28515625" style="12" customWidth="1"/>
    <col min="4" max="4" width="11.140625" style="66" customWidth="1"/>
    <col min="5" max="5" width="12.85546875" style="192" customWidth="1"/>
    <col min="6" max="6" width="9.28515625" style="192" customWidth="1"/>
    <col min="7" max="7" width="9.140625" style="68" customWidth="1"/>
    <col min="8" max="8" width="10.85546875" style="12" customWidth="1"/>
    <col min="9" max="9" width="13.140625" style="12" customWidth="1"/>
    <col min="10" max="10" width="12.28515625" style="12" customWidth="1"/>
    <col min="11" max="11" width="10.140625" style="12" customWidth="1"/>
    <col min="12" max="12" width="14.42578125" style="12" customWidth="1"/>
    <col min="13" max="13" width="8.85546875" style="12" customWidth="1"/>
    <col min="14" max="14" width="17.140625" style="68" customWidth="1"/>
    <col min="15" max="15" width="15.7109375" style="12" customWidth="1"/>
    <col min="16" max="16" width="10.85546875" style="12" customWidth="1"/>
    <col min="17" max="17" width="6.140625" style="12" customWidth="1"/>
    <col min="18" max="18" width="7.28515625" style="12" customWidth="1"/>
    <col min="19" max="19" width="12" style="13" customWidth="1"/>
    <col min="20" max="20" width="10.42578125" style="13" customWidth="1"/>
    <col min="21" max="21" width="13.7109375" style="13" customWidth="1"/>
    <col min="22" max="22" width="2.5703125" style="13" customWidth="1"/>
    <col min="23" max="29" width="13.7109375" style="13" customWidth="1"/>
    <col min="30" max="31" width="25" style="13" customWidth="1"/>
    <col min="32" max="34" width="13.7109375" style="13" customWidth="1"/>
    <col min="35" max="35" width="19.85546875" style="13" customWidth="1"/>
    <col min="36" max="36" width="19.5703125" style="13" customWidth="1"/>
    <col min="37" max="37" width="27.42578125" style="13" customWidth="1"/>
    <col min="38" max="38" width="31.42578125" style="13" customWidth="1"/>
    <col min="39" max="39" width="31.28515625" style="13" customWidth="1"/>
    <col min="40" max="45" width="27.42578125" style="13" customWidth="1"/>
    <col min="46" max="46" width="31.28515625" style="13" customWidth="1"/>
    <col min="47" max="47" width="35.42578125" style="13" customWidth="1"/>
    <col min="48" max="50" width="13.7109375" style="13" customWidth="1"/>
    <col min="51" max="52" width="17.28515625" style="13" customWidth="1"/>
    <col min="53" max="60" width="17.5703125" style="13" customWidth="1"/>
    <col min="61" max="65" width="20.42578125" style="13" customWidth="1"/>
    <col min="66" max="68" width="13.7109375" style="13" customWidth="1"/>
    <col min="69" max="69" width="18.7109375" style="13" customWidth="1"/>
    <col min="70" max="72" width="13.7109375" style="13" customWidth="1"/>
    <col min="73" max="73" width="17.28515625" style="13" customWidth="1"/>
    <col min="74" max="74" width="16.85546875" style="13" customWidth="1"/>
    <col min="75" max="75" width="13.7109375" style="13" customWidth="1"/>
    <col min="76" max="76" width="17" style="13" customWidth="1"/>
    <col min="77" max="81" width="17.85546875" style="13" customWidth="1"/>
    <col min="82" max="92" width="13.7109375" style="13" customWidth="1"/>
    <col min="93" max="93" width="26.140625" style="13" customWidth="1"/>
    <col min="94" max="94" width="25.7109375" style="13" customWidth="1"/>
    <col min="95" max="95" width="22.85546875" style="13" customWidth="1"/>
    <col min="96" max="99" width="13.7109375" style="13" customWidth="1"/>
    <col min="100" max="16384" width="13.7109375" style="12"/>
  </cols>
  <sheetData>
    <row r="1" spans="1:99" ht="14.1" customHeight="1">
      <c r="A1" s="1" t="s">
        <v>0</v>
      </c>
      <c r="B1" s="2" t="s">
        <v>139</v>
      </c>
      <c r="C1" s="3" t="s">
        <v>1</v>
      </c>
      <c r="D1" s="4" t="s">
        <v>184</v>
      </c>
      <c r="E1" s="1" t="s">
        <v>2</v>
      </c>
      <c r="F1" s="1"/>
      <c r="G1" s="5">
        <v>65</v>
      </c>
      <c r="H1" s="6"/>
      <c r="I1" s="6" t="s">
        <v>3</v>
      </c>
      <c r="J1" s="5">
        <v>178</v>
      </c>
      <c r="K1" s="7"/>
      <c r="L1" s="7"/>
      <c r="M1" s="8" t="s">
        <v>4</v>
      </c>
      <c r="N1" s="9">
        <f>((AVERAGE(W7:W8))*20)</f>
        <v>7025070</v>
      </c>
      <c r="O1" s="10">
        <f>(O3*20)</f>
        <v>7194364.2341999989</v>
      </c>
      <c r="P1" s="10"/>
      <c r="Q1" s="11" t="s">
        <v>5</v>
      </c>
      <c r="S1" s="13">
        <v>-120</v>
      </c>
      <c r="T1" s="13" t="s">
        <v>6</v>
      </c>
      <c r="U1" s="14">
        <v>18.05</v>
      </c>
      <c r="V1" s="15"/>
      <c r="W1" s="15" t="s">
        <v>7</v>
      </c>
    </row>
    <row r="2" spans="1:99" ht="14.1" customHeight="1" thickBot="1">
      <c r="A2" s="16" t="s">
        <v>8</v>
      </c>
      <c r="B2" s="17">
        <v>42649</v>
      </c>
      <c r="C2" s="3" t="s">
        <v>9</v>
      </c>
      <c r="D2" s="18">
        <v>105.8</v>
      </c>
      <c r="E2" s="3" t="s">
        <v>10</v>
      </c>
      <c r="F2" s="3"/>
      <c r="G2" s="19">
        <f>D2/(D3/100*D3/100)</f>
        <v>32.545744766918013</v>
      </c>
      <c r="H2" s="13"/>
      <c r="I2" s="20" t="s">
        <v>11</v>
      </c>
      <c r="J2" s="21"/>
      <c r="K2" s="22"/>
      <c r="L2" s="23"/>
      <c r="M2" s="24" t="s">
        <v>12</v>
      </c>
      <c r="N2" s="25">
        <f>(O1*0.068)</f>
        <v>489216.76792559994</v>
      </c>
      <c r="O2" s="13"/>
      <c r="P2" s="13"/>
      <c r="Q2" s="11"/>
      <c r="R2" s="26"/>
      <c r="T2" s="13" t="s">
        <v>6</v>
      </c>
      <c r="U2" s="14">
        <v>11.34</v>
      </c>
      <c r="V2" s="15"/>
      <c r="W2" s="27">
        <v>124615</v>
      </c>
    </row>
    <row r="3" spans="1:99" ht="14.1" customHeight="1" thickTop="1" thickBot="1">
      <c r="A3" s="16" t="s">
        <v>13</v>
      </c>
      <c r="B3" s="28" t="s">
        <v>167</v>
      </c>
      <c r="C3" s="3" t="s">
        <v>15</v>
      </c>
      <c r="D3" s="29">
        <v>180.3</v>
      </c>
      <c r="E3" s="3" t="s">
        <v>16</v>
      </c>
      <c r="F3" s="3"/>
      <c r="G3" s="19">
        <f>SQRT(((D2*D3)/3600))</f>
        <v>2.3019158687203727</v>
      </c>
      <c r="H3" s="13"/>
      <c r="I3" s="20"/>
      <c r="J3" s="30"/>
      <c r="K3" s="30"/>
      <c r="L3" s="30"/>
      <c r="M3" s="31" t="s">
        <v>17</v>
      </c>
      <c r="N3" s="32">
        <f>($O$1/$N$1)*100</f>
        <v>102.40985832454336</v>
      </c>
      <c r="O3" s="33">
        <f>((AVERAGE(W2:W5))*2.85714)</f>
        <v>359718.21170999995</v>
      </c>
      <c r="P3" s="33"/>
      <c r="Q3" s="34" t="s">
        <v>18</v>
      </c>
      <c r="R3" s="13"/>
      <c r="T3" s="13">
        <v>-30</v>
      </c>
      <c r="U3" s="14">
        <v>330.37</v>
      </c>
      <c r="V3" s="15"/>
      <c r="W3" s="27">
        <v>125679</v>
      </c>
    </row>
    <row r="4" spans="1:99" ht="14.1" customHeight="1" thickTop="1">
      <c r="B4" s="35"/>
      <c r="C4" s="3" t="s">
        <v>19</v>
      </c>
      <c r="D4" s="19">
        <v>77.507999999999996</v>
      </c>
      <c r="E4" s="37" t="s">
        <v>20</v>
      </c>
      <c r="F4" s="37"/>
      <c r="G4" s="38">
        <v>0.27100000000000002</v>
      </c>
      <c r="H4" s="13"/>
      <c r="I4" s="20"/>
      <c r="J4" s="30"/>
      <c r="K4" s="30"/>
      <c r="L4" s="30"/>
      <c r="M4" s="33"/>
      <c r="N4" s="39"/>
      <c r="O4" s="30"/>
      <c r="P4" s="30"/>
      <c r="Q4" s="30"/>
      <c r="R4" s="30"/>
      <c r="U4" s="14">
        <v>308.52</v>
      </c>
      <c r="V4" s="15"/>
      <c r="W4" s="27">
        <v>126186</v>
      </c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</row>
    <row r="5" spans="1:99" ht="14.1" customHeight="1" thickBot="1">
      <c r="A5" s="16"/>
      <c r="B5" s="30"/>
      <c r="C5" s="3"/>
      <c r="D5" s="41" t="s">
        <v>21</v>
      </c>
      <c r="E5" s="42">
        <f>AVERAGE(U1:U2)</f>
        <v>14.695</v>
      </c>
      <c r="F5" s="42"/>
      <c r="G5" s="19"/>
      <c r="H5" s="30"/>
      <c r="I5" s="30"/>
      <c r="J5" s="43" t="s">
        <v>22</v>
      </c>
      <c r="K5" s="43"/>
      <c r="L5" s="44" t="s">
        <v>23</v>
      </c>
      <c r="M5" s="45"/>
      <c r="N5" s="43" t="s">
        <v>22</v>
      </c>
      <c r="O5" s="44" t="s">
        <v>23</v>
      </c>
      <c r="P5" s="44" t="s">
        <v>24</v>
      </c>
      <c r="Q5" s="46"/>
      <c r="R5" s="46"/>
      <c r="T5" s="13">
        <v>-20</v>
      </c>
      <c r="U5" s="14">
        <v>316.14999999999998</v>
      </c>
      <c r="V5" s="15"/>
      <c r="W5" s="27">
        <v>127126</v>
      </c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</row>
    <row r="6" spans="1:99" s="1" customFormat="1" ht="14.1" customHeight="1">
      <c r="A6" s="47" t="s">
        <v>25</v>
      </c>
      <c r="B6" s="48" t="s">
        <v>26</v>
      </c>
      <c r="C6" s="48"/>
      <c r="D6" s="49" t="s">
        <v>27</v>
      </c>
      <c r="E6" s="48" t="s">
        <v>28</v>
      </c>
      <c r="F6" s="48"/>
      <c r="G6" s="48" t="s">
        <v>29</v>
      </c>
      <c r="H6" s="50" t="s">
        <v>30</v>
      </c>
      <c r="I6" s="50"/>
      <c r="J6" s="51" t="s">
        <v>31</v>
      </c>
      <c r="K6" s="52"/>
      <c r="L6" s="52" t="s">
        <v>31</v>
      </c>
      <c r="M6" s="52" t="s">
        <v>32</v>
      </c>
      <c r="N6" s="52" t="s">
        <v>33</v>
      </c>
      <c r="O6" s="53" t="s">
        <v>34</v>
      </c>
      <c r="P6" s="54"/>
      <c r="Q6" s="55"/>
      <c r="R6" s="55"/>
      <c r="S6" s="13"/>
      <c r="T6" s="13"/>
      <c r="U6" s="14">
        <v>333.06</v>
      </c>
      <c r="V6" s="15"/>
      <c r="W6" s="56" t="s">
        <v>35</v>
      </c>
      <c r="X6" s="13" t="s">
        <v>36</v>
      </c>
      <c r="Y6" s="57" t="s">
        <v>37</v>
      </c>
      <c r="Z6" s="58" t="s">
        <v>38</v>
      </c>
      <c r="AA6" s="40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60"/>
      <c r="AY6" s="60"/>
      <c r="AZ6" s="60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60"/>
      <c r="BO6" s="60"/>
      <c r="BP6" s="60"/>
      <c r="BQ6" s="59"/>
      <c r="BR6" s="59"/>
      <c r="BS6" s="59"/>
      <c r="BT6" s="59"/>
      <c r="BU6" s="59"/>
      <c r="BV6" s="59"/>
      <c r="BW6" s="59"/>
      <c r="BX6" s="59"/>
      <c r="BY6" s="59"/>
      <c r="BZ6" s="61"/>
      <c r="CA6" s="61"/>
      <c r="CB6" s="61"/>
      <c r="CC6" s="61"/>
      <c r="CD6" s="40"/>
      <c r="CE6" s="61"/>
      <c r="CF6" s="61"/>
      <c r="CG6" s="33"/>
      <c r="CH6" s="40"/>
      <c r="CI6" s="30"/>
      <c r="CJ6" s="30"/>
      <c r="CK6" s="30"/>
      <c r="CL6" s="30"/>
      <c r="CM6" s="30"/>
      <c r="CN6" s="30"/>
      <c r="CO6" s="30"/>
      <c r="CP6" s="62"/>
      <c r="CQ6" s="62"/>
      <c r="CR6" s="13"/>
      <c r="CS6" s="13"/>
      <c r="CT6" s="13"/>
      <c r="CU6" s="13"/>
    </row>
    <row r="7" spans="1:99" ht="14.1" customHeight="1">
      <c r="A7" s="63">
        <v>-30</v>
      </c>
      <c r="B7" s="64">
        <v>99</v>
      </c>
      <c r="C7" s="65"/>
      <c r="D7" s="42">
        <f>AVERAGE(U3:U4)</f>
        <v>319.44499999999999</v>
      </c>
      <c r="E7" s="66">
        <f>D7-$E$5</f>
        <v>304.75</v>
      </c>
      <c r="F7" s="66"/>
      <c r="G7" s="66">
        <f>($E7*7.1425)</f>
        <v>2176.6768750000001</v>
      </c>
      <c r="H7" s="66">
        <f>($G7/($B7*0.01))</f>
        <v>2198.6635101010102</v>
      </c>
      <c r="I7" s="66"/>
      <c r="J7" s="67">
        <f>$N$2/$H7/$D$2</f>
        <v>2.103085347660528</v>
      </c>
      <c r="K7" s="67"/>
      <c r="L7" s="67">
        <f>J7/($D$4/$D$2)</f>
        <v>2.8707543709356953</v>
      </c>
      <c r="N7" s="68">
        <f>J7-M7</f>
        <v>2.103085347660528</v>
      </c>
      <c r="O7" s="67">
        <f>N7/($D$4/$D$2)</f>
        <v>2.8707543709356953</v>
      </c>
      <c r="P7" s="67"/>
      <c r="Q7" s="30"/>
      <c r="R7" s="30"/>
      <c r="T7" s="13">
        <v>-10</v>
      </c>
      <c r="U7" s="14">
        <v>346.42</v>
      </c>
      <c r="V7" s="15"/>
      <c r="W7" s="27">
        <v>350769</v>
      </c>
      <c r="X7" s="69">
        <v>0.35899999999999999</v>
      </c>
      <c r="Y7" s="70">
        <v>-30</v>
      </c>
      <c r="Z7" s="71">
        <v>28.451000000000001</v>
      </c>
      <c r="AA7" s="40"/>
      <c r="AB7" s="72"/>
      <c r="AC7" s="72"/>
      <c r="AD7" s="72"/>
      <c r="AE7" s="72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19"/>
      <c r="AY7" s="74"/>
      <c r="AZ7" s="74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</row>
    <row r="8" spans="1:99" ht="14.1" customHeight="1">
      <c r="A8" s="63">
        <v>-20</v>
      </c>
      <c r="B8" s="64">
        <v>99</v>
      </c>
      <c r="C8" s="65"/>
      <c r="D8" s="66">
        <f>AVERAGE(U5:U6)</f>
        <v>324.60500000000002</v>
      </c>
      <c r="E8" s="66">
        <f>D8-$E$5</f>
        <v>309.91000000000003</v>
      </c>
      <c r="F8" s="66"/>
      <c r="G8" s="66">
        <f>($E8*7.1425)</f>
        <v>2213.5321750000003</v>
      </c>
      <c r="H8" s="66">
        <f>($G8/($B8*0.01))</f>
        <v>2235.8910858585859</v>
      </c>
      <c r="I8" s="66"/>
      <c r="J8" s="67">
        <f>$N$2/H8/$D$2</f>
        <v>2.0680689868011553</v>
      </c>
      <c r="K8" s="67"/>
      <c r="L8" s="67">
        <f>J8/($D$4/$D$2)</f>
        <v>2.8229563245543976</v>
      </c>
      <c r="N8" s="68">
        <f>J8-M8</f>
        <v>2.0680689868011553</v>
      </c>
      <c r="O8" s="67">
        <f>N8/($D$4/$D$2)</f>
        <v>2.8229563245543976</v>
      </c>
      <c r="P8" s="67"/>
      <c r="Q8" s="30"/>
      <c r="R8" s="30"/>
      <c r="U8" s="14">
        <v>328.45</v>
      </c>
      <c r="V8" s="15"/>
      <c r="W8" s="27">
        <v>351738</v>
      </c>
      <c r="X8" s="69">
        <v>0.39300000000000002</v>
      </c>
      <c r="Y8" s="70">
        <v>-20</v>
      </c>
      <c r="Z8" s="71">
        <v>23.327000000000002</v>
      </c>
      <c r="AA8" s="40"/>
      <c r="AB8" s="72"/>
      <c r="AC8" s="72"/>
      <c r="AD8" s="72"/>
      <c r="AE8" s="72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19"/>
      <c r="AY8" s="74"/>
      <c r="AZ8" s="74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</row>
    <row r="9" spans="1:99" ht="14.1" customHeight="1" thickBot="1">
      <c r="A9" s="63">
        <v>-10</v>
      </c>
      <c r="B9" s="75">
        <v>98</v>
      </c>
      <c r="C9" s="65"/>
      <c r="D9" s="66">
        <f>AVERAGE(U7:U8)</f>
        <v>337.435</v>
      </c>
      <c r="E9" s="66">
        <f>D9-$E$5</f>
        <v>322.74</v>
      </c>
      <c r="F9" s="66"/>
      <c r="G9" s="66">
        <f>($E9*7.1425)</f>
        <v>2305.1704500000001</v>
      </c>
      <c r="H9" s="66">
        <f>($G9/($B9*0.01))</f>
        <v>2352.2147448979595</v>
      </c>
      <c r="I9" s="66"/>
      <c r="J9" s="67">
        <f>$N$2/H9/$D$2</f>
        <v>1.9657971375950589</v>
      </c>
      <c r="K9" s="67"/>
      <c r="L9" s="67">
        <f>J9/($D$4/$D$2)</f>
        <v>2.6833531655771949</v>
      </c>
      <c r="N9" s="68">
        <f>J9-M9</f>
        <v>1.9657971375950589</v>
      </c>
      <c r="O9" s="67">
        <f>N9/($D$4/$D$2)</f>
        <v>2.6833531655771949</v>
      </c>
      <c r="P9" s="67"/>
      <c r="Q9" s="30"/>
      <c r="R9" s="30"/>
      <c r="T9" s="13">
        <v>-5</v>
      </c>
      <c r="U9" s="14">
        <v>317.66000000000003</v>
      </c>
      <c r="V9" s="15"/>
      <c r="W9" s="76"/>
      <c r="X9" s="69">
        <v>0.36099999999999999</v>
      </c>
      <c r="Y9" s="70">
        <v>-10</v>
      </c>
      <c r="Z9" s="71">
        <v>16.536000000000001</v>
      </c>
      <c r="AA9" s="40"/>
      <c r="AB9" s="72"/>
      <c r="AC9" s="72"/>
      <c r="AD9" s="72"/>
      <c r="AE9" s="72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19"/>
      <c r="AY9" s="74"/>
      <c r="AZ9" s="74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</row>
    <row r="10" spans="1:99" s="80" customFormat="1" ht="14.1" customHeight="1">
      <c r="A10" s="77">
        <v>0</v>
      </c>
      <c r="B10" s="75">
        <v>92</v>
      </c>
      <c r="C10" s="65"/>
      <c r="D10" s="66">
        <f>AVERAGE(U11:U12)</f>
        <v>354.83</v>
      </c>
      <c r="E10" s="66">
        <f>D10-$E$5</f>
        <v>340.13499999999999</v>
      </c>
      <c r="F10" s="66"/>
      <c r="G10" s="78">
        <f>($E10*7.1425)</f>
        <v>2429.4142375000001</v>
      </c>
      <c r="H10" s="78">
        <f>($G10/($B10*0.01))</f>
        <v>2640.6676494565218</v>
      </c>
      <c r="I10" s="78"/>
      <c r="J10" s="79">
        <f>$N$2/H10/$D$2</f>
        <v>1.7510636044944787</v>
      </c>
      <c r="K10" s="79"/>
      <c r="L10" s="67">
        <f>J10/($D$4/$D$2)</f>
        <v>2.3902375155534377</v>
      </c>
      <c r="N10" s="81">
        <f>J10-M10</f>
        <v>1.7510636044944787</v>
      </c>
      <c r="O10" s="67">
        <f>N10/($D$4/$D$2)</f>
        <v>2.3902375155534377</v>
      </c>
      <c r="P10" s="67"/>
      <c r="Q10" s="30"/>
      <c r="R10" s="30"/>
      <c r="S10" s="13"/>
      <c r="T10" s="13" t="s">
        <v>39</v>
      </c>
      <c r="U10" s="14">
        <v>323.24</v>
      </c>
      <c r="V10" s="15"/>
      <c r="W10" s="15"/>
      <c r="X10" s="69">
        <v>0.376</v>
      </c>
      <c r="Y10" s="70">
        <v>0</v>
      </c>
      <c r="Z10" s="82">
        <v>18.366</v>
      </c>
      <c r="AA10" s="30"/>
      <c r="AB10" s="83" t="s">
        <v>40</v>
      </c>
      <c r="AC10" s="83" t="s">
        <v>41</v>
      </c>
      <c r="AD10" s="83" t="s">
        <v>42</v>
      </c>
      <c r="AE10" s="83" t="s">
        <v>43</v>
      </c>
      <c r="AF10" s="83" t="s">
        <v>44</v>
      </c>
      <c r="AG10" s="83" t="s">
        <v>45</v>
      </c>
      <c r="AH10" s="83" t="s">
        <v>46</v>
      </c>
      <c r="AI10" s="83" t="s">
        <v>47</v>
      </c>
      <c r="AJ10" s="83" t="s">
        <v>48</v>
      </c>
      <c r="AK10" s="83" t="s">
        <v>49</v>
      </c>
      <c r="AL10" s="83" t="s">
        <v>50</v>
      </c>
      <c r="AM10" s="83" t="s">
        <v>51</v>
      </c>
      <c r="AN10" s="83" t="s">
        <v>52</v>
      </c>
      <c r="AO10" s="83" t="s">
        <v>53</v>
      </c>
      <c r="AP10" s="83" t="s">
        <v>54</v>
      </c>
      <c r="AQ10" s="83" t="s">
        <v>55</v>
      </c>
      <c r="AR10" s="83" t="s">
        <v>56</v>
      </c>
      <c r="AS10" s="83" t="s">
        <v>57</v>
      </c>
      <c r="AT10" s="83" t="s">
        <v>58</v>
      </c>
      <c r="AU10" s="83" t="s">
        <v>59</v>
      </c>
      <c r="AV10" s="84" t="s">
        <v>60</v>
      </c>
      <c r="AW10" s="84" t="s">
        <v>61</v>
      </c>
      <c r="AX10" s="85" t="s">
        <v>62</v>
      </c>
      <c r="AY10" s="85" t="s">
        <v>63</v>
      </c>
      <c r="AZ10" s="85" t="s">
        <v>64</v>
      </c>
      <c r="BA10" s="86" t="s">
        <v>65</v>
      </c>
      <c r="BB10" s="86" t="s">
        <v>66</v>
      </c>
      <c r="BC10" s="86" t="s">
        <v>67</v>
      </c>
      <c r="BD10" s="86" t="s">
        <v>68</v>
      </c>
      <c r="BE10" s="86" t="s">
        <v>69</v>
      </c>
      <c r="BF10" s="86" t="s">
        <v>70</v>
      </c>
      <c r="BG10" s="86" t="s">
        <v>71</v>
      </c>
      <c r="BH10" s="86" t="s">
        <v>72</v>
      </c>
      <c r="BI10" s="86" t="s">
        <v>73</v>
      </c>
      <c r="BJ10" s="86" t="s">
        <v>74</v>
      </c>
      <c r="BK10" s="86" t="s">
        <v>75</v>
      </c>
      <c r="BL10" s="86" t="s">
        <v>76</v>
      </c>
      <c r="BM10" s="86" t="s">
        <v>77</v>
      </c>
      <c r="BN10" s="87" t="s">
        <v>78</v>
      </c>
      <c r="BO10" s="87" t="s">
        <v>79</v>
      </c>
      <c r="BP10" s="87" t="s">
        <v>80</v>
      </c>
      <c r="BQ10" s="88" t="s">
        <v>81</v>
      </c>
      <c r="BR10" s="88" t="s">
        <v>82</v>
      </c>
      <c r="BS10" s="88" t="s">
        <v>83</v>
      </c>
      <c r="BT10" s="88" t="s">
        <v>84</v>
      </c>
      <c r="BU10" s="88" t="s">
        <v>85</v>
      </c>
      <c r="BV10" s="88" t="s">
        <v>86</v>
      </c>
      <c r="BW10" s="88" t="s">
        <v>87</v>
      </c>
      <c r="BX10" s="88" t="s">
        <v>88</v>
      </c>
      <c r="BY10" s="88" t="s">
        <v>89</v>
      </c>
      <c r="BZ10" s="88" t="s">
        <v>90</v>
      </c>
      <c r="CA10" s="88" t="s">
        <v>91</v>
      </c>
      <c r="CB10" s="88" t="s">
        <v>92</v>
      </c>
      <c r="CC10" s="88" t="s">
        <v>93</v>
      </c>
      <c r="CD10" s="40"/>
      <c r="CE10" s="89" t="s">
        <v>94</v>
      </c>
      <c r="CF10" s="89" t="s">
        <v>95</v>
      </c>
      <c r="CG10" s="90" t="s">
        <v>96</v>
      </c>
      <c r="CH10" s="40"/>
      <c r="CI10" s="91" t="s">
        <v>97</v>
      </c>
      <c r="CJ10" s="91" t="s">
        <v>98</v>
      </c>
      <c r="CK10" s="91" t="s">
        <v>99</v>
      </c>
      <c r="CL10" s="91" t="s">
        <v>100</v>
      </c>
      <c r="CM10" s="91" t="s">
        <v>101</v>
      </c>
      <c r="CN10" s="91" t="s">
        <v>102</v>
      </c>
      <c r="CO10" s="91" t="s">
        <v>103</v>
      </c>
      <c r="CP10" s="92" t="s">
        <v>104</v>
      </c>
      <c r="CQ10" s="92" t="s">
        <v>105</v>
      </c>
      <c r="CR10" s="13"/>
      <c r="CS10" s="13"/>
      <c r="CT10" s="13"/>
      <c r="CU10" s="13"/>
    </row>
    <row r="11" spans="1:99" s="49" customFormat="1" ht="14.1" customHeight="1">
      <c r="A11" s="93" t="s">
        <v>106</v>
      </c>
      <c r="B11" s="49">
        <f>AVERAGE(B7:B10)</f>
        <v>97</v>
      </c>
      <c r="E11" s="50">
        <f>AVERAGE(E7:E10)</f>
        <v>319.38375000000002</v>
      </c>
      <c r="G11" s="50">
        <f>AVERAGE(G7:G10)</f>
        <v>2281.198434375</v>
      </c>
      <c r="H11" s="50">
        <f>AVERAGE(H7:H10)</f>
        <v>2356.8592475785194</v>
      </c>
      <c r="J11" s="94">
        <f>AVERAGE(J7:J10)</f>
        <v>1.9720037691378052</v>
      </c>
      <c r="K11" s="50" t="s">
        <v>39</v>
      </c>
      <c r="L11" s="50">
        <f>AVERAGE(L7:L10)</f>
        <v>2.6918253441551814</v>
      </c>
      <c r="M11" s="50"/>
      <c r="N11" s="94">
        <f>AVERAGE(N7:N10)</f>
        <v>1.9720037691378052</v>
      </c>
      <c r="O11" s="50">
        <f>AVERAGE(O7:O10)</f>
        <v>2.6918253441551814</v>
      </c>
      <c r="P11" s="95"/>
      <c r="Q11" s="95"/>
      <c r="R11" s="95"/>
      <c r="S11" s="6"/>
      <c r="T11" s="13">
        <v>0</v>
      </c>
      <c r="U11" s="14">
        <v>356.9</v>
      </c>
      <c r="V11" s="15"/>
      <c r="W11" s="15"/>
      <c r="X11" s="96">
        <f>AVERAGE(X7:X10)</f>
        <v>0.37224999999999997</v>
      </c>
      <c r="Y11" s="70" t="s">
        <v>107</v>
      </c>
      <c r="Z11" s="96">
        <f>AVERAGE(Z7:Z10)</f>
        <v>21.67</v>
      </c>
      <c r="AA11" s="30"/>
      <c r="AB11" s="72">
        <f>J11</f>
        <v>1.9720037691378052</v>
      </c>
      <c r="AC11" s="73">
        <f>AB11/($D$4/$D$2)</f>
        <v>2.6918253441551814</v>
      </c>
      <c r="AD11" s="73">
        <f>AB11/Z11</f>
        <v>9.1001558335847027E-2</v>
      </c>
      <c r="AE11" s="73">
        <f>AC11/Z11</f>
        <v>0.12421898219451689</v>
      </c>
      <c r="AF11" s="72">
        <f>N20</f>
        <v>0.50414159675143866</v>
      </c>
      <c r="AG11" s="72">
        <f>AF11/($D$4/$D$2)</f>
        <v>0.688163556488391</v>
      </c>
      <c r="AH11" s="72">
        <f>AF11/Z18</f>
        <v>7.7457525059296557E-3</v>
      </c>
      <c r="AI11" s="72">
        <f>AG11/Z18</f>
        <v>1.057311006770085E-2</v>
      </c>
      <c r="AJ11" s="73">
        <f>((AB11-AF11)/AB11)*100</f>
        <v>74.435059169696302</v>
      </c>
      <c r="AK11" s="73">
        <f>((AC11-AG11)/AC11)*100</f>
        <v>74.435059169696302</v>
      </c>
      <c r="AL11" s="73">
        <f>((AD11-AH11)/AD11)*100</f>
        <v>91.488329818107658</v>
      </c>
      <c r="AM11" s="73">
        <f>((AE11-AI11)/AE11)*100</f>
        <v>91.488329818107644</v>
      </c>
      <c r="AN11" s="72">
        <f>N29</f>
        <v>0.66698674238974442</v>
      </c>
      <c r="AO11" s="72">
        <f>AN11/($D$4/$D$2)</f>
        <v>0.91045049988175364</v>
      </c>
      <c r="AP11" s="72">
        <f>AN11/Z25</f>
        <v>3.3253566846967956E-3</v>
      </c>
      <c r="AQ11" s="72">
        <f>AO11/Z25</f>
        <v>4.5391796619822598E-3</v>
      </c>
      <c r="AR11" s="73">
        <f>((AB11-AN11)/AB11)*100</f>
        <v>66.17720752727756</v>
      </c>
      <c r="AS11" s="73">
        <f>((AC11-AO11)/AC11)*100</f>
        <v>66.17720752727756</v>
      </c>
      <c r="AT11" s="73">
        <f>((AD11-AP11)/AD11)*100</f>
        <v>96.345824461132452</v>
      </c>
      <c r="AU11" s="73">
        <f>((AE11-AQ11)/AE11)*100</f>
        <v>96.345824461132452</v>
      </c>
      <c r="AV11" s="72">
        <f>J11</f>
        <v>1.9720037691378052</v>
      </c>
      <c r="AW11" s="72">
        <f>AV11/($D$4/$D$2)</f>
        <v>2.6918253441551814</v>
      </c>
      <c r="AX11" s="95">
        <f>M20</f>
        <v>1.3010712035286707</v>
      </c>
      <c r="AY11" s="95">
        <f>AX11/($D$4/$D$2)</f>
        <v>1.7759887151433835</v>
      </c>
      <c r="AZ11" s="95">
        <f>AX11/Z11</f>
        <v>6.0040203208521943E-2</v>
      </c>
      <c r="BA11" s="73">
        <f>AY11/Z11</f>
        <v>8.1956101298725589E-2</v>
      </c>
      <c r="BB11" s="72">
        <f>P21</f>
        <v>0.86773787019533732</v>
      </c>
      <c r="BC11" s="73">
        <f>BB11/($D$4/$D$2)</f>
        <v>1.184479881646626</v>
      </c>
      <c r="BD11" s="73">
        <f>BB11/Z18</f>
        <v>1.333213292826033E-2</v>
      </c>
      <c r="BE11" s="73">
        <f>BC11/Z18</f>
        <v>1.8198633222505325E-2</v>
      </c>
      <c r="BF11" s="72">
        <f>K20</f>
        <v>2.0042991266821257</v>
      </c>
      <c r="BG11" s="73">
        <f>BF11/($D$4/$D$2)</f>
        <v>2.7359091655438008</v>
      </c>
      <c r="BH11" s="73">
        <f>BF11/Z18</f>
        <v>3.0794532891490454E-2</v>
      </c>
      <c r="BI11" s="73">
        <f>BG11/Z18</f>
        <v>4.2035165143207029E-2</v>
      </c>
      <c r="BJ11" s="72">
        <f>J21</f>
        <v>0.99101328621050955</v>
      </c>
      <c r="BK11" s="73">
        <f>BJ11/($D$4/$D$2)</f>
        <v>1.3527533374757692</v>
      </c>
      <c r="BL11" s="73">
        <f>BJ11/Z18</f>
        <v>1.522616601077509E-2</v>
      </c>
      <c r="BM11" s="73">
        <f>BK11/Z18</f>
        <v>2.0784026989988189E-2</v>
      </c>
      <c r="BN11" s="95">
        <f>M29</f>
        <v>2.3946439823566474</v>
      </c>
      <c r="BO11" s="95">
        <f>BN11/($D$4/$D$2)</f>
        <v>3.268737850716485</v>
      </c>
      <c r="BP11" s="95">
        <f>BN11/Z25</f>
        <v>1.1938836063919151E-2</v>
      </c>
      <c r="BQ11" s="73">
        <f>BO11/Z25</f>
        <v>1.6296754600333467E-2</v>
      </c>
      <c r="BR11" s="72">
        <f>P30</f>
        <v>3.3046439823566476</v>
      </c>
      <c r="BS11" s="73">
        <f>BR11/($D$4/$D$2)</f>
        <v>4.5109064010596756</v>
      </c>
      <c r="BT11" s="73">
        <f>BR11/Z25</f>
        <v>1.6475769695061461E-2</v>
      </c>
      <c r="BU11" s="73">
        <f>BS11/Z25</f>
        <v>2.248976149220084E-2</v>
      </c>
      <c r="BV11" s="72">
        <f>K29</f>
        <v>2.9102129553702105</v>
      </c>
      <c r="BW11" s="73">
        <f>BV11/($D$4/$D$2)</f>
        <v>3.9725000087496554</v>
      </c>
      <c r="BX11" s="73">
        <f>BV11/Z25</f>
        <v>1.4509278056049631E-2</v>
      </c>
      <c r="BY11" s="73">
        <f>BW11/Z25</f>
        <v>1.9805460318032344E-2</v>
      </c>
      <c r="BZ11" s="72">
        <f>J30</f>
        <v>5.503672555037614</v>
      </c>
      <c r="CA11" s="73">
        <f>BZ11/($D$4/$D$2)</f>
        <v>7.512625229950193</v>
      </c>
      <c r="CB11" s="73">
        <f>BZ11/Z25</f>
        <v>2.7439337483236351E-2</v>
      </c>
      <c r="CC11" s="73">
        <f>CA11/Z25</f>
        <v>3.7455255015306881E-2</v>
      </c>
      <c r="CD11" s="13"/>
      <c r="CE11" s="97">
        <f>B11</f>
        <v>97</v>
      </c>
      <c r="CF11" s="13">
        <f>Z11</f>
        <v>21.67</v>
      </c>
      <c r="CG11" s="40">
        <f>((CE11/18)*CF11)/22.5</f>
        <v>5.1900987654320989</v>
      </c>
      <c r="CH11" s="40"/>
      <c r="CI11" s="40">
        <f>X28</f>
        <v>0</v>
      </c>
      <c r="CJ11" s="40">
        <f>X29</f>
        <v>0</v>
      </c>
      <c r="CK11" s="40">
        <f>X30</f>
        <v>0</v>
      </c>
      <c r="CL11" s="40">
        <f>X31</f>
        <v>0</v>
      </c>
      <c r="CM11" s="40">
        <f>X32</f>
        <v>0</v>
      </c>
      <c r="CN11" s="40">
        <f>X33</f>
        <v>0</v>
      </c>
      <c r="CO11" s="13">
        <f>X11</f>
        <v>0.37224999999999997</v>
      </c>
      <c r="CP11" s="13">
        <f>X18</f>
        <v>0.12859999999999999</v>
      </c>
      <c r="CQ11" s="13">
        <f>X25</f>
        <v>5.6400000000000006E-2</v>
      </c>
      <c r="CR11" s="13"/>
      <c r="CS11" s="13"/>
      <c r="CT11" s="13"/>
      <c r="CU11" s="13"/>
    </row>
    <row r="12" spans="1:99" ht="14.1" customHeight="1" thickBot="1">
      <c r="B12" s="98"/>
      <c r="C12" s="65"/>
      <c r="D12" s="99"/>
      <c r="E12" s="13"/>
      <c r="F12" s="13"/>
      <c r="G12" s="13"/>
      <c r="H12" s="13"/>
      <c r="I12" s="13"/>
      <c r="J12" s="6" t="s">
        <v>108</v>
      </c>
      <c r="K12" s="13"/>
      <c r="L12" s="13"/>
      <c r="M12" s="12" t="s">
        <v>39</v>
      </c>
      <c r="N12" s="13"/>
      <c r="O12" s="13"/>
      <c r="P12" s="13"/>
      <c r="Q12" s="30"/>
      <c r="R12" s="30"/>
      <c r="U12" s="14">
        <v>352.76</v>
      </c>
      <c r="V12" s="15"/>
      <c r="W12" s="15"/>
      <c r="Y12" s="70"/>
      <c r="Z12" s="96"/>
      <c r="AA12" s="30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30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40"/>
      <c r="CG12" s="40"/>
      <c r="CH12" s="40"/>
      <c r="CI12" s="40"/>
      <c r="CJ12" s="40"/>
      <c r="CK12" s="40"/>
      <c r="CL12" s="40"/>
      <c r="CM12" s="40"/>
      <c r="CN12" s="40"/>
    </row>
    <row r="13" spans="1:99" ht="14.1" customHeight="1" thickBot="1">
      <c r="B13" s="98"/>
      <c r="C13" s="65"/>
      <c r="D13" s="99"/>
      <c r="E13" s="13"/>
      <c r="F13" s="13"/>
      <c r="G13" s="13"/>
      <c r="H13" s="13"/>
      <c r="I13" s="13"/>
      <c r="J13" s="6"/>
      <c r="K13" s="13"/>
      <c r="L13" s="13"/>
      <c r="M13" s="100" t="s">
        <v>32</v>
      </c>
      <c r="N13" s="101"/>
      <c r="O13" s="101"/>
      <c r="P13" s="101"/>
      <c r="Q13" s="30"/>
      <c r="R13" s="102" t="s">
        <v>25</v>
      </c>
      <c r="S13" s="103" t="s">
        <v>109</v>
      </c>
      <c r="T13" s="13">
        <v>30</v>
      </c>
      <c r="U13" s="14">
        <v>338.78</v>
      </c>
      <c r="V13" s="15"/>
      <c r="W13" s="15"/>
      <c r="X13" s="69">
        <v>0.14799999999999999</v>
      </c>
      <c r="Y13" s="30">
        <v>90</v>
      </c>
      <c r="Z13" s="71">
        <v>63.738</v>
      </c>
      <c r="AA13" s="40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19"/>
      <c r="AY13" s="74"/>
      <c r="AZ13" s="74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40"/>
      <c r="CG13" s="40"/>
      <c r="CH13" s="40"/>
      <c r="CI13" s="40"/>
      <c r="CJ13" s="40"/>
      <c r="CK13" s="40"/>
      <c r="CL13" s="40"/>
      <c r="CM13" s="40"/>
      <c r="CN13" s="40"/>
    </row>
    <row r="14" spans="1:99" ht="14.1" customHeight="1">
      <c r="A14" s="12">
        <v>90</v>
      </c>
      <c r="B14" s="75">
        <v>96</v>
      </c>
      <c r="C14" s="65"/>
      <c r="D14" s="104">
        <f>AVERAGE(U17:U18)</f>
        <v>335.19499999999999</v>
      </c>
      <c r="E14" s="78">
        <f>D14-$E$5</f>
        <v>320.5</v>
      </c>
      <c r="F14" s="78"/>
      <c r="G14" s="78">
        <f t="shared" ref="G14:G27" si="0">($E14*7.1425)</f>
        <v>2289.1712499999999</v>
      </c>
      <c r="H14" s="78">
        <f t="shared" ref="H14:H27" si="1">($G14/($B14*0.01))</f>
        <v>2384.5533854166665</v>
      </c>
      <c r="I14" s="33">
        <f>$C$15*A14+$C$16</f>
        <v>2398.4851717857136</v>
      </c>
      <c r="J14" s="105" t="s">
        <v>110</v>
      </c>
      <c r="K14" s="106" t="s">
        <v>111</v>
      </c>
      <c r="L14" s="13"/>
      <c r="M14" s="107">
        <f>(((S14/60)*$J$1)/$D$2)</f>
        <v>0.50472589792060496</v>
      </c>
      <c r="N14" s="101"/>
      <c r="O14" s="101"/>
      <c r="P14" s="101"/>
      <c r="Q14" s="30"/>
      <c r="R14" s="108">
        <v>90</v>
      </c>
      <c r="S14" s="109">
        <v>18</v>
      </c>
      <c r="U14" s="14">
        <v>371.14</v>
      </c>
      <c r="V14" s="15"/>
      <c r="W14" s="110"/>
      <c r="X14" s="69">
        <v>0.152</v>
      </c>
      <c r="Y14" s="30">
        <v>100</v>
      </c>
      <c r="Z14" s="71">
        <v>59.134999999999998</v>
      </c>
      <c r="AA14" s="40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19"/>
      <c r="AY14" s="74"/>
      <c r="AZ14" s="74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40"/>
      <c r="CG14" s="40"/>
      <c r="CH14" s="40"/>
      <c r="CI14" s="40"/>
      <c r="CJ14" s="40"/>
      <c r="CK14" s="40"/>
      <c r="CL14" s="40"/>
      <c r="CM14" s="40"/>
      <c r="CN14" s="40"/>
    </row>
    <row r="15" spans="1:99" s="115" customFormat="1" ht="14.1" customHeight="1">
      <c r="A15" s="12">
        <v>100</v>
      </c>
      <c r="B15" s="75">
        <v>95</v>
      </c>
      <c r="C15" s="65">
        <f>SLOPE(G15:G18,A15:A18)</f>
        <v>0.28957735714288774</v>
      </c>
      <c r="D15" s="104">
        <f>AVERAGE(U19:U20)</f>
        <v>346.04999999999995</v>
      </c>
      <c r="E15" s="66">
        <f>D15-$E$5</f>
        <v>331.35499999999996</v>
      </c>
      <c r="F15" s="111">
        <v>180</v>
      </c>
      <c r="G15" s="112">
        <f t="shared" si="0"/>
        <v>2366.7030874999996</v>
      </c>
      <c r="H15" s="78">
        <f t="shared" si="1"/>
        <v>2491.2664078947364</v>
      </c>
      <c r="I15" s="33">
        <f>$C$15*A15+$C$16</f>
        <v>2401.3809453571425</v>
      </c>
      <c r="J15" s="113">
        <f>((($N$2-(130*$D$2*(((B15+B14)*0.01)/2))*((I15-I14)/(A15-A14))))/((I15+I14)/2))/$D$2</f>
        <v>1.9117308156799404</v>
      </c>
      <c r="K15" s="114">
        <f>$N$2/H15/$D$2</f>
        <v>1.8560748853980762</v>
      </c>
      <c r="L15" s="114">
        <f>J15/($D$4/$D$2)</f>
        <v>2.6095515340214908</v>
      </c>
      <c r="M15" s="107">
        <f>(((S15/60)*$J$1)/$D$2)</f>
        <v>1.4861373660995589</v>
      </c>
      <c r="N15" s="19">
        <f>K15-M15</f>
        <v>0.36993751929851726</v>
      </c>
      <c r="O15" s="74">
        <f>N15/($D$4/$D$2)</f>
        <v>0.50497225501603871</v>
      </c>
      <c r="P15" s="74"/>
      <c r="Q15" s="30"/>
      <c r="R15" s="108">
        <v>100</v>
      </c>
      <c r="S15" s="109">
        <v>53</v>
      </c>
      <c r="T15" s="13">
        <v>60</v>
      </c>
      <c r="U15" s="14">
        <v>133.59</v>
      </c>
      <c r="V15" s="15"/>
      <c r="W15" s="110"/>
      <c r="X15" s="69">
        <v>0.114</v>
      </c>
      <c r="Y15" s="30">
        <v>110</v>
      </c>
      <c r="Z15" s="71">
        <v>69.97</v>
      </c>
      <c r="AA15" s="40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19"/>
      <c r="AY15" s="74"/>
      <c r="AZ15" s="74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40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40"/>
      <c r="CH15" s="40"/>
      <c r="CI15" s="40"/>
      <c r="CJ15" s="40"/>
      <c r="CK15" s="40"/>
      <c r="CL15" s="40"/>
      <c r="CM15" s="40"/>
      <c r="CN15" s="40"/>
      <c r="CO15" s="13"/>
      <c r="CP15" s="13"/>
      <c r="CQ15" s="13"/>
      <c r="CR15" s="13"/>
      <c r="CS15" s="13"/>
      <c r="CT15" s="13"/>
      <c r="CU15" s="13"/>
    </row>
    <row r="16" spans="1:99" ht="14.1" customHeight="1">
      <c r="A16" s="12">
        <v>110</v>
      </c>
      <c r="B16" s="75">
        <v>105</v>
      </c>
      <c r="C16" s="65">
        <f>INTERCEPT(G15:G18,A15:A18)</f>
        <v>2372.4232096428536</v>
      </c>
      <c r="D16" s="104">
        <f>AVERAGE(U21:U22)</f>
        <v>359.13499999999999</v>
      </c>
      <c r="E16" s="66">
        <f>D16-$E$5</f>
        <v>344.44</v>
      </c>
      <c r="F16" s="116">
        <v>210</v>
      </c>
      <c r="G16" s="66">
        <f t="shared" si="0"/>
        <v>2460.1626999999999</v>
      </c>
      <c r="H16" s="78">
        <f t="shared" si="1"/>
        <v>2343.0120952380948</v>
      </c>
      <c r="I16" s="33">
        <f>$C$15*A16+$C$16</f>
        <v>2404.2767189285714</v>
      </c>
      <c r="J16" s="113">
        <f>((($N$2-(130*$D$2*(((B16+B15)*0.01)/2))*((I16-I15)/(A16-A15))))/((I16+I15)/2))/$D$2</f>
        <v>1.9087218759609297</v>
      </c>
      <c r="K16" s="67">
        <f>$N$2/H16/$D$2</f>
        <v>1.9735181998961964</v>
      </c>
      <c r="L16" s="67">
        <f>J16/($D$4/$D$2)</f>
        <v>2.6054442699678275</v>
      </c>
      <c r="M16" s="107">
        <f>(((S16/60)*$J$1)/$D$2)</f>
        <v>2.4955891619407691</v>
      </c>
      <c r="N16" s="19">
        <f>K16-M16</f>
        <v>-0.52207096204457271</v>
      </c>
      <c r="O16" s="67">
        <f>N16/($D$4/$D$2)</f>
        <v>-0.71263750560349637</v>
      </c>
      <c r="P16" s="67"/>
      <c r="Q16" s="30"/>
      <c r="R16" s="108">
        <v>110</v>
      </c>
      <c r="S16" s="109">
        <v>89</v>
      </c>
      <c r="U16" s="14">
        <v>347.21</v>
      </c>
      <c r="V16" s="15"/>
      <c r="W16" s="110"/>
      <c r="X16" s="69">
        <v>0.105</v>
      </c>
      <c r="Y16" s="30">
        <v>115</v>
      </c>
      <c r="Z16" s="71">
        <v>68.981999999999999</v>
      </c>
      <c r="AA16" s="40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19"/>
      <c r="AY16" s="74"/>
      <c r="AZ16" s="74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40"/>
    </row>
    <row r="17" spans="1:67" ht="14.1" customHeight="1">
      <c r="A17" s="12">
        <v>115</v>
      </c>
      <c r="B17" s="75">
        <v>111</v>
      </c>
      <c r="C17" s="65"/>
      <c r="D17" s="104">
        <f>AVERAGE(U23:U24)</f>
        <v>355.28499999999997</v>
      </c>
      <c r="E17" s="66">
        <f>D17-$E$5</f>
        <v>340.59</v>
      </c>
      <c r="F17" s="116">
        <v>220</v>
      </c>
      <c r="G17" s="66">
        <f t="shared" si="0"/>
        <v>2432.6640749999997</v>
      </c>
      <c r="H17" s="78">
        <f t="shared" si="1"/>
        <v>2191.5892567567562</v>
      </c>
      <c r="I17" s="33">
        <f>$C$15*A17+$C$16</f>
        <v>2405.7246057142856</v>
      </c>
      <c r="J17" s="113">
        <f>((($N$2-(130*$D$2*(((B17+B16)*0.01)/2))*((I17-I16)/(A17-A16))))/((I17+I16)/2))/$D$2</f>
        <v>1.9057459831060468</v>
      </c>
      <c r="K17" s="67">
        <f>$N$2/H17/$D$2</f>
        <v>2.1098739183327333</v>
      </c>
      <c r="L17" s="67">
        <f>J17/($D$4/$D$2)</f>
        <v>2.6013821155573589</v>
      </c>
      <c r="M17" s="107">
        <f>(((S17/60)*$J$1)/$D$2)</f>
        <v>1.0094517958412099</v>
      </c>
      <c r="N17" s="19">
        <f>K17-M17</f>
        <v>1.1004221224915234</v>
      </c>
      <c r="O17" s="67">
        <f>N17/($D$4/$D$2)</f>
        <v>1.5020986292976619</v>
      </c>
      <c r="P17" s="67"/>
      <c r="Q17" s="30"/>
      <c r="R17" s="108">
        <v>115</v>
      </c>
      <c r="S17" s="117">
        <v>36</v>
      </c>
      <c r="T17" s="40">
        <v>90</v>
      </c>
      <c r="U17" s="14">
        <v>335.14</v>
      </c>
      <c r="V17" s="15"/>
      <c r="W17" s="110"/>
      <c r="X17" s="69">
        <v>0.124</v>
      </c>
      <c r="Y17" s="30">
        <v>120</v>
      </c>
      <c r="Z17" s="71">
        <v>63.606000000000002</v>
      </c>
      <c r="AA17" s="40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19"/>
      <c r="AY17" s="74"/>
      <c r="AZ17" s="74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40"/>
    </row>
    <row r="18" spans="1:67" ht="14.1" customHeight="1">
      <c r="A18" s="12">
        <v>120</v>
      </c>
      <c r="B18" s="118">
        <v>106</v>
      </c>
      <c r="C18" s="65"/>
      <c r="D18" s="104">
        <f>AVERAGE(U25:U26)</f>
        <v>344.97500000000002</v>
      </c>
      <c r="E18" s="66">
        <f>D18-$E$5</f>
        <v>330.28000000000003</v>
      </c>
      <c r="F18" s="116">
        <v>225</v>
      </c>
      <c r="G18" s="66">
        <f t="shared" si="0"/>
        <v>2359.0249000000003</v>
      </c>
      <c r="H18" s="78">
        <f t="shared" si="1"/>
        <v>2225.4951886792455</v>
      </c>
      <c r="I18" s="33">
        <f>$C$15*A18+$C$16</f>
        <v>2407.1724925000003</v>
      </c>
      <c r="J18" s="113">
        <f>((($N$2-(130*$D$2*(((B18+B17)*0.01)/2))*((I18-I17)/(A18-A17))))/((I18+I17)/2))/$D$2</f>
        <v>1.9045211367617874</v>
      </c>
      <c r="K18" s="67">
        <f>$N$2/H18/$D$2</f>
        <v>2.0777295031014966</v>
      </c>
      <c r="L18" s="67">
        <f>J18/($D$4/$D$2)</f>
        <v>2.5997101753289611</v>
      </c>
      <c r="M18" s="107">
        <f>(((S18/60)*$J$1)/$D$2)</f>
        <v>1.0094517958412099</v>
      </c>
      <c r="N18" s="19">
        <f>K18-M18</f>
        <v>1.0682777072602867</v>
      </c>
      <c r="O18" s="67">
        <f>N18/($D$4/$D$2)</f>
        <v>1.45822084724336</v>
      </c>
      <c r="P18" s="67"/>
      <c r="Q18" s="30"/>
      <c r="R18" s="108">
        <v>120</v>
      </c>
      <c r="S18" s="117">
        <v>36</v>
      </c>
      <c r="T18" s="30"/>
      <c r="U18" s="14">
        <v>335.25</v>
      </c>
      <c r="V18" s="15"/>
      <c r="W18" s="110"/>
      <c r="X18" s="96">
        <f>AVERAGE(X13:X17)</f>
        <v>0.12859999999999999</v>
      </c>
      <c r="Y18" s="30" t="s">
        <v>107</v>
      </c>
      <c r="Z18" s="96">
        <f>AVERAGE(Z13:Z17)</f>
        <v>65.086199999999991</v>
      </c>
      <c r="AA18" s="30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5"/>
      <c r="AY18" s="95"/>
      <c r="AZ18" s="95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2"/>
      <c r="BO18" s="40"/>
    </row>
    <row r="19" spans="1:67" ht="14.1" customHeight="1" thickBot="1">
      <c r="A19" s="63"/>
      <c r="B19" s="98"/>
      <c r="C19" s="65"/>
      <c r="D19" s="99"/>
      <c r="E19" s="66"/>
      <c r="F19" s="63"/>
      <c r="G19" s="66"/>
      <c r="H19" s="66"/>
      <c r="I19" s="33"/>
      <c r="J19" s="113"/>
      <c r="K19" s="67"/>
      <c r="L19" s="67"/>
      <c r="M19" s="107"/>
      <c r="O19" s="67"/>
      <c r="P19" s="67"/>
      <c r="Q19" s="30"/>
      <c r="R19" s="108"/>
      <c r="S19" s="117"/>
      <c r="T19" s="41">
        <v>100</v>
      </c>
      <c r="U19" s="14">
        <v>354.34</v>
      </c>
      <c r="V19" s="15"/>
      <c r="W19" s="110"/>
      <c r="Y19" s="30"/>
      <c r="Z19" s="96"/>
      <c r="AA19" s="30"/>
      <c r="AB19" s="96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30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40"/>
    </row>
    <row r="20" spans="1:67" ht="14.1" customHeight="1" thickBot="1">
      <c r="A20" s="119" t="s">
        <v>112</v>
      </c>
      <c r="B20" s="120">
        <f>AVERAGE(B14:B19)</f>
        <v>102.6</v>
      </c>
      <c r="C20" s="121"/>
      <c r="D20" s="122">
        <f>AVERAGE(D14:D18)</f>
        <v>348.12799999999999</v>
      </c>
      <c r="E20" s="122">
        <f>AVERAGE(E14:E18)</f>
        <v>333.43299999999999</v>
      </c>
      <c r="F20" s="122"/>
      <c r="G20" s="122">
        <f>AVERAGE(G14:G18)</f>
        <v>2381.5452025</v>
      </c>
      <c r="H20" s="122">
        <f>AVERAGE(H14:H18)</f>
        <v>2327.1832667970998</v>
      </c>
      <c r="I20" s="122"/>
      <c r="J20" s="122">
        <f t="shared" ref="J20:O20" si="2">AVERAGE(J14:J18)</f>
        <v>1.9076799528771762</v>
      </c>
      <c r="K20" s="123">
        <f t="shared" si="2"/>
        <v>2.0042991266821257</v>
      </c>
      <c r="L20" s="122">
        <f t="shared" si="2"/>
        <v>2.6040220237189091</v>
      </c>
      <c r="M20" s="122">
        <f t="shared" si="2"/>
        <v>1.3010712035286707</v>
      </c>
      <c r="N20" s="123">
        <f t="shared" si="2"/>
        <v>0.50414159675143866</v>
      </c>
      <c r="O20" s="122">
        <f t="shared" si="2"/>
        <v>0.688163556488391</v>
      </c>
      <c r="P20" s="124"/>
      <c r="Q20" s="30"/>
      <c r="R20" s="108"/>
      <c r="S20" s="117"/>
      <c r="T20" s="41"/>
      <c r="U20" s="14">
        <v>337.76</v>
      </c>
      <c r="V20" s="15"/>
      <c r="W20" s="110"/>
      <c r="X20" s="69">
        <v>5.6000000000000001E-2</v>
      </c>
      <c r="Y20" s="70">
        <v>210</v>
      </c>
      <c r="Z20" s="71">
        <v>214.42</v>
      </c>
      <c r="AA20" s="40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4"/>
      <c r="AY20" s="74"/>
      <c r="AZ20" s="74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40"/>
    </row>
    <row r="21" spans="1:67" ht="14.1" customHeight="1" thickBot="1">
      <c r="A21" s="70"/>
      <c r="B21" s="118"/>
      <c r="C21" s="36"/>
      <c r="D21" s="99"/>
      <c r="E21" s="33"/>
      <c r="F21" s="125" t="s">
        <v>113</v>
      </c>
      <c r="G21" s="33"/>
      <c r="H21" s="33"/>
      <c r="I21" s="126" t="s">
        <v>114</v>
      </c>
      <c r="J21" s="127">
        <f>J20-((B18-B15)*0.25*$D$2*10)/(30*$D$2)</f>
        <v>0.99101328621050955</v>
      </c>
      <c r="K21" s="74"/>
      <c r="L21" s="128" t="s">
        <v>33</v>
      </c>
      <c r="M21" s="129">
        <f>J21-M20</f>
        <v>-0.31005791731816112</v>
      </c>
      <c r="N21" s="19"/>
      <c r="O21" s="74"/>
      <c r="P21" s="130">
        <f>$M$20-(((B18-B14)*1.3)/(A18-A14))</f>
        <v>0.86773787019533732</v>
      </c>
      <c r="Q21" s="30"/>
      <c r="R21" s="131"/>
      <c r="S21" s="117"/>
      <c r="T21" s="41">
        <v>110</v>
      </c>
      <c r="U21" s="14">
        <v>352.8</v>
      </c>
      <c r="V21" s="15"/>
      <c r="W21" s="110"/>
      <c r="X21" s="69">
        <v>5.6000000000000001E-2</v>
      </c>
      <c r="Y21" s="70">
        <v>220</v>
      </c>
      <c r="Z21" s="71">
        <v>204.23</v>
      </c>
      <c r="AA21" s="40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4"/>
      <c r="AY21" s="74"/>
      <c r="AZ21" s="74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40"/>
    </row>
    <row r="22" spans="1:67" ht="14.1" customHeight="1" thickBot="1">
      <c r="A22" s="63"/>
      <c r="B22" s="98"/>
      <c r="C22" s="65"/>
      <c r="D22" s="99"/>
      <c r="E22" s="66"/>
      <c r="F22" s="63"/>
      <c r="G22" s="66"/>
      <c r="H22" s="66"/>
      <c r="I22" s="33"/>
      <c r="J22" s="132"/>
      <c r="K22" s="67"/>
      <c r="L22" s="133"/>
      <c r="M22" s="134"/>
      <c r="N22" s="101"/>
      <c r="O22" s="133"/>
      <c r="P22" s="133"/>
      <c r="Q22" s="30"/>
      <c r="R22" s="102" t="s">
        <v>25</v>
      </c>
      <c r="S22" s="103" t="s">
        <v>109</v>
      </c>
      <c r="T22" s="30"/>
      <c r="U22" s="14">
        <v>365.47</v>
      </c>
      <c r="V22" s="15"/>
      <c r="W22" s="110"/>
      <c r="X22" s="69">
        <v>5.3999999999999999E-2</v>
      </c>
      <c r="Y22" s="70">
        <v>230</v>
      </c>
      <c r="Z22" s="71">
        <v>196.84</v>
      </c>
      <c r="AA22" s="40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4"/>
      <c r="AY22" s="74"/>
      <c r="AZ22" s="74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40"/>
    </row>
    <row r="23" spans="1:67" ht="14.1" customHeight="1">
      <c r="A23" s="63">
        <v>210</v>
      </c>
      <c r="B23" s="75">
        <v>108</v>
      </c>
      <c r="C23" s="65"/>
      <c r="D23" s="104">
        <f>AVERAGE(U31:U32)</f>
        <v>247.48000000000002</v>
      </c>
      <c r="E23" s="78">
        <f>D23-$E$5</f>
        <v>232.78500000000003</v>
      </c>
      <c r="F23" s="78"/>
      <c r="G23" s="78">
        <f t="shared" si="0"/>
        <v>1662.6668625000002</v>
      </c>
      <c r="H23" s="78">
        <f t="shared" si="1"/>
        <v>1539.5063541666668</v>
      </c>
      <c r="I23" s="33">
        <f>$C$24*A23+$C$25</f>
        <v>1654.3387075000003</v>
      </c>
      <c r="J23" s="105" t="s">
        <v>110</v>
      </c>
      <c r="K23" s="106" t="s">
        <v>111</v>
      </c>
      <c r="L23" s="67"/>
      <c r="M23" s="19">
        <f>(((S23/60)*$J$1)/$D$2)</f>
        <v>3.0003150598613737</v>
      </c>
      <c r="N23" s="101"/>
      <c r="O23" s="133"/>
      <c r="P23" s="133"/>
      <c r="Q23" s="30"/>
      <c r="R23" s="131">
        <v>210</v>
      </c>
      <c r="S23" s="117">
        <v>107</v>
      </c>
      <c r="T23" s="13">
        <v>115</v>
      </c>
      <c r="U23" s="14">
        <v>357.78</v>
      </c>
      <c r="V23" s="15"/>
      <c r="W23" s="110"/>
      <c r="X23" s="69">
        <v>5.8000000000000003E-2</v>
      </c>
      <c r="Y23" s="70">
        <v>235</v>
      </c>
      <c r="Z23" s="71">
        <v>196.6</v>
      </c>
      <c r="AA23" s="40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4"/>
      <c r="AY23" s="74"/>
      <c r="AZ23" s="74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40"/>
    </row>
    <row r="24" spans="1:67" ht="14.1" customHeight="1">
      <c r="A24" s="63">
        <v>220</v>
      </c>
      <c r="B24" s="75">
        <v>102</v>
      </c>
      <c r="C24" s="65">
        <f>SLOPE(G24:G27,A24:A27)</f>
        <v>-7.2324954999999953</v>
      </c>
      <c r="D24" s="104">
        <f>AVERAGE(U33:U34)</f>
        <v>231.57</v>
      </c>
      <c r="E24" s="66">
        <f>D24-$E$5</f>
        <v>216.875</v>
      </c>
      <c r="F24" s="111">
        <v>180</v>
      </c>
      <c r="G24" s="112">
        <f t="shared" si="0"/>
        <v>1549.0296874999999</v>
      </c>
      <c r="H24" s="112">
        <f t="shared" si="1"/>
        <v>1518.6565563725489</v>
      </c>
      <c r="I24" s="33">
        <f>$C$24*A24+$C$25</f>
        <v>1582.0137525000002</v>
      </c>
      <c r="J24" s="113">
        <f>((($N$2-(130*$D$2*(((B24+B23)*0.01)/2))*((I24-I23)/(A24-A23))))/((I24+I23)/2))/$D$2</f>
        <v>3.4676152969317191</v>
      </c>
      <c r="K24" s="114">
        <f>$N$2/H24/$D$2</f>
        <v>3.0447812529609033</v>
      </c>
      <c r="L24" s="114">
        <f>J24/($D$4/$D$2)</f>
        <v>4.7333655676236761</v>
      </c>
      <c r="M24" s="107">
        <f>(((S24/60)*$J$1)/$D$2)</f>
        <v>1.9908632640201638</v>
      </c>
      <c r="N24" s="19">
        <f>K24-M24</f>
        <v>1.0539179889407395</v>
      </c>
      <c r="O24" s="74">
        <f>N24/($D$4/$D$2)</f>
        <v>1.4386195390144274</v>
      </c>
      <c r="P24" s="74"/>
      <c r="Q24" s="30"/>
      <c r="R24" s="131">
        <v>220</v>
      </c>
      <c r="S24" s="117">
        <v>71</v>
      </c>
      <c r="U24" s="14">
        <v>352.79</v>
      </c>
      <c r="V24" s="15"/>
      <c r="W24" s="110"/>
      <c r="X24" s="69">
        <v>5.8000000000000003E-2</v>
      </c>
      <c r="Y24" s="70">
        <v>240</v>
      </c>
      <c r="Z24" s="71">
        <v>190.79</v>
      </c>
      <c r="AA24" s="40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4"/>
      <c r="AY24" s="74"/>
      <c r="AZ24" s="74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40"/>
    </row>
    <row r="25" spans="1:67" ht="14.1" customHeight="1">
      <c r="A25" s="63">
        <v>230</v>
      </c>
      <c r="B25" s="75">
        <v>98</v>
      </c>
      <c r="C25" s="65">
        <f>INTERCEPT(G24:G27,A24:A27)</f>
        <v>3173.1627624999992</v>
      </c>
      <c r="D25" s="104">
        <f>AVERAGE(U35:U36)</f>
        <v>235.36500000000001</v>
      </c>
      <c r="E25" s="66">
        <f>D25-$E$5</f>
        <v>220.67000000000002</v>
      </c>
      <c r="F25" s="111">
        <v>180</v>
      </c>
      <c r="G25" s="112">
        <f t="shared" si="0"/>
        <v>1576.135475</v>
      </c>
      <c r="H25" s="112">
        <f t="shared" si="1"/>
        <v>1608.3015051020409</v>
      </c>
      <c r="I25" s="33">
        <f>$C$24*A25+$C$25</f>
        <v>1509.6887975000002</v>
      </c>
      <c r="J25" s="113">
        <f>((($N$2-(130*$D$2*(((B25+B24)*0.01)/2))*((I25-I24)/(A25-A24))))/((I25+I24)/2))/$D$2</f>
        <v>3.5994416264457909</v>
      </c>
      <c r="K25" s="114">
        <f>$N$2/H25/$D$2</f>
        <v>2.8750685103884956</v>
      </c>
      <c r="L25" s="114">
        <f>J25/($D$4/$D$2)</f>
        <v>4.9133111946891246</v>
      </c>
      <c r="M25" s="107">
        <f>(((S25/60)*$J$1)/$D$2)</f>
        <v>1.9908632640201638</v>
      </c>
      <c r="N25" s="19">
        <f>K25-M25</f>
        <v>0.88420524636833187</v>
      </c>
      <c r="O25" s="114">
        <f>N25/($D$4/$D$2)</f>
        <v>1.2069581858101037</v>
      </c>
      <c r="P25" s="74"/>
      <c r="Q25" s="30"/>
      <c r="R25" s="131">
        <v>230</v>
      </c>
      <c r="S25" s="117">
        <v>71</v>
      </c>
      <c r="T25" s="13">
        <v>120</v>
      </c>
      <c r="U25" s="14">
        <v>337.1</v>
      </c>
      <c r="V25" s="15"/>
      <c r="W25" s="110"/>
      <c r="X25" s="96">
        <f>AVERAGE(X20:X24)</f>
        <v>5.6400000000000006E-2</v>
      </c>
      <c r="Y25" s="57" t="s">
        <v>107</v>
      </c>
      <c r="Z25" s="96">
        <f>AVERAGE(Z20:Z24)</f>
        <v>200.57599999999999</v>
      </c>
      <c r="AA25" s="30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5"/>
      <c r="AY25" s="95"/>
      <c r="AZ25" s="95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40"/>
    </row>
    <row r="26" spans="1:67" ht="14.1" customHeight="1">
      <c r="A26" s="63">
        <v>235</v>
      </c>
      <c r="B26" s="75">
        <v>91</v>
      </c>
      <c r="C26" s="65"/>
      <c r="D26" s="104">
        <f>AVERAGE(U37:U38)</f>
        <v>220.86500000000001</v>
      </c>
      <c r="E26" s="66">
        <f>D26-$E$5</f>
        <v>206.17000000000002</v>
      </c>
      <c r="F26" s="111">
        <v>180</v>
      </c>
      <c r="G26" s="112">
        <f t="shared" si="0"/>
        <v>1472.5692250000002</v>
      </c>
      <c r="H26" s="112">
        <f t="shared" si="1"/>
        <v>1618.2079395604396</v>
      </c>
      <c r="I26" s="33">
        <f>$C$24*A26+$C$25</f>
        <v>1473.5263200000004</v>
      </c>
      <c r="J26" s="113">
        <f>((($N$2-(130*$D$2*(((B26+B25)*0.01)/2))*((I26-I25)/(A26-A25))))/((I26+I25)/2))/$D$2</f>
        <v>3.6956698512066271</v>
      </c>
      <c r="K26" s="114">
        <f>$N$2/H26/$D$2</f>
        <v>2.8574677576883785</v>
      </c>
      <c r="L26" s="114">
        <f>J26/($D$4/$D$2)</f>
        <v>5.0446646830993078</v>
      </c>
      <c r="M26" s="107">
        <f>(((S26/60)*$J$1)/$D$2)</f>
        <v>1.9908632640201638</v>
      </c>
      <c r="N26" s="19">
        <f>K26-M26</f>
        <v>0.86660449366821468</v>
      </c>
      <c r="O26" s="114">
        <f>N26/($D$4/$D$2)</f>
        <v>1.1829327995832317</v>
      </c>
      <c r="P26" s="74"/>
      <c r="Q26" s="30"/>
      <c r="R26" s="131">
        <v>235</v>
      </c>
      <c r="S26" s="117">
        <v>71</v>
      </c>
      <c r="U26" s="14">
        <v>352.85</v>
      </c>
      <c r="V26" s="15"/>
      <c r="W26" s="11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</row>
    <row r="27" spans="1:67" ht="14.1" customHeight="1">
      <c r="A27" s="63">
        <v>240</v>
      </c>
      <c r="B27" s="118">
        <v>87</v>
      </c>
      <c r="C27" s="65"/>
      <c r="D27" s="104">
        <f>AVERAGE(U39:U40)</f>
        <v>211.38499999999999</v>
      </c>
      <c r="E27" s="66">
        <f>D27-$E$5</f>
        <v>196.69</v>
      </c>
      <c r="F27" s="111">
        <v>180</v>
      </c>
      <c r="G27" s="112">
        <f t="shared" si="0"/>
        <v>1404.8583249999999</v>
      </c>
      <c r="H27" s="112">
        <f t="shared" si="1"/>
        <v>1614.7796839080459</v>
      </c>
      <c r="I27" s="33">
        <f>$C$24*A27+$C$25</f>
        <v>1437.3638425000004</v>
      </c>
      <c r="J27" s="113">
        <f>((($N$2-(130*$D$2*(((B27+B26)*0.01)/2))*((I27-I26)/(A27-A26))))/((I27+I26)/2))/$D$2</f>
        <v>3.7519634455663176</v>
      </c>
      <c r="K27" s="114">
        <f>$N$2/H27/$D$2</f>
        <v>2.8635343004430651</v>
      </c>
      <c r="L27" s="114">
        <f>J27/($D$4/$D$2)</f>
        <v>5.1215065869447853</v>
      </c>
      <c r="M27" s="107">
        <f>(((S27/60)*$J$1)/$D$2)</f>
        <v>3.0003150598613737</v>
      </c>
      <c r="N27" s="19">
        <f>K27-M27</f>
        <v>-0.13678075941830858</v>
      </c>
      <c r="O27" s="114">
        <f>N27/($D$4/$D$2)</f>
        <v>-0.18670852488074843</v>
      </c>
      <c r="P27" s="74"/>
      <c r="Q27" s="30"/>
      <c r="R27" s="131">
        <v>240</v>
      </c>
      <c r="S27" s="117">
        <v>107</v>
      </c>
      <c r="T27" s="13">
        <v>150</v>
      </c>
      <c r="U27" s="14">
        <v>292.49</v>
      </c>
      <c r="V27" s="15"/>
      <c r="W27" s="11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</row>
    <row r="28" spans="1:67" ht="14.1" customHeight="1" thickBot="1">
      <c r="A28" s="63"/>
      <c r="B28" s="118"/>
      <c r="C28" s="65"/>
      <c r="D28" s="99"/>
      <c r="E28" s="66"/>
      <c r="F28" s="135"/>
      <c r="G28" s="112"/>
      <c r="H28" s="112"/>
      <c r="I28" s="33"/>
      <c r="J28" s="113"/>
      <c r="K28" s="114"/>
      <c r="L28" s="114"/>
      <c r="M28" s="107"/>
      <c r="N28" s="107"/>
      <c r="O28" s="114"/>
      <c r="P28" s="74"/>
      <c r="Q28" s="30"/>
      <c r="R28" s="108"/>
      <c r="S28" s="117"/>
      <c r="U28" s="14">
        <v>310.08</v>
      </c>
      <c r="V28" s="15"/>
      <c r="W28" s="110"/>
      <c r="X28" s="69"/>
      <c r="Y28" s="13" t="s">
        <v>115</v>
      </c>
    </row>
    <row r="29" spans="1:67" ht="14.1" customHeight="1" thickBot="1">
      <c r="A29" s="119" t="s">
        <v>112</v>
      </c>
      <c r="B29" s="122">
        <f>AVERAGE(B23:B28)</f>
        <v>97.2</v>
      </c>
      <c r="C29" s="121"/>
      <c r="D29" s="122">
        <f>AVERAGE(D23:D28)</f>
        <v>229.333</v>
      </c>
      <c r="E29" s="122">
        <f>AVERAGE(E23:E28)</f>
        <v>214.63800000000001</v>
      </c>
      <c r="F29" s="122">
        <f>AVERAGE(F24:F28)</f>
        <v>180</v>
      </c>
      <c r="G29" s="122">
        <f>AVERAGE(G23:G28)</f>
        <v>1533.051915</v>
      </c>
      <c r="H29" s="122">
        <f>AVERAGE(H23:H28)</f>
        <v>1579.8904078219484</v>
      </c>
      <c r="I29" s="122"/>
      <c r="J29" s="122">
        <f t="shared" ref="J29:O29" si="3">AVERAGE(J23:J28)</f>
        <v>3.628672555037614</v>
      </c>
      <c r="K29" s="123">
        <f t="shared" si="3"/>
        <v>2.9102129553702105</v>
      </c>
      <c r="L29" s="122">
        <f t="shared" si="3"/>
        <v>4.9532120080892232</v>
      </c>
      <c r="M29" s="122">
        <f t="shared" si="3"/>
        <v>2.3946439823566474</v>
      </c>
      <c r="N29" s="123">
        <f t="shared" si="3"/>
        <v>0.66698674238974442</v>
      </c>
      <c r="O29" s="122">
        <f t="shared" si="3"/>
        <v>0.91045049988175364</v>
      </c>
      <c r="P29" s="122"/>
      <c r="Q29" s="136"/>
      <c r="R29" s="137"/>
      <c r="S29" s="138"/>
      <c r="T29" s="13">
        <v>180</v>
      </c>
      <c r="U29" s="14">
        <v>279.45999999999998</v>
      </c>
      <c r="V29" s="15"/>
      <c r="W29" s="110"/>
      <c r="X29" s="69"/>
      <c r="Y29" s="13" t="s">
        <v>116</v>
      </c>
    </row>
    <row r="30" spans="1:67" ht="14.1" customHeight="1">
      <c r="A30" s="70"/>
      <c r="B30" s="139"/>
      <c r="C30" s="36"/>
      <c r="D30" s="99"/>
      <c r="E30" s="33"/>
      <c r="F30" s="125" t="s">
        <v>117</v>
      </c>
      <c r="G30" s="33"/>
      <c r="H30" s="33"/>
      <c r="I30" s="140" t="s">
        <v>114</v>
      </c>
      <c r="J30" s="141">
        <f>J29-((B27-B24)*0.25*$D$2*10)/(20*$D$2)</f>
        <v>5.503672555037614</v>
      </c>
      <c r="K30" s="74"/>
      <c r="L30" s="142" t="s">
        <v>33</v>
      </c>
      <c r="M30" s="143">
        <f>J30-M29</f>
        <v>3.1090285726809666</v>
      </c>
      <c r="N30" s="19">
        <f>AVERAGE(J24:J25)-M29</f>
        <v>1.1388844793321078</v>
      </c>
      <c r="O30" s="74"/>
      <c r="P30" s="130">
        <f>$M$29-(((B27-B23)*1.3)/(A27-A23))</f>
        <v>3.3046439823566476</v>
      </c>
      <c r="Q30" s="30"/>
      <c r="R30" s="63"/>
      <c r="S30" s="144"/>
      <c r="U30" s="14">
        <v>256.48</v>
      </c>
      <c r="V30" s="15"/>
      <c r="W30" s="110"/>
      <c r="X30" s="69"/>
      <c r="Y30" s="13" t="s">
        <v>118</v>
      </c>
    </row>
    <row r="31" spans="1:67" ht="14.1" customHeight="1">
      <c r="A31" s="145"/>
      <c r="B31" s="139"/>
      <c r="C31" s="146"/>
      <c r="D31" s="147"/>
      <c r="E31" s="148"/>
      <c r="F31" s="145"/>
      <c r="G31" s="148"/>
      <c r="H31" s="148"/>
      <c r="I31" s="148"/>
      <c r="J31" s="149"/>
      <c r="K31" s="150"/>
      <c r="L31" s="133"/>
      <c r="M31" s="134"/>
      <c r="N31" s="101"/>
      <c r="O31" s="150"/>
      <c r="P31" s="150"/>
      <c r="Q31" s="96"/>
      <c r="R31" s="151"/>
      <c r="S31" s="101" t="s">
        <v>32</v>
      </c>
      <c r="T31" s="13">
        <v>210</v>
      </c>
      <c r="U31" s="14">
        <v>246.03</v>
      </c>
      <c r="V31" s="15"/>
      <c r="W31" s="110"/>
      <c r="X31" s="69"/>
      <c r="Y31" s="13" t="s">
        <v>119</v>
      </c>
    </row>
    <row r="32" spans="1:67" ht="14.1" customHeight="1">
      <c r="A32" s="145"/>
      <c r="B32" s="148"/>
      <c r="C32" s="146"/>
      <c r="D32" s="147"/>
      <c r="E32" s="148"/>
      <c r="F32" s="148"/>
      <c r="G32" s="148"/>
      <c r="H32" s="148"/>
      <c r="I32" s="148"/>
      <c r="J32" s="152"/>
      <c r="K32" s="153"/>
      <c r="L32" s="58"/>
      <c r="M32" s="124"/>
      <c r="N32" s="101"/>
      <c r="O32" s="150"/>
      <c r="P32" s="150"/>
      <c r="Q32" s="96"/>
      <c r="R32" s="145"/>
      <c r="S32" s="58"/>
      <c r="U32" s="14">
        <v>248.93</v>
      </c>
      <c r="V32" s="15"/>
      <c r="W32" s="110"/>
      <c r="X32" s="69"/>
      <c r="Y32" s="13" t="s">
        <v>120</v>
      </c>
    </row>
    <row r="33" spans="1:99" ht="14.1" customHeight="1">
      <c r="A33" s="145"/>
      <c r="B33" s="148"/>
      <c r="C33" s="146"/>
      <c r="D33" s="147"/>
      <c r="E33" s="148"/>
      <c r="F33" s="145"/>
      <c r="G33" s="148"/>
      <c r="H33" s="148"/>
      <c r="I33" s="148"/>
      <c r="J33" s="149"/>
      <c r="K33" s="150"/>
      <c r="L33" s="150"/>
      <c r="M33" s="124"/>
      <c r="N33" s="124"/>
      <c r="O33" s="150"/>
      <c r="P33" s="150"/>
      <c r="Q33" s="96"/>
      <c r="R33" s="145"/>
      <c r="S33" s="58"/>
      <c r="T33" s="13">
        <v>220</v>
      </c>
      <c r="U33" s="14">
        <v>233.22</v>
      </c>
      <c r="V33" s="15"/>
      <c r="W33" s="110"/>
      <c r="X33" s="69"/>
      <c r="Y33" s="20" t="s">
        <v>121</v>
      </c>
    </row>
    <row r="34" spans="1:99" ht="14.1" customHeight="1">
      <c r="A34" s="145"/>
      <c r="B34" s="148"/>
      <c r="C34" s="146"/>
      <c r="D34" s="147"/>
      <c r="E34" s="148"/>
      <c r="F34" s="145"/>
      <c r="G34" s="148"/>
      <c r="H34" s="148"/>
      <c r="I34" s="148"/>
      <c r="J34" s="149"/>
      <c r="K34" s="150"/>
      <c r="L34" s="150"/>
      <c r="M34" s="124"/>
      <c r="N34" s="124"/>
      <c r="O34" s="150"/>
      <c r="P34" s="150"/>
      <c r="Q34" s="96"/>
      <c r="R34" s="145"/>
      <c r="S34" s="58"/>
      <c r="U34" s="14">
        <v>229.92</v>
      </c>
      <c r="V34" s="15"/>
      <c r="W34" s="110"/>
    </row>
    <row r="35" spans="1:99" ht="14.1" customHeight="1">
      <c r="A35" s="145"/>
      <c r="B35" s="148"/>
      <c r="C35" s="146"/>
      <c r="D35" s="147"/>
      <c r="E35" s="148"/>
      <c r="F35" s="145"/>
      <c r="G35" s="148"/>
      <c r="H35" s="148"/>
      <c r="I35" s="148"/>
      <c r="J35" s="149"/>
      <c r="K35" s="150"/>
      <c r="L35" s="150"/>
      <c r="M35" s="124"/>
      <c r="N35" s="124"/>
      <c r="O35" s="150"/>
      <c r="P35" s="150"/>
      <c r="Q35" s="96"/>
      <c r="R35" s="145"/>
      <c r="S35" s="58"/>
      <c r="T35" s="13">
        <v>230</v>
      </c>
      <c r="U35" s="14">
        <v>224.75</v>
      </c>
      <c r="V35" s="15"/>
      <c r="W35" s="110"/>
    </row>
    <row r="36" spans="1:99" ht="14.1" customHeight="1">
      <c r="A36" s="145"/>
      <c r="B36" s="139"/>
      <c r="C36" s="146"/>
      <c r="D36" s="147"/>
      <c r="E36" s="148"/>
      <c r="F36" s="145"/>
      <c r="G36" s="148"/>
      <c r="H36" s="148"/>
      <c r="I36" s="148"/>
      <c r="J36" s="149"/>
      <c r="K36" s="150"/>
      <c r="L36" s="150"/>
      <c r="M36" s="124"/>
      <c r="N36" s="124"/>
      <c r="O36" s="150"/>
      <c r="P36" s="150"/>
      <c r="Q36" s="96"/>
      <c r="R36" s="145"/>
      <c r="S36" s="58"/>
      <c r="U36" s="14">
        <v>245.98</v>
      </c>
      <c r="V36" s="15"/>
      <c r="W36" s="110"/>
      <c r="X36"/>
    </row>
    <row r="37" spans="1:99" ht="14.1" customHeight="1">
      <c r="A37" s="145"/>
      <c r="B37" s="139"/>
      <c r="C37" s="146"/>
      <c r="D37" s="147"/>
      <c r="E37" s="148"/>
      <c r="F37" s="145"/>
      <c r="G37" s="148"/>
      <c r="H37" s="148"/>
      <c r="I37" s="148"/>
      <c r="J37" s="149"/>
      <c r="K37" s="150"/>
      <c r="L37" s="150"/>
      <c r="M37" s="124"/>
      <c r="N37" s="124"/>
      <c r="O37" s="150"/>
      <c r="P37" s="150"/>
      <c r="Q37" s="96"/>
      <c r="R37" s="96"/>
      <c r="S37" s="58"/>
      <c r="T37" s="13">
        <v>235</v>
      </c>
      <c r="U37" s="14">
        <v>223.4</v>
      </c>
      <c r="V37" s="15"/>
      <c r="W37" s="15"/>
      <c r="X37" s="6"/>
    </row>
    <row r="38" spans="1:99" s="156" customFormat="1" ht="14.1" customHeight="1">
      <c r="A38" s="154"/>
      <c r="B38" s="139"/>
      <c r="C38" s="155"/>
      <c r="D38" s="139"/>
      <c r="E38" s="139"/>
      <c r="F38" s="139"/>
      <c r="G38" s="139"/>
      <c r="H38" s="139"/>
      <c r="I38" s="139"/>
      <c r="J38" s="124"/>
      <c r="K38" s="124"/>
      <c r="L38" s="124"/>
      <c r="M38" s="124"/>
      <c r="N38" s="124"/>
      <c r="O38" s="124"/>
      <c r="P38" s="124"/>
      <c r="Q38" s="155"/>
      <c r="R38" s="145"/>
      <c r="S38" s="58"/>
      <c r="T38" s="13"/>
      <c r="U38" s="14">
        <v>218.33</v>
      </c>
      <c r="V38" s="15"/>
      <c r="W38" s="15"/>
      <c r="X38" s="6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</row>
    <row r="39" spans="1:99" s="3" customFormat="1" ht="14.1" customHeight="1">
      <c r="A39" s="157"/>
      <c r="B39" s="158"/>
      <c r="C39" s="159"/>
      <c r="D39" s="160"/>
      <c r="E39" s="160"/>
      <c r="F39" s="161"/>
      <c r="G39" s="160"/>
      <c r="H39" s="148"/>
      <c r="I39" s="162"/>
      <c r="J39" s="163"/>
      <c r="K39" s="150"/>
      <c r="L39" s="155"/>
      <c r="M39" s="134"/>
      <c r="N39" s="155"/>
      <c r="O39" s="155"/>
      <c r="P39" s="155"/>
      <c r="Q39" s="58"/>
      <c r="R39" s="58"/>
      <c r="S39" s="58"/>
      <c r="T39" s="13">
        <v>240</v>
      </c>
      <c r="U39" s="14">
        <v>207.19</v>
      </c>
      <c r="V39" s="15"/>
      <c r="W39" s="15"/>
      <c r="X39" s="6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</row>
    <row r="40" spans="1:99" ht="14.1" customHeight="1">
      <c r="A40" s="164"/>
      <c r="B40" s="165"/>
      <c r="C40" s="164"/>
      <c r="D40" s="148"/>
      <c r="E40" s="164"/>
      <c r="F40" s="164"/>
      <c r="G40" s="96"/>
      <c r="H40" s="101"/>
      <c r="I40" s="58"/>
      <c r="J40" s="155"/>
      <c r="K40" s="166"/>
      <c r="L40" s="167"/>
      <c r="M40" s="168"/>
      <c r="N40" s="134"/>
      <c r="O40" s="169"/>
      <c r="P40" s="169"/>
      <c r="Q40" s="58"/>
      <c r="R40" s="58"/>
      <c r="S40" s="58"/>
      <c r="U40" s="14">
        <v>215.58</v>
      </c>
      <c r="V40" s="15"/>
      <c r="W40" s="15"/>
    </row>
    <row r="41" spans="1:99" ht="14.1" customHeight="1">
      <c r="A41" s="164"/>
      <c r="B41" s="170"/>
      <c r="C41" s="164"/>
      <c r="D41" s="171"/>
      <c r="E41" s="164"/>
      <c r="F41" s="164"/>
      <c r="G41" s="124"/>
      <c r="H41" s="58"/>
      <c r="I41" s="58"/>
      <c r="J41" s="170"/>
      <c r="K41" s="170"/>
      <c r="L41" s="96"/>
      <c r="M41" s="172"/>
      <c r="N41" s="160"/>
      <c r="O41" s="58"/>
      <c r="P41" s="58"/>
      <c r="Q41" s="58"/>
      <c r="R41" s="58"/>
      <c r="S41" s="58"/>
      <c r="U41" s="173"/>
      <c r="V41" s="174"/>
      <c r="W41" s="175"/>
    </row>
    <row r="42" spans="1:99" ht="14.1" customHeight="1">
      <c r="A42" s="3"/>
      <c r="B42" s="3"/>
      <c r="C42" s="3"/>
      <c r="D42" s="33"/>
      <c r="E42" s="3"/>
      <c r="F42" s="3"/>
      <c r="G42" s="19"/>
      <c r="H42" s="40"/>
      <c r="I42" s="40"/>
      <c r="J42" s="30"/>
      <c r="K42" s="30"/>
      <c r="L42" s="30"/>
      <c r="M42" s="30"/>
      <c r="N42" s="33"/>
      <c r="O42" s="33"/>
      <c r="P42" s="33"/>
      <c r="Q42" s="40"/>
      <c r="R42" s="40"/>
      <c r="U42" s="173"/>
      <c r="V42" s="174"/>
      <c r="W42" s="175"/>
    </row>
    <row r="43" spans="1:99" ht="14.1" customHeight="1">
      <c r="A43" s="30"/>
      <c r="B43" s="176"/>
      <c r="C43" s="3"/>
      <c r="D43" s="33"/>
      <c r="E43" s="177"/>
      <c r="F43" s="177"/>
      <c r="G43" s="33"/>
      <c r="H43" s="174"/>
      <c r="I43" s="40"/>
      <c r="J43" s="30"/>
      <c r="K43" s="30"/>
      <c r="L43" s="30"/>
      <c r="M43" s="33"/>
      <c r="N43" s="178"/>
      <c r="O43" s="33"/>
      <c r="P43" s="33"/>
      <c r="Q43" s="40"/>
      <c r="R43" s="40"/>
      <c r="U43" s="173"/>
      <c r="V43" s="174"/>
      <c r="W43" s="175"/>
    </row>
    <row r="44" spans="1:99" ht="14.1" customHeight="1">
      <c r="A44" s="3"/>
      <c r="B44" s="30"/>
      <c r="C44" s="3"/>
      <c r="D44" s="41"/>
      <c r="E44" s="42"/>
      <c r="F44" s="42"/>
      <c r="G44" s="19"/>
      <c r="H44" s="19"/>
      <c r="I44" s="30"/>
      <c r="J44" s="179"/>
      <c r="K44" s="179"/>
      <c r="L44" s="180"/>
      <c r="M44" s="39"/>
      <c r="N44" s="179"/>
      <c r="O44" s="180"/>
      <c r="P44" s="180"/>
      <c r="Q44" s="46"/>
      <c r="R44" s="46"/>
      <c r="U44" s="173"/>
      <c r="V44" s="174"/>
      <c r="W44" s="175"/>
    </row>
    <row r="45" spans="1:99" s="1" customFormat="1" ht="14.1" customHeight="1">
      <c r="A45" s="3"/>
      <c r="B45" s="181"/>
      <c r="C45" s="181"/>
      <c r="D45" s="25"/>
      <c r="E45" s="181"/>
      <c r="F45" s="181"/>
      <c r="G45" s="181"/>
      <c r="H45" s="95"/>
      <c r="I45" s="95"/>
      <c r="J45" s="182"/>
      <c r="K45" s="182"/>
      <c r="L45" s="182"/>
      <c r="M45" s="182"/>
      <c r="N45" s="182"/>
      <c r="O45" s="54"/>
      <c r="P45" s="54"/>
      <c r="Q45" s="55"/>
      <c r="R45" s="55"/>
      <c r="S45" s="13"/>
      <c r="T45" s="13"/>
      <c r="U45" s="173"/>
      <c r="V45" s="40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</row>
    <row r="46" spans="1:99" ht="14.1" customHeight="1">
      <c r="A46" s="70"/>
      <c r="B46" s="33"/>
      <c r="C46" s="36"/>
      <c r="D46" s="33"/>
      <c r="E46" s="33"/>
      <c r="F46" s="33"/>
      <c r="G46" s="33"/>
      <c r="H46" s="33"/>
      <c r="I46" s="33"/>
      <c r="J46" s="74"/>
      <c r="K46" s="74"/>
      <c r="L46" s="74"/>
      <c r="M46" s="30"/>
      <c r="N46" s="19"/>
      <c r="O46" s="74"/>
      <c r="P46" s="74"/>
      <c r="Q46" s="30"/>
      <c r="R46" s="30"/>
      <c r="U46" s="173"/>
    </row>
    <row r="47" spans="1:99" ht="14.1" customHeight="1">
      <c r="A47" s="70"/>
      <c r="B47" s="33"/>
      <c r="C47" s="36"/>
      <c r="D47" s="33"/>
      <c r="E47" s="33"/>
      <c r="F47" s="33"/>
      <c r="G47" s="33"/>
      <c r="H47" s="33"/>
      <c r="I47" s="33"/>
      <c r="J47" s="74"/>
      <c r="K47" s="74"/>
      <c r="L47" s="74"/>
      <c r="M47" s="30"/>
      <c r="N47" s="19"/>
      <c r="O47" s="74"/>
      <c r="P47" s="74"/>
      <c r="Q47" s="30"/>
      <c r="R47" s="30"/>
      <c r="T47" s="40"/>
      <c r="U47" s="173"/>
    </row>
    <row r="48" spans="1:99" s="80" customFormat="1" ht="14.1" customHeight="1">
      <c r="A48" s="183"/>
      <c r="B48" s="25"/>
      <c r="C48" s="184"/>
      <c r="D48" s="25"/>
      <c r="E48" s="25"/>
      <c r="F48" s="25"/>
      <c r="G48" s="25"/>
      <c r="H48" s="25"/>
      <c r="I48" s="25"/>
      <c r="J48" s="95"/>
      <c r="K48" s="95"/>
      <c r="L48" s="95"/>
      <c r="M48" s="95"/>
      <c r="N48" s="95"/>
      <c r="O48" s="95"/>
      <c r="P48" s="95"/>
      <c r="Q48" s="95"/>
      <c r="R48" s="95"/>
      <c r="S48" s="13"/>
      <c r="T48" s="40"/>
      <c r="U48" s="17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</row>
    <row r="49" spans="1:99" ht="14.1" customHeight="1">
      <c r="A49" s="30"/>
      <c r="B49" s="176"/>
      <c r="C49" s="185"/>
      <c r="D49" s="33"/>
      <c r="E49" s="40"/>
      <c r="F49" s="40"/>
      <c r="G49" s="40"/>
      <c r="H49" s="40"/>
      <c r="I49" s="40"/>
      <c r="J49" s="40"/>
      <c r="K49" s="40"/>
      <c r="L49" s="40"/>
      <c r="M49" s="30"/>
      <c r="N49" s="40"/>
      <c r="O49" s="40"/>
      <c r="P49" s="40"/>
      <c r="Q49" s="30"/>
      <c r="R49" s="30"/>
      <c r="T49" s="40"/>
      <c r="U49" s="173"/>
    </row>
    <row r="50" spans="1:99" ht="14.1" customHeight="1">
      <c r="A50" s="30"/>
      <c r="B50" s="176"/>
      <c r="C50" s="185"/>
      <c r="D50" s="33"/>
      <c r="E50" s="40"/>
      <c r="F50" s="40"/>
      <c r="G50" s="40"/>
      <c r="H50" s="40"/>
      <c r="I50" s="40"/>
      <c r="J50" s="40"/>
      <c r="K50" s="40"/>
      <c r="L50" s="40"/>
      <c r="M50" s="30"/>
      <c r="N50" s="40"/>
      <c r="O50" s="40"/>
      <c r="P50" s="40"/>
      <c r="Q50" s="30"/>
      <c r="R50" s="30"/>
      <c r="T50" s="40"/>
      <c r="U50" s="173"/>
    </row>
    <row r="51" spans="1:99" ht="14.1" customHeight="1">
      <c r="A51" s="30"/>
      <c r="B51" s="176"/>
      <c r="C51" s="185"/>
      <c r="D51" s="33"/>
      <c r="E51" s="40"/>
      <c r="F51" s="40"/>
      <c r="G51" s="40"/>
      <c r="H51" s="40"/>
      <c r="I51" s="40"/>
      <c r="J51" s="40"/>
      <c r="K51" s="40"/>
      <c r="L51" s="40"/>
      <c r="M51" s="19"/>
      <c r="N51" s="40"/>
      <c r="O51" s="40"/>
      <c r="P51" s="40"/>
      <c r="Q51" s="30"/>
      <c r="R51" s="30"/>
      <c r="T51" s="40"/>
      <c r="U51" s="173"/>
    </row>
    <row r="52" spans="1:99" ht="14.1" customHeight="1">
      <c r="A52" s="30"/>
      <c r="B52" s="176"/>
      <c r="C52" s="185"/>
      <c r="D52" s="33"/>
      <c r="E52" s="40"/>
      <c r="F52" s="40"/>
      <c r="G52" s="40"/>
      <c r="H52" s="40"/>
      <c r="I52" s="40"/>
      <c r="J52" s="40"/>
      <c r="K52" s="40"/>
      <c r="L52" s="40"/>
      <c r="M52" s="19"/>
      <c r="N52" s="40"/>
      <c r="O52" s="40"/>
      <c r="P52" s="40"/>
      <c r="Q52" s="30"/>
      <c r="R52" s="30"/>
      <c r="U52" s="173"/>
    </row>
    <row r="53" spans="1:99" ht="14.1" customHeight="1">
      <c r="A53" s="30"/>
      <c r="B53" s="176"/>
      <c r="C53" s="186"/>
      <c r="D53" s="33"/>
      <c r="E53" s="33"/>
      <c r="F53" s="33"/>
      <c r="G53" s="33"/>
      <c r="H53" s="33"/>
      <c r="I53" s="33"/>
      <c r="J53" s="187"/>
      <c r="K53" s="188"/>
      <c r="L53" s="40"/>
      <c r="M53" s="19"/>
      <c r="N53" s="40"/>
      <c r="O53" s="40"/>
      <c r="P53" s="40"/>
      <c r="Q53" s="30"/>
      <c r="R53" s="30"/>
      <c r="U53" s="173"/>
    </row>
    <row r="54" spans="1:99" ht="14.1" customHeight="1">
      <c r="A54" s="70"/>
      <c r="B54" s="189"/>
      <c r="C54" s="36"/>
      <c r="D54" s="33"/>
      <c r="E54" s="33"/>
      <c r="F54" s="33"/>
      <c r="G54" s="33"/>
      <c r="H54" s="33"/>
      <c r="I54" s="33"/>
      <c r="J54" s="132"/>
      <c r="K54" s="74"/>
      <c r="L54" s="74"/>
      <c r="M54" s="19"/>
      <c r="N54" s="19"/>
      <c r="O54" s="74"/>
      <c r="P54" s="74"/>
      <c r="Q54" s="30"/>
      <c r="R54" s="30"/>
      <c r="U54" s="173"/>
    </row>
    <row r="55" spans="1:99" ht="14.1" customHeight="1">
      <c r="A55" s="70"/>
      <c r="B55" s="189"/>
      <c r="C55" s="36"/>
      <c r="D55" s="33"/>
      <c r="E55" s="33"/>
      <c r="F55" s="33"/>
      <c r="G55" s="33"/>
      <c r="H55" s="33"/>
      <c r="I55" s="33"/>
      <c r="J55" s="132"/>
      <c r="K55" s="74"/>
      <c r="L55" s="74"/>
      <c r="M55" s="19"/>
      <c r="N55" s="19"/>
      <c r="O55" s="74"/>
      <c r="P55" s="74"/>
      <c r="Q55" s="30"/>
      <c r="R55" s="30"/>
      <c r="U55" s="173"/>
    </row>
    <row r="56" spans="1:99" s="30" customFormat="1" ht="14.1" customHeight="1">
      <c r="A56" s="70"/>
      <c r="B56" s="189"/>
      <c r="C56" s="36"/>
      <c r="D56" s="33"/>
      <c r="E56" s="33"/>
      <c r="F56" s="33"/>
      <c r="G56" s="33"/>
      <c r="H56" s="33"/>
      <c r="I56" s="33"/>
      <c r="J56" s="132"/>
      <c r="K56" s="74"/>
      <c r="L56" s="74"/>
      <c r="M56" s="19"/>
      <c r="N56" s="19"/>
      <c r="O56" s="74"/>
      <c r="P56" s="74"/>
      <c r="S56" s="13"/>
      <c r="T56" s="13"/>
      <c r="U56" s="17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</row>
    <row r="57" spans="1:99" ht="14.1" customHeight="1">
      <c r="A57" s="70"/>
      <c r="B57" s="189"/>
      <c r="C57" s="36"/>
      <c r="D57" s="33"/>
      <c r="E57" s="33"/>
      <c r="F57" s="33"/>
      <c r="G57" s="33"/>
      <c r="H57" s="33"/>
      <c r="I57" s="33"/>
      <c r="J57" s="132"/>
      <c r="K57" s="74"/>
      <c r="L57" s="74"/>
      <c r="M57" s="19"/>
      <c r="N57" s="19"/>
      <c r="O57" s="74"/>
      <c r="P57" s="74"/>
      <c r="Q57" s="30"/>
      <c r="R57" s="30"/>
      <c r="U57" s="173"/>
    </row>
    <row r="58" spans="1:99" ht="14.1" customHeight="1">
      <c r="A58" s="183"/>
      <c r="B58" s="25"/>
      <c r="C58" s="184"/>
      <c r="D58" s="25"/>
      <c r="E58" s="25"/>
      <c r="F58" s="25"/>
      <c r="G58" s="25"/>
      <c r="H58" s="25"/>
      <c r="I58" s="25"/>
      <c r="J58" s="95"/>
      <c r="K58" s="95"/>
      <c r="L58" s="95"/>
      <c r="M58" s="95"/>
      <c r="N58" s="95"/>
      <c r="O58" s="95"/>
      <c r="P58" s="95"/>
      <c r="Q58" s="95"/>
      <c r="R58" s="95"/>
      <c r="U58" s="173"/>
    </row>
    <row r="59" spans="1:99" s="115" customFormat="1" ht="14.1" customHeight="1">
      <c r="A59" s="40"/>
      <c r="B59" s="40"/>
      <c r="C59" s="40"/>
      <c r="D59" s="19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13"/>
      <c r="T59" s="13"/>
      <c r="U59" s="17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</row>
    <row r="60" spans="1:99" s="30" customFormat="1" ht="14.1" customHeight="1">
      <c r="A60" s="191"/>
      <c r="B60" s="40"/>
      <c r="C60" s="40"/>
      <c r="D60" s="19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13"/>
      <c r="T60" s="13"/>
      <c r="U60" s="17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</row>
    <row r="61" spans="1:99" ht="14.1" customHeight="1">
      <c r="A61" s="40"/>
      <c r="B61" s="40"/>
      <c r="C61" s="40"/>
      <c r="D61" s="19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U61" s="173"/>
    </row>
    <row r="62" spans="1:99" ht="14.1" customHeight="1">
      <c r="A62" s="40"/>
      <c r="B62" s="40"/>
      <c r="C62" s="40"/>
      <c r="D62" s="19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U62" s="173"/>
    </row>
    <row r="63" spans="1:99" ht="14.1" customHeight="1">
      <c r="A63" s="40"/>
      <c r="B63" s="40"/>
      <c r="C63" s="40"/>
      <c r="D63" s="19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U63" s="173"/>
    </row>
    <row r="64" spans="1:99" s="156" customFormat="1" ht="14.1" customHeight="1">
      <c r="A64" s="30"/>
      <c r="B64" s="189"/>
      <c r="C64" s="36"/>
      <c r="D64" s="33"/>
      <c r="E64" s="189"/>
      <c r="F64" s="189"/>
      <c r="G64" s="19"/>
      <c r="H64" s="30"/>
      <c r="I64" s="30"/>
      <c r="J64" s="30"/>
      <c r="K64" s="30"/>
      <c r="L64" s="30"/>
      <c r="M64" s="30"/>
      <c r="N64" s="19"/>
      <c r="O64" s="30"/>
      <c r="P64" s="30"/>
      <c r="Q64" s="40"/>
      <c r="R64" s="40"/>
      <c r="S64" s="13"/>
      <c r="T64" s="13"/>
      <c r="U64" s="17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</row>
    <row r="65" spans="1:21" s="13" customFormat="1" ht="14.1" customHeight="1">
      <c r="A65" s="30"/>
      <c r="B65" s="189"/>
      <c r="C65" s="36"/>
      <c r="D65" s="33"/>
      <c r="E65" s="189"/>
      <c r="F65" s="189"/>
      <c r="G65" s="19"/>
      <c r="H65" s="30"/>
      <c r="I65" s="30"/>
      <c r="J65" s="30"/>
      <c r="K65" s="30"/>
      <c r="L65" s="30"/>
      <c r="M65" s="30"/>
      <c r="N65" s="19"/>
      <c r="O65" s="30"/>
      <c r="P65" s="30"/>
      <c r="Q65" s="40"/>
      <c r="R65" s="40"/>
      <c r="U65" s="173"/>
    </row>
    <row r="66" spans="1:21" s="13" customFormat="1" ht="14.1" customHeight="1">
      <c r="A66" s="12"/>
      <c r="B66" s="192"/>
      <c r="C66" s="65"/>
      <c r="D66" s="66"/>
      <c r="E66" s="192"/>
      <c r="F66" s="192"/>
      <c r="G66" s="68"/>
      <c r="H66" s="12"/>
      <c r="I66" s="12"/>
      <c r="J66" s="12"/>
      <c r="K66" s="12"/>
      <c r="L66" s="12"/>
      <c r="M66" s="12"/>
      <c r="N66" s="68"/>
      <c r="O66" s="12"/>
      <c r="P66" s="12"/>
      <c r="U66" s="173"/>
    </row>
    <row r="67" spans="1:21" ht="14.1" customHeight="1">
      <c r="C67" s="65"/>
      <c r="U67" s="173"/>
    </row>
    <row r="68" spans="1:21" ht="14.1" customHeight="1">
      <c r="A68" s="13"/>
      <c r="B68" s="13"/>
      <c r="C68" s="13"/>
      <c r="D68" s="97"/>
      <c r="E68" s="13"/>
      <c r="F68" s="13"/>
      <c r="G68" s="13"/>
      <c r="H68" s="13"/>
      <c r="I68" s="13"/>
      <c r="J68" s="13"/>
      <c r="M68" s="13"/>
      <c r="N68" s="13"/>
      <c r="O68" s="13"/>
      <c r="P68" s="13"/>
      <c r="U68" s="173"/>
    </row>
    <row r="69" spans="1:21" ht="14.1" customHeight="1">
      <c r="A69" s="13"/>
      <c r="B69" s="13"/>
      <c r="C69" s="13"/>
      <c r="D69" s="97"/>
      <c r="E69" s="13"/>
      <c r="F69" s="13"/>
      <c r="G69" s="13"/>
      <c r="H69" s="13"/>
      <c r="I69" s="13"/>
      <c r="J69" s="13"/>
      <c r="M69" s="13"/>
      <c r="N69" s="13"/>
      <c r="O69" s="13"/>
      <c r="P69" s="13"/>
      <c r="U69" s="173"/>
    </row>
    <row r="70" spans="1:21" ht="14.1" customHeight="1">
      <c r="C70" s="65"/>
      <c r="U70" s="173"/>
    </row>
    <row r="71" spans="1:21" ht="14.1" customHeight="1">
      <c r="C71" s="65"/>
      <c r="Q71" s="13"/>
      <c r="R71" s="13"/>
    </row>
    <row r="72" spans="1:21" ht="14.1" customHeight="1">
      <c r="C72" s="65"/>
      <c r="Q72" s="13"/>
      <c r="R72" s="13"/>
    </row>
    <row r="73" spans="1:21" ht="14.1" customHeight="1">
      <c r="C73" s="65"/>
    </row>
    <row r="74" spans="1:21" ht="14.1" customHeight="1">
      <c r="C74" s="65"/>
    </row>
  </sheetData>
  <pageMargins left="0.75" right="0.5" top="1" bottom="0.5" header="0.5" footer="0.5"/>
  <pageSetup scale="70" orientation="landscape" r:id="rId1"/>
  <headerFooter alignWithMargins="0">
    <oddHeader>&amp;R&amp;D</oddHeader>
  </headerFooter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U74"/>
  <sheetViews>
    <sheetView topLeftCell="P1" zoomScale="87" zoomScaleNormal="87" workbookViewId="0">
      <selection activeCell="AB11" sqref="AB11:CQ11"/>
    </sheetView>
  </sheetViews>
  <sheetFormatPr defaultColWidth="13.7109375" defaultRowHeight="14.1" customHeight="1"/>
  <cols>
    <col min="1" max="1" width="6.28515625" style="12" customWidth="1"/>
    <col min="2" max="2" width="16.5703125" style="192" customWidth="1"/>
    <col min="3" max="3" width="8.28515625" style="12" customWidth="1"/>
    <col min="4" max="4" width="11.140625" style="66" customWidth="1"/>
    <col min="5" max="5" width="12.85546875" style="192" customWidth="1"/>
    <col min="6" max="6" width="9.28515625" style="192" customWidth="1"/>
    <col min="7" max="7" width="9.140625" style="68" customWidth="1"/>
    <col min="8" max="8" width="10.85546875" style="12" customWidth="1"/>
    <col min="9" max="9" width="13.140625" style="12" customWidth="1"/>
    <col min="10" max="10" width="12.28515625" style="12" customWidth="1"/>
    <col min="11" max="11" width="10.140625" style="12" customWidth="1"/>
    <col min="12" max="12" width="14.42578125" style="12" customWidth="1"/>
    <col min="13" max="13" width="8.85546875" style="12" customWidth="1"/>
    <col min="14" max="14" width="17.140625" style="68" customWidth="1"/>
    <col min="15" max="15" width="15.7109375" style="12" customWidth="1"/>
    <col min="16" max="16" width="10.85546875" style="12" customWidth="1"/>
    <col min="17" max="17" width="6.140625" style="12" customWidth="1"/>
    <col min="18" max="18" width="7.28515625" style="12" customWidth="1"/>
    <col min="19" max="19" width="12" style="13" customWidth="1"/>
    <col min="20" max="20" width="10.42578125" style="13" customWidth="1"/>
    <col min="21" max="21" width="13.7109375" style="13" customWidth="1"/>
    <col min="22" max="22" width="2.5703125" style="13" customWidth="1"/>
    <col min="23" max="29" width="13.7109375" style="13" customWidth="1"/>
    <col min="30" max="31" width="25" style="13" customWidth="1"/>
    <col min="32" max="34" width="13.7109375" style="13" customWidth="1"/>
    <col min="35" max="35" width="19.85546875" style="13" customWidth="1"/>
    <col min="36" max="36" width="19.5703125" style="13" customWidth="1"/>
    <col min="37" max="37" width="27.42578125" style="13" customWidth="1"/>
    <col min="38" max="38" width="31.42578125" style="13" customWidth="1"/>
    <col min="39" max="39" width="31.28515625" style="13" customWidth="1"/>
    <col min="40" max="45" width="27.42578125" style="13" customWidth="1"/>
    <col min="46" max="46" width="31.28515625" style="13" customWidth="1"/>
    <col min="47" max="47" width="35.42578125" style="13" customWidth="1"/>
    <col min="48" max="50" width="13.7109375" style="13" customWidth="1"/>
    <col min="51" max="52" width="17.28515625" style="13" customWidth="1"/>
    <col min="53" max="60" width="17.5703125" style="13" customWidth="1"/>
    <col min="61" max="65" width="20.42578125" style="13" customWidth="1"/>
    <col min="66" max="68" width="13.7109375" style="13" customWidth="1"/>
    <col min="69" max="69" width="18.7109375" style="13" customWidth="1"/>
    <col min="70" max="72" width="13.7109375" style="13" customWidth="1"/>
    <col min="73" max="73" width="17.28515625" style="13" customWidth="1"/>
    <col min="74" max="74" width="16.85546875" style="13" customWidth="1"/>
    <col min="75" max="75" width="13.7109375" style="13" customWidth="1"/>
    <col min="76" max="76" width="17" style="13" customWidth="1"/>
    <col min="77" max="81" width="17.85546875" style="13" customWidth="1"/>
    <col min="82" max="92" width="13.7109375" style="13" customWidth="1"/>
    <col min="93" max="93" width="26.140625" style="13" customWidth="1"/>
    <col min="94" max="94" width="25.7109375" style="13" customWidth="1"/>
    <col min="95" max="95" width="22.85546875" style="13" customWidth="1"/>
    <col min="96" max="99" width="13.7109375" style="13" customWidth="1"/>
    <col min="100" max="16384" width="13.7109375" style="12"/>
  </cols>
  <sheetData>
    <row r="1" spans="1:99" ht="14.1" customHeight="1">
      <c r="A1" s="1" t="s">
        <v>0</v>
      </c>
      <c r="B1" s="2" t="s">
        <v>140</v>
      </c>
      <c r="C1" s="3" t="s">
        <v>1</v>
      </c>
      <c r="D1" s="4" t="s">
        <v>164</v>
      </c>
      <c r="E1" s="1" t="s">
        <v>2</v>
      </c>
      <c r="F1" s="1"/>
      <c r="G1" s="5">
        <v>63</v>
      </c>
      <c r="H1" s="6"/>
      <c r="I1" s="6" t="s">
        <v>3</v>
      </c>
      <c r="J1" s="5">
        <v>178</v>
      </c>
      <c r="K1" s="7"/>
      <c r="L1" s="7"/>
      <c r="M1" s="8" t="s">
        <v>4</v>
      </c>
      <c r="N1" s="9">
        <f>((AVERAGE(W7:W8))*20)</f>
        <v>7500526</v>
      </c>
      <c r="O1" s="10">
        <f>(O3*20)</f>
        <v>7619226.6664800001</v>
      </c>
      <c r="P1" s="10"/>
      <c r="Q1" s="11" t="s">
        <v>5</v>
      </c>
      <c r="S1" s="13">
        <v>-120</v>
      </c>
      <c r="T1" s="13" t="s">
        <v>6</v>
      </c>
      <c r="U1" s="14">
        <v>33.130000000000003</v>
      </c>
      <c r="V1" s="15"/>
      <c r="W1" s="15" t="s">
        <v>7</v>
      </c>
    </row>
    <row r="2" spans="1:99" ht="14.1" customHeight="1" thickBot="1">
      <c r="A2" s="16" t="s">
        <v>8</v>
      </c>
      <c r="B2" s="17">
        <v>42635</v>
      </c>
      <c r="C2" s="3" t="s">
        <v>9</v>
      </c>
      <c r="D2" s="18">
        <v>90.3</v>
      </c>
      <c r="E2" s="3" t="s">
        <v>10</v>
      </c>
      <c r="F2" s="3"/>
      <c r="G2" s="19">
        <f>D2/(D3/100*D3/100)</f>
        <v>36.172087806441276</v>
      </c>
      <c r="H2" s="13"/>
      <c r="I2" s="20" t="s">
        <v>11</v>
      </c>
      <c r="J2" s="21"/>
      <c r="K2" s="22"/>
      <c r="L2" s="23"/>
      <c r="M2" s="24" t="s">
        <v>12</v>
      </c>
      <c r="N2" s="25">
        <f>(O1*0.068)</f>
        <v>518107.41332064004</v>
      </c>
      <c r="O2" s="13"/>
      <c r="P2" s="13"/>
      <c r="Q2" s="11"/>
      <c r="R2" s="26"/>
      <c r="T2" s="13" t="s">
        <v>6</v>
      </c>
      <c r="U2" s="14">
        <v>32.92</v>
      </c>
      <c r="V2" s="15"/>
      <c r="W2" s="27">
        <v>132268.5</v>
      </c>
    </row>
    <row r="3" spans="1:99" ht="14.1" customHeight="1" thickTop="1" thickBot="1">
      <c r="A3" s="16" t="s">
        <v>13</v>
      </c>
      <c r="B3" s="28" t="s">
        <v>167</v>
      </c>
      <c r="C3" s="3" t="s">
        <v>15</v>
      </c>
      <c r="D3" s="29">
        <v>158</v>
      </c>
      <c r="E3" s="3" t="s">
        <v>16</v>
      </c>
      <c r="F3" s="3"/>
      <c r="G3" s="19">
        <f>SQRT(((D2*D3)/3600))</f>
        <v>1.990770370149874</v>
      </c>
      <c r="H3" s="13"/>
      <c r="I3" s="20"/>
      <c r="J3" s="30"/>
      <c r="K3" s="30"/>
      <c r="L3" s="30"/>
      <c r="M3" s="31" t="s">
        <v>17</v>
      </c>
      <c r="N3" s="32">
        <f>($O$1/$N$1)*100</f>
        <v>101.58256456253869</v>
      </c>
      <c r="O3" s="33">
        <f>((AVERAGE(W2:W5))*2.85714)</f>
        <v>380961.33332400001</v>
      </c>
      <c r="P3" s="33"/>
      <c r="Q3" s="34" t="s">
        <v>18</v>
      </c>
      <c r="R3" s="13"/>
      <c r="T3" s="13">
        <v>-30</v>
      </c>
      <c r="U3" s="14">
        <v>650.99</v>
      </c>
      <c r="V3" s="15"/>
      <c r="W3" s="27">
        <v>135738.79999999999</v>
      </c>
    </row>
    <row r="4" spans="1:99" ht="14.1" customHeight="1" thickTop="1">
      <c r="B4" s="35"/>
      <c r="C4" s="3" t="s">
        <v>19</v>
      </c>
      <c r="D4" s="19">
        <v>48.073</v>
      </c>
      <c r="E4" s="37" t="s">
        <v>20</v>
      </c>
      <c r="F4" s="37"/>
      <c r="G4" s="38">
        <v>0.46</v>
      </c>
      <c r="H4" s="13"/>
      <c r="I4" s="20"/>
      <c r="J4" s="30"/>
      <c r="K4" s="30"/>
      <c r="L4" s="30"/>
      <c r="M4" s="33"/>
      <c r="N4" s="39"/>
      <c r="O4" s="30"/>
      <c r="P4" s="30"/>
      <c r="Q4" s="30"/>
      <c r="R4" s="30"/>
      <c r="U4" s="14">
        <v>624.54999999999995</v>
      </c>
      <c r="V4" s="15"/>
      <c r="W4" s="27">
        <v>133027</v>
      </c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</row>
    <row r="5" spans="1:99" ht="14.1" customHeight="1" thickBot="1">
      <c r="A5" s="16"/>
      <c r="B5" s="30"/>
      <c r="C5" s="3"/>
      <c r="D5" s="41" t="s">
        <v>21</v>
      </c>
      <c r="E5" s="42">
        <f>AVERAGE(U1:U2)</f>
        <v>33.025000000000006</v>
      </c>
      <c r="F5" s="42"/>
      <c r="G5" s="19"/>
      <c r="H5" s="30"/>
      <c r="I5" s="30"/>
      <c r="J5" s="43" t="s">
        <v>22</v>
      </c>
      <c r="K5" s="43"/>
      <c r="L5" s="44" t="s">
        <v>23</v>
      </c>
      <c r="M5" s="45"/>
      <c r="N5" s="43" t="s">
        <v>22</v>
      </c>
      <c r="O5" s="44" t="s">
        <v>23</v>
      </c>
      <c r="P5" s="44" t="s">
        <v>24</v>
      </c>
      <c r="Q5" s="46"/>
      <c r="R5" s="46"/>
      <c r="T5" s="13">
        <v>-20</v>
      </c>
      <c r="U5" s="14">
        <v>609.99</v>
      </c>
      <c r="V5" s="15"/>
      <c r="W5" s="27">
        <v>132312.1</v>
      </c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</row>
    <row r="6" spans="1:99" s="1" customFormat="1" ht="14.1" customHeight="1">
      <c r="A6" s="47" t="s">
        <v>25</v>
      </c>
      <c r="B6" s="48" t="s">
        <v>26</v>
      </c>
      <c r="C6" s="48"/>
      <c r="D6" s="49" t="s">
        <v>27</v>
      </c>
      <c r="E6" s="48" t="s">
        <v>28</v>
      </c>
      <c r="F6" s="48"/>
      <c r="G6" s="48" t="s">
        <v>29</v>
      </c>
      <c r="H6" s="50" t="s">
        <v>30</v>
      </c>
      <c r="I6" s="50"/>
      <c r="J6" s="51" t="s">
        <v>31</v>
      </c>
      <c r="K6" s="52"/>
      <c r="L6" s="52" t="s">
        <v>31</v>
      </c>
      <c r="M6" s="52" t="s">
        <v>32</v>
      </c>
      <c r="N6" s="52" t="s">
        <v>33</v>
      </c>
      <c r="O6" s="53" t="s">
        <v>34</v>
      </c>
      <c r="P6" s="54"/>
      <c r="Q6" s="55"/>
      <c r="R6" s="55"/>
      <c r="S6" s="13"/>
      <c r="T6" s="13"/>
      <c r="U6" s="14">
        <v>666.19</v>
      </c>
      <c r="V6" s="15"/>
      <c r="W6" s="56" t="s">
        <v>35</v>
      </c>
      <c r="X6" s="13" t="s">
        <v>36</v>
      </c>
      <c r="Y6" s="57" t="s">
        <v>37</v>
      </c>
      <c r="Z6" s="58" t="s">
        <v>38</v>
      </c>
      <c r="AA6" s="40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60"/>
      <c r="AY6" s="60"/>
      <c r="AZ6" s="60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60"/>
      <c r="BO6" s="60"/>
      <c r="BP6" s="60"/>
      <c r="BQ6" s="59"/>
      <c r="BR6" s="59"/>
      <c r="BS6" s="59"/>
      <c r="BT6" s="59"/>
      <c r="BU6" s="59"/>
      <c r="BV6" s="59"/>
      <c r="BW6" s="59"/>
      <c r="BX6" s="59"/>
      <c r="BY6" s="59"/>
      <c r="BZ6" s="61"/>
      <c r="CA6" s="61"/>
      <c r="CB6" s="61"/>
      <c r="CC6" s="61"/>
      <c r="CD6" s="40"/>
      <c r="CE6" s="61"/>
      <c r="CF6" s="61"/>
      <c r="CG6" s="33"/>
      <c r="CH6" s="40"/>
      <c r="CI6" s="30"/>
      <c r="CJ6" s="30"/>
      <c r="CK6" s="30"/>
      <c r="CL6" s="30"/>
      <c r="CM6" s="30"/>
      <c r="CN6" s="30"/>
      <c r="CO6" s="30"/>
      <c r="CP6" s="62"/>
      <c r="CQ6" s="62"/>
      <c r="CR6" s="13"/>
      <c r="CS6" s="13"/>
      <c r="CT6" s="13"/>
      <c r="CU6" s="13"/>
    </row>
    <row r="7" spans="1:99" ht="14.1" customHeight="1">
      <c r="A7" s="63">
        <v>-30</v>
      </c>
      <c r="B7" s="64">
        <v>120</v>
      </c>
      <c r="C7" s="65"/>
      <c r="D7" s="42">
        <f>AVERAGE(U3:U4)</f>
        <v>637.77</v>
      </c>
      <c r="E7" s="66">
        <f>D7-$E$5</f>
        <v>604.745</v>
      </c>
      <c r="F7" s="66"/>
      <c r="G7" s="66">
        <f>($E7*7.1425)</f>
        <v>4319.3911625000001</v>
      </c>
      <c r="H7" s="66">
        <f>($G7/($B7*0.01))</f>
        <v>3599.4926354166669</v>
      </c>
      <c r="I7" s="66"/>
      <c r="J7" s="67">
        <f>$N$2/$H7/$D$2</f>
        <v>1.5940089912558242</v>
      </c>
      <c r="K7" s="67"/>
      <c r="L7" s="67">
        <f>J7/($D$4/$D$2)</f>
        <v>2.9941757724793732</v>
      </c>
      <c r="N7" s="68">
        <f>J7-M7</f>
        <v>1.5940089912558242</v>
      </c>
      <c r="O7" s="67">
        <f>N7/($D$4/$D$2)</f>
        <v>2.9941757724793732</v>
      </c>
      <c r="P7" s="67"/>
      <c r="Q7" s="30"/>
      <c r="R7" s="30"/>
      <c r="T7" s="13">
        <v>-10</v>
      </c>
      <c r="U7" s="14">
        <v>662.94</v>
      </c>
      <c r="V7" s="15"/>
      <c r="W7" s="27">
        <v>374728.6</v>
      </c>
      <c r="X7" s="69">
        <v>1.198</v>
      </c>
      <c r="Y7" s="70">
        <v>-30</v>
      </c>
      <c r="Z7" s="199">
        <v>17.151</v>
      </c>
      <c r="AA7" s="40"/>
      <c r="AB7" s="72"/>
      <c r="AC7" s="72"/>
      <c r="AD7" s="72"/>
      <c r="AE7" s="72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19"/>
      <c r="AY7" s="74"/>
      <c r="AZ7" s="74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</row>
    <row r="8" spans="1:99" ht="14.1" customHeight="1">
      <c r="A8" s="63">
        <v>-20</v>
      </c>
      <c r="B8" s="64">
        <v>116</v>
      </c>
      <c r="C8" s="65"/>
      <c r="D8" s="66">
        <f>AVERAGE(U5:U6)</f>
        <v>638.09</v>
      </c>
      <c r="E8" s="66">
        <f>D8-$E$5</f>
        <v>605.06500000000005</v>
      </c>
      <c r="F8" s="66"/>
      <c r="G8" s="66">
        <f>($E8*7.1425)</f>
        <v>4321.6767625000002</v>
      </c>
      <c r="H8" s="66">
        <f>($G8/($B8*0.01))</f>
        <v>3725.5834159482765</v>
      </c>
      <c r="I8" s="66"/>
      <c r="J8" s="67">
        <f>$N$2/H8/$D$2</f>
        <v>1.5400604373135172</v>
      </c>
      <c r="K8" s="67"/>
      <c r="L8" s="67">
        <f>J8/($D$4/$D$2)</f>
        <v>2.892839171456131</v>
      </c>
      <c r="N8" s="68">
        <f>J8-M8</f>
        <v>1.5400604373135172</v>
      </c>
      <c r="O8" s="67">
        <f>N8/($D$4/$D$2)</f>
        <v>2.892839171456131</v>
      </c>
      <c r="P8" s="67"/>
      <c r="Q8" s="30"/>
      <c r="R8" s="30"/>
      <c r="U8" s="14">
        <v>633.03</v>
      </c>
      <c r="V8" s="15"/>
      <c r="W8" s="27">
        <v>375324</v>
      </c>
      <c r="X8" s="69">
        <v>0.97599999999999998</v>
      </c>
      <c r="Y8" s="70">
        <v>-20</v>
      </c>
      <c r="Z8" s="199">
        <v>17.151</v>
      </c>
      <c r="AA8" s="40"/>
      <c r="AB8" s="72"/>
      <c r="AC8" s="72"/>
      <c r="AD8" s="72"/>
      <c r="AE8" s="72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19"/>
      <c r="AY8" s="74"/>
      <c r="AZ8" s="74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</row>
    <row r="9" spans="1:99" ht="14.1" customHeight="1" thickBot="1">
      <c r="A9" s="63">
        <v>-10</v>
      </c>
      <c r="B9" s="75">
        <v>117</v>
      </c>
      <c r="C9" s="65"/>
      <c r="D9" s="66">
        <f>AVERAGE(U7:U8)</f>
        <v>647.98500000000001</v>
      </c>
      <c r="E9" s="66">
        <f>D9-$E$5</f>
        <v>614.96</v>
      </c>
      <c r="F9" s="66"/>
      <c r="G9" s="66">
        <f>($E9*7.1425)</f>
        <v>4392.3518000000004</v>
      </c>
      <c r="H9" s="66">
        <f>($G9/($B9*0.01))</f>
        <v>3754.1468376068383</v>
      </c>
      <c r="I9" s="66"/>
      <c r="J9" s="67">
        <f>$N$2/H9/$D$2</f>
        <v>1.5283428893449627</v>
      </c>
      <c r="K9" s="67"/>
      <c r="L9" s="67">
        <f>J9/($D$4/$D$2)</f>
        <v>2.8708290081303458</v>
      </c>
      <c r="N9" s="68">
        <f>J9-M9</f>
        <v>1.5283428893449627</v>
      </c>
      <c r="O9" s="67">
        <f>N9/($D$4/$D$2)</f>
        <v>2.8708290081303458</v>
      </c>
      <c r="P9" s="67"/>
      <c r="Q9" s="30"/>
      <c r="R9" s="30"/>
      <c r="T9" s="13">
        <v>-5</v>
      </c>
      <c r="U9" s="14">
        <v>657.02</v>
      </c>
      <c r="V9" s="15"/>
      <c r="W9" s="76">
        <v>386680.2</v>
      </c>
      <c r="X9" s="69">
        <v>0.84099999999999997</v>
      </c>
      <c r="Y9" s="70">
        <v>-10</v>
      </c>
      <c r="Z9" s="206">
        <v>17.151</v>
      </c>
      <c r="AA9" s="40"/>
      <c r="AB9" s="72"/>
      <c r="AC9" s="72"/>
      <c r="AD9" s="72"/>
      <c r="AE9" s="72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19"/>
      <c r="AY9" s="74"/>
      <c r="AZ9" s="74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</row>
    <row r="10" spans="1:99" s="80" customFormat="1" ht="14.1" customHeight="1">
      <c r="A10" s="77">
        <v>0</v>
      </c>
      <c r="B10" s="75">
        <v>117</v>
      </c>
      <c r="C10" s="65"/>
      <c r="D10" s="66">
        <f>AVERAGE(U11:U12)</f>
        <v>701.98500000000001</v>
      </c>
      <c r="E10" s="66">
        <f>D10-$E$5</f>
        <v>668.96</v>
      </c>
      <c r="F10" s="66"/>
      <c r="G10" s="78">
        <f>($E10*7.1425)</f>
        <v>4778.0468000000001</v>
      </c>
      <c r="H10" s="78">
        <f>($G10/($B10*0.01))</f>
        <v>4083.800683760684</v>
      </c>
      <c r="I10" s="78"/>
      <c r="J10" s="79">
        <f>$N$2/H10/$D$2</f>
        <v>1.404971512843187</v>
      </c>
      <c r="K10" s="79"/>
      <c r="L10" s="67">
        <f>J10/($D$4/$D$2)</f>
        <v>2.6390890439485735</v>
      </c>
      <c r="N10" s="81">
        <f>J10-M10</f>
        <v>1.404971512843187</v>
      </c>
      <c r="O10" s="67">
        <f>N10/($D$4/$D$2)</f>
        <v>2.6390890439485735</v>
      </c>
      <c r="P10" s="67"/>
      <c r="Q10" s="30"/>
      <c r="R10" s="30"/>
      <c r="S10" s="13"/>
      <c r="T10" s="13" t="s">
        <v>39</v>
      </c>
      <c r="U10" s="14">
        <v>660.96</v>
      </c>
      <c r="V10" s="15"/>
      <c r="W10" s="15"/>
      <c r="X10" s="69">
        <v>0.89</v>
      </c>
      <c r="Y10" s="70">
        <v>0</v>
      </c>
      <c r="Z10" s="82">
        <v>19.145</v>
      </c>
      <c r="AA10" s="30"/>
      <c r="AB10" s="83" t="s">
        <v>40</v>
      </c>
      <c r="AC10" s="83" t="s">
        <v>41</v>
      </c>
      <c r="AD10" s="83" t="s">
        <v>42</v>
      </c>
      <c r="AE10" s="83" t="s">
        <v>43</v>
      </c>
      <c r="AF10" s="83" t="s">
        <v>44</v>
      </c>
      <c r="AG10" s="83" t="s">
        <v>45</v>
      </c>
      <c r="AH10" s="83" t="s">
        <v>46</v>
      </c>
      <c r="AI10" s="83" t="s">
        <v>47</v>
      </c>
      <c r="AJ10" s="83" t="s">
        <v>48</v>
      </c>
      <c r="AK10" s="83" t="s">
        <v>49</v>
      </c>
      <c r="AL10" s="83" t="s">
        <v>50</v>
      </c>
      <c r="AM10" s="83" t="s">
        <v>51</v>
      </c>
      <c r="AN10" s="83" t="s">
        <v>52</v>
      </c>
      <c r="AO10" s="83" t="s">
        <v>53</v>
      </c>
      <c r="AP10" s="83" t="s">
        <v>54</v>
      </c>
      <c r="AQ10" s="83" t="s">
        <v>55</v>
      </c>
      <c r="AR10" s="83" t="s">
        <v>56</v>
      </c>
      <c r="AS10" s="83" t="s">
        <v>57</v>
      </c>
      <c r="AT10" s="83" t="s">
        <v>58</v>
      </c>
      <c r="AU10" s="83" t="s">
        <v>59</v>
      </c>
      <c r="AV10" s="84" t="s">
        <v>60</v>
      </c>
      <c r="AW10" s="84" t="s">
        <v>61</v>
      </c>
      <c r="AX10" s="85" t="s">
        <v>62</v>
      </c>
      <c r="AY10" s="85" t="s">
        <v>63</v>
      </c>
      <c r="AZ10" s="85" t="s">
        <v>64</v>
      </c>
      <c r="BA10" s="86" t="s">
        <v>65</v>
      </c>
      <c r="BB10" s="86" t="s">
        <v>66</v>
      </c>
      <c r="BC10" s="86" t="s">
        <v>67</v>
      </c>
      <c r="BD10" s="86" t="s">
        <v>68</v>
      </c>
      <c r="BE10" s="86" t="s">
        <v>69</v>
      </c>
      <c r="BF10" s="86" t="s">
        <v>70</v>
      </c>
      <c r="BG10" s="86" t="s">
        <v>71</v>
      </c>
      <c r="BH10" s="86" t="s">
        <v>72</v>
      </c>
      <c r="BI10" s="86" t="s">
        <v>73</v>
      </c>
      <c r="BJ10" s="86" t="s">
        <v>74</v>
      </c>
      <c r="BK10" s="86" t="s">
        <v>75</v>
      </c>
      <c r="BL10" s="86" t="s">
        <v>76</v>
      </c>
      <c r="BM10" s="86" t="s">
        <v>77</v>
      </c>
      <c r="BN10" s="87" t="s">
        <v>78</v>
      </c>
      <c r="BO10" s="87" t="s">
        <v>79</v>
      </c>
      <c r="BP10" s="87" t="s">
        <v>80</v>
      </c>
      <c r="BQ10" s="88" t="s">
        <v>81</v>
      </c>
      <c r="BR10" s="88" t="s">
        <v>82</v>
      </c>
      <c r="BS10" s="88" t="s">
        <v>83</v>
      </c>
      <c r="BT10" s="88" t="s">
        <v>84</v>
      </c>
      <c r="BU10" s="88" t="s">
        <v>85</v>
      </c>
      <c r="BV10" s="88" t="s">
        <v>86</v>
      </c>
      <c r="BW10" s="88" t="s">
        <v>87</v>
      </c>
      <c r="BX10" s="88" t="s">
        <v>88</v>
      </c>
      <c r="BY10" s="88" t="s">
        <v>89</v>
      </c>
      <c r="BZ10" s="88" t="s">
        <v>90</v>
      </c>
      <c r="CA10" s="88" t="s">
        <v>91</v>
      </c>
      <c r="CB10" s="88" t="s">
        <v>92</v>
      </c>
      <c r="CC10" s="88" t="s">
        <v>93</v>
      </c>
      <c r="CD10" s="40"/>
      <c r="CE10" s="89" t="s">
        <v>94</v>
      </c>
      <c r="CF10" s="89" t="s">
        <v>95</v>
      </c>
      <c r="CG10" s="90" t="s">
        <v>96</v>
      </c>
      <c r="CH10" s="40"/>
      <c r="CI10" s="91" t="s">
        <v>97</v>
      </c>
      <c r="CJ10" s="91" t="s">
        <v>98</v>
      </c>
      <c r="CK10" s="91" t="s">
        <v>99</v>
      </c>
      <c r="CL10" s="91" t="s">
        <v>100</v>
      </c>
      <c r="CM10" s="91" t="s">
        <v>101</v>
      </c>
      <c r="CN10" s="91" t="s">
        <v>102</v>
      </c>
      <c r="CO10" s="91" t="s">
        <v>103</v>
      </c>
      <c r="CP10" s="92" t="s">
        <v>104</v>
      </c>
      <c r="CQ10" s="92" t="s">
        <v>105</v>
      </c>
      <c r="CR10" s="13"/>
      <c r="CS10" s="13"/>
      <c r="CT10" s="13"/>
      <c r="CU10" s="13"/>
    </row>
    <row r="11" spans="1:99" s="49" customFormat="1" ht="14.1" customHeight="1">
      <c r="A11" s="93" t="s">
        <v>106</v>
      </c>
      <c r="B11" s="49">
        <f>AVERAGE(B7:B10)</f>
        <v>117.5</v>
      </c>
      <c r="E11" s="50">
        <f>AVERAGE(E7:E10)</f>
        <v>623.4325</v>
      </c>
      <c r="G11" s="50">
        <f>AVERAGE(G7:G10)</f>
        <v>4452.86663125</v>
      </c>
      <c r="H11" s="50">
        <f>AVERAGE(H7:H10)</f>
        <v>3790.7558931831168</v>
      </c>
      <c r="J11" s="94">
        <f>AVERAGE(J7:J10)</f>
        <v>1.5168459576893727</v>
      </c>
      <c r="K11" s="50" t="s">
        <v>39</v>
      </c>
      <c r="L11" s="50">
        <f>AVERAGE(L7:L10)</f>
        <v>2.8492332490036061</v>
      </c>
      <c r="M11" s="50"/>
      <c r="N11" s="94">
        <f>AVERAGE(N7:N10)</f>
        <v>1.5168459576893727</v>
      </c>
      <c r="O11" s="50">
        <f>AVERAGE(O7:O10)</f>
        <v>2.8492332490036061</v>
      </c>
      <c r="P11" s="95"/>
      <c r="Q11" s="95"/>
      <c r="R11" s="95"/>
      <c r="S11" s="6"/>
      <c r="T11" s="13">
        <v>0</v>
      </c>
      <c r="U11" s="14">
        <v>710.87</v>
      </c>
      <c r="V11" s="15"/>
      <c r="W11" s="15"/>
      <c r="X11" s="96">
        <f>AVERAGE(X7:X10)</f>
        <v>0.97624999999999995</v>
      </c>
      <c r="Y11" s="70" t="s">
        <v>107</v>
      </c>
      <c r="Z11" s="96">
        <f>AVERAGE(Z7:Z10)</f>
        <v>17.6495</v>
      </c>
      <c r="AA11" s="30"/>
      <c r="AB11" s="72">
        <f>J11</f>
        <v>1.5168459576893727</v>
      </c>
      <c r="AC11" s="73">
        <f>AB11/($D$4/$D$2)</f>
        <v>2.8492332490036056</v>
      </c>
      <c r="AD11" s="73">
        <f>AB11/Z11</f>
        <v>8.5942715526749924E-2</v>
      </c>
      <c r="AE11" s="73">
        <f>AC11/Z11</f>
        <v>0.16143421904323668</v>
      </c>
      <c r="AF11" s="72">
        <f>N20</f>
        <v>0.78741290470194092</v>
      </c>
      <c r="AG11" s="72">
        <f>AF11/($D$4/$D$2)</f>
        <v>1.4790711063296498</v>
      </c>
      <c r="AH11" s="72">
        <f>AF11/Z18</f>
        <v>1.5106416662866927E-2</v>
      </c>
      <c r="AI11" s="72">
        <f>AG11/Z18</f>
        <v>2.8375791497449367E-2</v>
      </c>
      <c r="AJ11" s="73">
        <f>((AB11-AF11)/AB11)*100</f>
        <v>48.088802247169831</v>
      </c>
      <c r="AK11" s="73">
        <f>((AC11-AG11)/AC11)*100</f>
        <v>48.088802247169831</v>
      </c>
      <c r="AL11" s="73">
        <f>((AD11-AH11)/AD11)*100</f>
        <v>82.42269100961208</v>
      </c>
      <c r="AM11" s="73">
        <f>((AE11-AI11)/AE11)*100</f>
        <v>82.42269100961208</v>
      </c>
      <c r="AN11" s="72">
        <f>N29</f>
        <v>-0.11333912453495854</v>
      </c>
      <c r="AO11" s="72">
        <f>AN11/($D$4/$D$2)</f>
        <v>-0.21289544953522258</v>
      </c>
      <c r="AP11" s="72">
        <f>AN11/Z25</f>
        <v>-4.6166273405087754E-4</v>
      </c>
      <c r="AQ11" s="72">
        <f>AO11/Z25</f>
        <v>-8.6718417583246806E-4</v>
      </c>
      <c r="AR11" s="73">
        <f>((AB11-AN11)/AB11)*100</f>
        <v>107.47202601295184</v>
      </c>
      <c r="AS11" s="73">
        <f>((AC11-AO11)/AC11)*100</f>
        <v>107.47202601295184</v>
      </c>
      <c r="AT11" s="73">
        <f>((AD11-AP11)/AD11)*100</f>
        <v>100.53717494405583</v>
      </c>
      <c r="AU11" s="73">
        <f>((AE11-AQ11)/AE11)*100</f>
        <v>100.53717494405583</v>
      </c>
      <c r="AV11" s="72">
        <f>J11</f>
        <v>1.5168459576893727</v>
      </c>
      <c r="AW11" s="72">
        <f>AV11/($D$4/$D$2)</f>
        <v>2.8492332490036056</v>
      </c>
      <c r="AX11" s="95">
        <f>M20</f>
        <v>0.78848283499446292</v>
      </c>
      <c r="AY11" s="95">
        <f>AX11/($D$4/$D$2)</f>
        <v>1.4810808561978657</v>
      </c>
      <c r="AZ11" s="95">
        <f>AX11/Z11</f>
        <v>4.467451400858171E-2</v>
      </c>
      <c r="BA11" s="73">
        <f>AY11/Z11</f>
        <v>8.3916306762110301E-2</v>
      </c>
      <c r="BB11" s="72">
        <f>P21</f>
        <v>1.1351495016611297</v>
      </c>
      <c r="BC11" s="73">
        <f>BB11/($D$4/$D$2)</f>
        <v>2.1322571921868825</v>
      </c>
      <c r="BD11" s="73">
        <f>BB11/Z18</f>
        <v>2.1777699151666583E-2</v>
      </c>
      <c r="BE11" s="73">
        <f>BC11/Z18</f>
        <v>4.0907083672653929E-2</v>
      </c>
      <c r="BF11" s="72">
        <f>K20</f>
        <v>1.5266155625092499</v>
      </c>
      <c r="BG11" s="73">
        <f>BF11/($D$4/$D$2)</f>
        <v>2.8675844090151488</v>
      </c>
      <c r="BH11" s="73">
        <f>BF11/Z18</f>
        <v>2.9287925856398344E-2</v>
      </c>
      <c r="BI11" s="73">
        <f>BG11/Z18</f>
        <v>5.5014243022752277E-2</v>
      </c>
      <c r="BJ11" s="72">
        <f>J21</f>
        <v>1.8854014095711935</v>
      </c>
      <c r="BK11" s="73">
        <f>BJ11/($D$4/$D$2)</f>
        <v>3.5415253319800875</v>
      </c>
      <c r="BL11" s="73">
        <f>BJ11/Z18</f>
        <v>3.6171186806393807E-2</v>
      </c>
      <c r="BM11" s="73">
        <f>BK11/Z18</f>
        <v>6.7943714114312825E-2</v>
      </c>
      <c r="BN11" s="95">
        <f>M29</f>
        <v>3.9161314138058332</v>
      </c>
      <c r="BO11" s="95">
        <f>BN11/($D$4/$D$2)</f>
        <v>7.356034919116067</v>
      </c>
      <c r="BP11" s="95">
        <f>BN11/Z25</f>
        <v>1.5951525502056328E-2</v>
      </c>
      <c r="BQ11" s="73">
        <f>BO11/Z25</f>
        <v>2.9963238259224229E-2</v>
      </c>
      <c r="BR11" s="72">
        <f>P30</f>
        <v>4.3061314138058329</v>
      </c>
      <c r="BS11" s="73">
        <f>BR11/($D$4/$D$2)</f>
        <v>8.0886082971037094</v>
      </c>
      <c r="BT11" s="73">
        <f>BR11/Z25</f>
        <v>1.7540107265137689E-2</v>
      </c>
      <c r="BU11" s="73">
        <f>BS11/Z25</f>
        <v>3.2947219562788531E-2</v>
      </c>
      <c r="BV11" s="72">
        <f>K29</f>
        <v>3.902995316218087</v>
      </c>
      <c r="BW11" s="73">
        <f>BV11/($D$4/$D$2)</f>
        <v>7.3313601617226549</v>
      </c>
      <c r="BX11" s="73">
        <f>BV11/Z25</f>
        <v>1.5898018412143635E-2</v>
      </c>
      <c r="BY11" s="73">
        <f>BW11/Z25</f>
        <v>2.9862730901266201E-2</v>
      </c>
      <c r="BZ11" s="72">
        <f>J30</f>
        <v>4.5466776059421772</v>
      </c>
      <c r="CA11" s="73">
        <f>BZ11/($D$4/$D$2)</f>
        <v>8.5404486471944452</v>
      </c>
      <c r="CB11" s="73">
        <f>BZ11/Z25</f>
        <v>1.8519920839513229E-2</v>
      </c>
      <c r="CC11" s="73">
        <f>CA11/Z25</f>
        <v>3.4787694793502473E-2</v>
      </c>
      <c r="CD11" s="13"/>
      <c r="CE11" s="97">
        <f>B11</f>
        <v>117.5</v>
      </c>
      <c r="CF11" s="13">
        <f>Z11</f>
        <v>17.6495</v>
      </c>
      <c r="CG11" s="40">
        <f>((CE11/18)*CF11)/22.5</f>
        <v>5.1205339506172844</v>
      </c>
      <c r="CH11" s="40"/>
      <c r="CI11" s="40">
        <f>X28</f>
        <v>0</v>
      </c>
      <c r="CJ11" s="40">
        <f>X29</f>
        <v>0</v>
      </c>
      <c r="CK11" s="40">
        <f>X30</f>
        <v>0</v>
      </c>
      <c r="CL11" s="40">
        <f>X31</f>
        <v>0</v>
      </c>
      <c r="CM11" s="40">
        <f>X32</f>
        <v>0</v>
      </c>
      <c r="CN11" s="40">
        <f>X33</f>
        <v>0</v>
      </c>
      <c r="CO11" s="13">
        <f>X11</f>
        <v>0.97624999999999995</v>
      </c>
      <c r="CP11" s="13">
        <f>X18</f>
        <v>0.17899999999999999</v>
      </c>
      <c r="CQ11" s="13">
        <f>X25</f>
        <v>4.2800000000000005E-2</v>
      </c>
      <c r="CR11" s="13"/>
      <c r="CS11" s="13"/>
      <c r="CT11" s="13"/>
      <c r="CU11" s="13"/>
    </row>
    <row r="12" spans="1:99" ht="14.1" customHeight="1" thickBot="1">
      <c r="B12" s="98"/>
      <c r="C12" s="65"/>
      <c r="D12" s="99"/>
      <c r="E12" s="13"/>
      <c r="F12" s="13"/>
      <c r="G12" s="13"/>
      <c r="H12" s="13"/>
      <c r="I12" s="13"/>
      <c r="J12" s="6" t="s">
        <v>108</v>
      </c>
      <c r="K12" s="13"/>
      <c r="L12" s="13"/>
      <c r="M12" s="12" t="s">
        <v>39</v>
      </c>
      <c r="N12" s="13"/>
      <c r="O12" s="13"/>
      <c r="P12" s="13"/>
      <c r="Q12" s="30"/>
      <c r="R12" s="30"/>
      <c r="U12" s="14">
        <v>693.1</v>
      </c>
      <c r="V12" s="15"/>
      <c r="W12" s="15"/>
      <c r="Y12" s="70"/>
      <c r="Z12" s="96"/>
      <c r="AA12" s="30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30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40"/>
      <c r="CG12" s="40"/>
      <c r="CH12" s="40"/>
      <c r="CI12" s="40"/>
      <c r="CJ12" s="40"/>
      <c r="CK12" s="40"/>
      <c r="CL12" s="40"/>
      <c r="CM12" s="40"/>
      <c r="CN12" s="40"/>
    </row>
    <row r="13" spans="1:99" ht="14.1" customHeight="1" thickBot="1">
      <c r="B13" s="98"/>
      <c r="C13" s="65"/>
      <c r="D13" s="99"/>
      <c r="E13" s="13"/>
      <c r="F13" s="13"/>
      <c r="G13" s="13"/>
      <c r="H13" s="13"/>
      <c r="I13" s="13"/>
      <c r="J13" s="6"/>
      <c r="K13" s="13"/>
      <c r="L13" s="13"/>
      <c r="M13" s="100" t="s">
        <v>32</v>
      </c>
      <c r="N13" s="101"/>
      <c r="O13" s="101"/>
      <c r="P13" s="101"/>
      <c r="Q13" s="30"/>
      <c r="R13" s="102" t="s">
        <v>25</v>
      </c>
      <c r="S13" s="103" t="s">
        <v>109</v>
      </c>
      <c r="T13" s="13">
        <v>30</v>
      </c>
      <c r="U13" s="14">
        <v>641.82000000000005</v>
      </c>
      <c r="V13" s="15"/>
      <c r="W13" s="15"/>
      <c r="X13" s="69">
        <v>0.16</v>
      </c>
      <c r="Y13" s="30">
        <v>90</v>
      </c>
      <c r="Z13" s="71">
        <v>52.752000000000002</v>
      </c>
      <c r="AA13" s="40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19"/>
      <c r="AY13" s="74"/>
      <c r="AZ13" s="74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40"/>
      <c r="CG13" s="40"/>
      <c r="CH13" s="40"/>
      <c r="CI13" s="40"/>
      <c r="CJ13" s="40"/>
      <c r="CK13" s="40"/>
      <c r="CL13" s="40"/>
      <c r="CM13" s="40"/>
      <c r="CN13" s="40"/>
    </row>
    <row r="14" spans="1:99" ht="14.1" customHeight="1">
      <c r="A14" s="12">
        <v>90</v>
      </c>
      <c r="B14" s="75">
        <v>105</v>
      </c>
      <c r="C14" s="65"/>
      <c r="D14" s="104">
        <f>AVERAGE(U17:U18)</f>
        <v>594.005</v>
      </c>
      <c r="E14" s="78">
        <f>D14-$E$5</f>
        <v>560.98</v>
      </c>
      <c r="F14" s="78"/>
      <c r="G14" s="78">
        <f t="shared" ref="G14:G27" si="0">($E14*7.1425)</f>
        <v>4006.7996500000004</v>
      </c>
      <c r="H14" s="78">
        <f t="shared" ref="H14:H27" si="1">($G14/($B14*0.01))</f>
        <v>3815.9996666666671</v>
      </c>
      <c r="I14" s="33">
        <f>$C$15*A14+$C$16</f>
        <v>3640.8322350000003</v>
      </c>
      <c r="J14" s="105" t="s">
        <v>110</v>
      </c>
      <c r="K14" s="106" t="s">
        <v>111</v>
      </c>
      <c r="L14" s="13"/>
      <c r="M14" s="107">
        <f>(((S14/60)*$J$1)/$D$2)</f>
        <v>0.98560354374307868</v>
      </c>
      <c r="N14" s="101"/>
      <c r="O14" s="101"/>
      <c r="P14" s="101"/>
      <c r="Q14" s="30"/>
      <c r="R14" s="108">
        <v>90</v>
      </c>
      <c r="S14" s="109">
        <v>30</v>
      </c>
      <c r="U14" s="14">
        <v>692.87</v>
      </c>
      <c r="V14" s="15"/>
      <c r="W14" s="110"/>
      <c r="X14" s="69">
        <v>0.17</v>
      </c>
      <c r="Y14" s="30">
        <v>100</v>
      </c>
      <c r="Z14" s="71">
        <v>51.628</v>
      </c>
      <c r="AA14" s="40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19"/>
      <c r="AY14" s="74"/>
      <c r="AZ14" s="74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40"/>
      <c r="CG14" s="40"/>
      <c r="CH14" s="40"/>
      <c r="CI14" s="40"/>
      <c r="CJ14" s="40"/>
      <c r="CK14" s="40"/>
      <c r="CL14" s="40"/>
      <c r="CM14" s="40"/>
      <c r="CN14" s="40"/>
    </row>
    <row r="15" spans="1:99" s="115" customFormat="1" ht="14.1" customHeight="1">
      <c r="A15" s="12">
        <v>100</v>
      </c>
      <c r="B15" s="75">
        <v>102</v>
      </c>
      <c r="C15" s="65">
        <f>SLOPE(G15:G18,A15:A18)</f>
        <v>2.5227309999999825</v>
      </c>
      <c r="D15" s="104">
        <f>AVERAGE(U19:U20)</f>
        <v>543</v>
      </c>
      <c r="E15" s="66">
        <f>D15-$E$5</f>
        <v>509.97500000000002</v>
      </c>
      <c r="F15" s="111">
        <v>180</v>
      </c>
      <c r="G15" s="112">
        <f t="shared" si="0"/>
        <v>3642.4964375000004</v>
      </c>
      <c r="H15" s="78">
        <f t="shared" si="1"/>
        <v>3571.0749387254905</v>
      </c>
      <c r="I15" s="33">
        <f>$C$15*A15+$C$16</f>
        <v>3666.0595450000001</v>
      </c>
      <c r="J15" s="113">
        <f>((($N$2-(130*$D$2*(((B15+B14)*0.01)/2))*((I15-I14)/(A15-A14))))/((I15+I14)/2))/$D$2</f>
        <v>1.4775612753808414</v>
      </c>
      <c r="K15" s="114">
        <f>$N$2/H15/$D$2</f>
        <v>1.6066937051903583</v>
      </c>
      <c r="L15" s="114">
        <f>J15/($D$4/$D$2)</f>
        <v>2.7754411658704461</v>
      </c>
      <c r="M15" s="107">
        <f>(((S15/60)*$J$1)/$D$2)</f>
        <v>0.49280177187153934</v>
      </c>
      <c r="N15" s="19">
        <f>K15-M15</f>
        <v>1.1138919333188189</v>
      </c>
      <c r="O15" s="74">
        <f>N15/($D$4/$D$2)</f>
        <v>2.0923271187296262</v>
      </c>
      <c r="P15" s="74"/>
      <c r="Q15" s="30"/>
      <c r="R15" s="108">
        <v>100</v>
      </c>
      <c r="S15" s="109">
        <v>15</v>
      </c>
      <c r="T15" s="13">
        <v>60</v>
      </c>
      <c r="U15" s="14">
        <v>611.34</v>
      </c>
      <c r="V15" s="15"/>
      <c r="W15" s="110"/>
      <c r="X15" s="69">
        <v>0.28699999999999998</v>
      </c>
      <c r="Y15" s="30">
        <v>110</v>
      </c>
      <c r="Z15" s="71">
        <v>51.825000000000003</v>
      </c>
      <c r="AA15" s="40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19"/>
      <c r="AY15" s="74"/>
      <c r="AZ15" s="74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40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40"/>
      <c r="CH15" s="40"/>
      <c r="CI15" s="40"/>
      <c r="CJ15" s="40"/>
      <c r="CK15" s="40"/>
      <c r="CL15" s="40"/>
      <c r="CM15" s="40"/>
      <c r="CN15" s="40"/>
      <c r="CO15" s="13"/>
      <c r="CP15" s="13"/>
      <c r="CQ15" s="13"/>
      <c r="CR15" s="13"/>
      <c r="CS15" s="13"/>
      <c r="CT15" s="13"/>
      <c r="CU15" s="13"/>
    </row>
    <row r="16" spans="1:99" ht="14.1" customHeight="1">
      <c r="A16" s="12">
        <v>110</v>
      </c>
      <c r="B16" s="75">
        <v>98</v>
      </c>
      <c r="C16" s="65">
        <f>INTERCEPT(G15:G18,A15:A18)</f>
        <v>3413.786445000002</v>
      </c>
      <c r="D16" s="104">
        <f>AVERAGE(U21:U22)</f>
        <v>550.39499999999998</v>
      </c>
      <c r="E16" s="66">
        <f>D16-$E$5</f>
        <v>517.37</v>
      </c>
      <c r="F16" s="116">
        <v>210</v>
      </c>
      <c r="G16" s="66">
        <f t="shared" si="0"/>
        <v>3695.3152250000003</v>
      </c>
      <c r="H16" s="78">
        <f t="shared" si="1"/>
        <v>3770.729821428572</v>
      </c>
      <c r="I16" s="33">
        <f>$C$15*A16+$C$16</f>
        <v>3691.2868550000003</v>
      </c>
      <c r="J16" s="113">
        <f>((($N$2-(130*$D$2*(((B16+B15)*0.01)/2))*((I16-I15)/(A16-A15))))/((I16+I15)/2))/$D$2</f>
        <v>1.4705488366874466</v>
      </c>
      <c r="K16" s="67">
        <f>$N$2/H16/$D$2</f>
        <v>1.5216215153382544</v>
      </c>
      <c r="L16" s="67">
        <f>J16/($D$4/$D$2)</f>
        <v>2.7622690481741605</v>
      </c>
      <c r="M16" s="107">
        <f>(((S16/60)*$J$1)/$D$2)</f>
        <v>0.49280177187153934</v>
      </c>
      <c r="N16" s="19">
        <f>K16-M16</f>
        <v>1.028819743466715</v>
      </c>
      <c r="O16" s="67">
        <f>N16/($D$4/$D$2)</f>
        <v>1.9325280892610062</v>
      </c>
      <c r="P16" s="67"/>
      <c r="Q16" s="30"/>
      <c r="R16" s="108">
        <v>110</v>
      </c>
      <c r="S16" s="109">
        <v>15</v>
      </c>
      <c r="U16" s="14">
        <v>592.75</v>
      </c>
      <c r="V16" s="15"/>
      <c r="W16" s="110"/>
      <c r="X16" s="69">
        <v>0.14000000000000001</v>
      </c>
      <c r="Y16" s="30">
        <v>115</v>
      </c>
      <c r="Z16" s="71">
        <v>51.423999999999999</v>
      </c>
      <c r="AA16" s="40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19"/>
      <c r="AY16" s="74"/>
      <c r="AZ16" s="74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40"/>
    </row>
    <row r="17" spans="1:67" ht="14.1" customHeight="1">
      <c r="A17" s="12">
        <v>115</v>
      </c>
      <c r="B17" s="75">
        <v>96</v>
      </c>
      <c r="C17" s="65"/>
      <c r="D17" s="104">
        <f>AVERAGE(U23:U24)</f>
        <v>563.66499999999996</v>
      </c>
      <c r="E17" s="66">
        <f>D17-$E$5</f>
        <v>530.64</v>
      </c>
      <c r="F17" s="116">
        <v>220</v>
      </c>
      <c r="G17" s="66">
        <f t="shared" si="0"/>
        <v>3790.0962</v>
      </c>
      <c r="H17" s="78">
        <f t="shared" si="1"/>
        <v>3948.0168750000003</v>
      </c>
      <c r="I17" s="33">
        <f>$C$15*A17+$C$16</f>
        <v>3703.9005099999999</v>
      </c>
      <c r="J17" s="113">
        <f>((($N$2-(130*$D$2*(((B17+B16)*0.01)/2))*((I17-I16)/(A17-A16))))/((I17+I16)/2))/$D$2</f>
        <v>1.4656849051216159</v>
      </c>
      <c r="K17" s="67">
        <f>$N$2/H17/$D$2</f>
        <v>1.453292578647676</v>
      </c>
      <c r="L17" s="67">
        <f>J17/($D$4/$D$2)</f>
        <v>2.753132671821644</v>
      </c>
      <c r="M17" s="107">
        <f>(((S17/60)*$J$1)/$D$2)</f>
        <v>0.98560354374307868</v>
      </c>
      <c r="N17" s="19">
        <f>K17-M17</f>
        <v>0.46768903490459734</v>
      </c>
      <c r="O17" s="67">
        <f>N17/($D$4/$D$2)</f>
        <v>0.87850393884062017</v>
      </c>
      <c r="P17" s="67"/>
      <c r="Q17" s="30"/>
      <c r="R17" s="108">
        <v>115</v>
      </c>
      <c r="S17" s="117">
        <v>30</v>
      </c>
      <c r="T17" s="40">
        <v>90</v>
      </c>
      <c r="U17" s="14">
        <v>607.41</v>
      </c>
      <c r="V17" s="15"/>
      <c r="W17" s="110"/>
      <c r="X17" s="69">
        <v>0.13800000000000001</v>
      </c>
      <c r="Y17" s="30">
        <v>120</v>
      </c>
      <c r="Z17" s="71">
        <v>52.993000000000002</v>
      </c>
      <c r="AA17" s="40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19"/>
      <c r="AY17" s="74"/>
      <c r="AZ17" s="74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40"/>
    </row>
    <row r="18" spans="1:67" ht="14.1" customHeight="1">
      <c r="A18" s="12">
        <v>120</v>
      </c>
      <c r="B18" s="118">
        <v>97</v>
      </c>
      <c r="C18" s="65"/>
      <c r="D18" s="104">
        <f>AVERAGE(U25:U26)</f>
        <v>544.03</v>
      </c>
      <c r="E18" s="66">
        <f>D18-$E$5</f>
        <v>511.005</v>
      </c>
      <c r="F18" s="116">
        <v>225</v>
      </c>
      <c r="G18" s="66">
        <f t="shared" si="0"/>
        <v>3649.8532125000002</v>
      </c>
      <c r="H18" s="78">
        <f t="shared" si="1"/>
        <v>3762.735270618557</v>
      </c>
      <c r="I18" s="33">
        <f>$C$15*A18+$C$16</f>
        <v>3716.514165</v>
      </c>
      <c r="J18" s="113">
        <f>((($N$2-(130*$D$2*(((B18+B17)*0.01)/2))*((I18-I17)/(A18-A17))))/((I18+I17)/2))/$D$2</f>
        <v>1.4611439544282037</v>
      </c>
      <c r="K18" s="67">
        <f>$N$2/H18/$D$2</f>
        <v>1.5248544508607111</v>
      </c>
      <c r="L18" s="67">
        <f>J18/($D$4/$D$2)</f>
        <v>2.7446029805684433</v>
      </c>
      <c r="M18" s="107">
        <f>(((S18/60)*$J$1)/$D$2)</f>
        <v>0.98560354374307868</v>
      </c>
      <c r="N18" s="19">
        <f>K18-M18</f>
        <v>0.53925090711763246</v>
      </c>
      <c r="O18" s="67">
        <f>N18/($D$4/$D$2)</f>
        <v>1.0129252784873464</v>
      </c>
      <c r="P18" s="67"/>
      <c r="Q18" s="30"/>
      <c r="R18" s="108">
        <v>120</v>
      </c>
      <c r="S18" s="117">
        <v>30</v>
      </c>
      <c r="T18" s="30"/>
      <c r="U18" s="14">
        <v>580.6</v>
      </c>
      <c r="V18" s="15"/>
      <c r="W18" s="110"/>
      <c r="X18" s="96">
        <f>AVERAGE(X13:X17)</f>
        <v>0.17899999999999999</v>
      </c>
      <c r="Y18" s="30" t="s">
        <v>107</v>
      </c>
      <c r="Z18" s="96">
        <f>AVERAGE(Z13:Z17)</f>
        <v>52.124400000000001</v>
      </c>
      <c r="AA18" s="30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5"/>
      <c r="AY18" s="95"/>
      <c r="AZ18" s="95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2"/>
      <c r="BO18" s="40"/>
    </row>
    <row r="19" spans="1:67" ht="14.1" customHeight="1" thickBot="1">
      <c r="A19" s="63"/>
      <c r="B19" s="98"/>
      <c r="C19" s="65"/>
      <c r="D19" s="99"/>
      <c r="E19" s="66"/>
      <c r="F19" s="63"/>
      <c r="G19" s="66"/>
      <c r="H19" s="66"/>
      <c r="I19" s="33"/>
      <c r="J19" s="113"/>
      <c r="K19" s="67"/>
      <c r="L19" s="67"/>
      <c r="M19" s="107"/>
      <c r="O19" s="67"/>
      <c r="P19" s="67"/>
      <c r="Q19" s="30"/>
      <c r="R19" s="108"/>
      <c r="S19" s="117"/>
      <c r="T19" s="41">
        <v>100</v>
      </c>
      <c r="U19" s="14">
        <v>558.47</v>
      </c>
      <c r="V19" s="15"/>
      <c r="W19" s="110"/>
      <c r="Y19" s="30"/>
      <c r="Z19" s="96"/>
      <c r="AA19" s="30"/>
      <c r="AB19" s="96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30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40"/>
    </row>
    <row r="20" spans="1:67" ht="14.1" customHeight="1" thickBot="1">
      <c r="A20" s="119" t="s">
        <v>112</v>
      </c>
      <c r="B20" s="120">
        <f>AVERAGE(B14:B19)</f>
        <v>99.6</v>
      </c>
      <c r="C20" s="121"/>
      <c r="D20" s="122">
        <f>AVERAGE(D14:D18)</f>
        <v>559.01900000000001</v>
      </c>
      <c r="E20" s="122">
        <f>AVERAGE(E14:E18)</f>
        <v>525.99399999999991</v>
      </c>
      <c r="F20" s="122"/>
      <c r="G20" s="122">
        <f>AVERAGE(G14:G18)</f>
        <v>3756.9121450000007</v>
      </c>
      <c r="H20" s="122">
        <f>AVERAGE(H14:H18)</f>
        <v>3773.7113144878576</v>
      </c>
      <c r="I20" s="122"/>
      <c r="J20" s="122">
        <f t="shared" ref="J20:O20" si="2">AVERAGE(J14:J18)</f>
        <v>1.4687347429045268</v>
      </c>
      <c r="K20" s="123">
        <f t="shared" si="2"/>
        <v>1.5266155625092499</v>
      </c>
      <c r="L20" s="122">
        <f t="shared" si="2"/>
        <v>2.7588614666086735</v>
      </c>
      <c r="M20" s="122">
        <f t="shared" si="2"/>
        <v>0.78848283499446292</v>
      </c>
      <c r="N20" s="123">
        <f t="shared" si="2"/>
        <v>0.78741290470194092</v>
      </c>
      <c r="O20" s="122">
        <f t="shared" si="2"/>
        <v>1.4790711063296498</v>
      </c>
      <c r="P20" s="124"/>
      <c r="Q20" s="30"/>
      <c r="R20" s="108"/>
      <c r="S20" s="117"/>
      <c r="T20" s="41"/>
      <c r="U20" s="14">
        <v>527.53</v>
      </c>
      <c r="V20" s="15"/>
      <c r="W20" s="110"/>
      <c r="X20" s="69">
        <v>5.3999999999999999E-2</v>
      </c>
      <c r="Y20" s="70">
        <v>210</v>
      </c>
      <c r="Z20" s="71">
        <v>266.58999999999997</v>
      </c>
      <c r="AA20" s="40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4"/>
      <c r="AY20" s="74"/>
      <c r="AZ20" s="74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40"/>
    </row>
    <row r="21" spans="1:67" ht="14.1" customHeight="1" thickBot="1">
      <c r="A21" s="70"/>
      <c r="B21" s="118"/>
      <c r="C21" s="36"/>
      <c r="D21" s="99"/>
      <c r="E21" s="33"/>
      <c r="F21" s="125" t="s">
        <v>113</v>
      </c>
      <c r="G21" s="33"/>
      <c r="H21" s="33"/>
      <c r="I21" s="126" t="s">
        <v>114</v>
      </c>
      <c r="J21" s="127">
        <f>J20-((B18-B15)*0.25*$D$2*10)/(30*$D$2)</f>
        <v>1.8854014095711935</v>
      </c>
      <c r="K21" s="74"/>
      <c r="L21" s="128" t="s">
        <v>33</v>
      </c>
      <c r="M21" s="129">
        <f>J21-M20</f>
        <v>1.0969185745767307</v>
      </c>
      <c r="N21" s="19"/>
      <c r="O21" s="74"/>
      <c r="P21" s="130">
        <f>$M$20-(((B18-B14)*1.3)/(A18-A14))</f>
        <v>1.1351495016611297</v>
      </c>
      <c r="Q21" s="30"/>
      <c r="R21" s="131"/>
      <c r="S21" s="117"/>
      <c r="T21" s="41">
        <v>110</v>
      </c>
      <c r="U21" s="14">
        <v>563.41</v>
      </c>
      <c r="V21" s="15"/>
      <c r="W21" s="110"/>
      <c r="X21" s="69">
        <v>8.9999999999999993E-3</v>
      </c>
      <c r="Y21" s="70">
        <v>220</v>
      </c>
      <c r="Z21" s="71">
        <v>233.24</v>
      </c>
      <c r="AA21" s="40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4"/>
      <c r="AY21" s="74"/>
      <c r="AZ21" s="74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40"/>
    </row>
    <row r="22" spans="1:67" ht="14.1" customHeight="1" thickBot="1">
      <c r="A22" s="63"/>
      <c r="B22" s="98"/>
      <c r="C22" s="65"/>
      <c r="D22" s="99"/>
      <c r="E22" s="66"/>
      <c r="F22" s="63"/>
      <c r="G22" s="66"/>
      <c r="H22" s="66"/>
      <c r="I22" s="33"/>
      <c r="J22" s="132"/>
      <c r="K22" s="67"/>
      <c r="L22" s="133"/>
      <c r="M22" s="134"/>
      <c r="N22" s="101"/>
      <c r="O22" s="133"/>
      <c r="P22" s="133"/>
      <c r="Q22" s="30"/>
      <c r="R22" s="102" t="s">
        <v>25</v>
      </c>
      <c r="S22" s="103" t="s">
        <v>109</v>
      </c>
      <c r="T22" s="30"/>
      <c r="U22" s="14">
        <v>537.38</v>
      </c>
      <c r="V22" s="15"/>
      <c r="W22" s="110"/>
      <c r="X22" s="69">
        <v>7.0999999999999994E-2</v>
      </c>
      <c r="Y22" s="70">
        <v>230</v>
      </c>
      <c r="Z22" s="71">
        <v>243.14</v>
      </c>
      <c r="AA22" s="40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4"/>
      <c r="AY22" s="74"/>
      <c r="AZ22" s="74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40"/>
    </row>
    <row r="23" spans="1:67" ht="14.1" customHeight="1">
      <c r="A23" s="63">
        <v>210</v>
      </c>
      <c r="B23" s="75">
        <v>100</v>
      </c>
      <c r="C23" s="65"/>
      <c r="D23" s="104">
        <f>AVERAGE(U31:U32)</f>
        <v>258.72500000000002</v>
      </c>
      <c r="E23" s="78">
        <f>D23-$E$5</f>
        <v>225.70000000000002</v>
      </c>
      <c r="F23" s="78"/>
      <c r="G23" s="78">
        <f t="shared" si="0"/>
        <v>1612.0622500000002</v>
      </c>
      <c r="H23" s="78">
        <f t="shared" si="1"/>
        <v>1612.0622500000002</v>
      </c>
      <c r="I23" s="33">
        <f>$C$24*A23+$C$25</f>
        <v>1404.8552639285713</v>
      </c>
      <c r="J23" s="105" t="s">
        <v>110</v>
      </c>
      <c r="K23" s="106" t="s">
        <v>111</v>
      </c>
      <c r="L23" s="67"/>
      <c r="M23" s="19">
        <f>(((S23/60)*$J$1)/$D$2)</f>
        <v>3.5153193060169805</v>
      </c>
      <c r="N23" s="101"/>
      <c r="O23" s="133"/>
      <c r="P23" s="133"/>
      <c r="Q23" s="30"/>
      <c r="R23" s="131">
        <v>210</v>
      </c>
      <c r="S23" s="117">
        <v>107</v>
      </c>
      <c r="T23" s="13">
        <v>115</v>
      </c>
      <c r="U23" s="14">
        <v>555.87</v>
      </c>
      <c r="V23" s="15"/>
      <c r="W23" s="110"/>
      <c r="X23" s="69">
        <v>3.6999999999999998E-2</v>
      </c>
      <c r="Y23" s="70">
        <v>235</v>
      </c>
      <c r="Z23" s="71">
        <v>249.51</v>
      </c>
      <c r="AA23" s="40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4"/>
      <c r="AY23" s="74"/>
      <c r="AZ23" s="74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40"/>
    </row>
    <row r="24" spans="1:67" ht="14.1" customHeight="1">
      <c r="A24" s="63">
        <v>220</v>
      </c>
      <c r="B24" s="75">
        <v>92</v>
      </c>
      <c r="C24" s="65">
        <f>SLOPE(G24:G27,A24:A27)</f>
        <v>-2.3833502142857079</v>
      </c>
      <c r="D24" s="104">
        <f>AVERAGE(U33:U34)</f>
        <v>221.16499999999999</v>
      </c>
      <c r="E24" s="66">
        <f>D24-$E$5</f>
        <v>188.14</v>
      </c>
      <c r="F24" s="111">
        <v>180</v>
      </c>
      <c r="G24" s="112">
        <f t="shared" si="0"/>
        <v>1343.7899499999999</v>
      </c>
      <c r="H24" s="112">
        <f t="shared" si="1"/>
        <v>1460.6412499999999</v>
      </c>
      <c r="I24" s="33">
        <f>$C$24*A24+$C$25</f>
        <v>1381.0217617857143</v>
      </c>
      <c r="J24" s="113">
        <f>((($N$2-(130*$D$2*(((B24+B23)*0.01)/2))*((I24-I23)/(A24-A23))))/((I24+I23)/2))/$D$2</f>
        <v>4.3326145955841557</v>
      </c>
      <c r="K24" s="114">
        <f>$N$2/H24/$D$2</f>
        <v>3.9281539014547824</v>
      </c>
      <c r="L24" s="114">
        <f>J24/($D$4/$D$2)</f>
        <v>8.1383541277068048</v>
      </c>
      <c r="M24" s="107">
        <f>(((S24/60)*$J$1)/$D$2)</f>
        <v>3.7781469176818017</v>
      </c>
      <c r="N24" s="19">
        <f>K24-M24</f>
        <v>0.15000698377298072</v>
      </c>
      <c r="O24" s="74">
        <f>N24/($D$4/$D$2)</f>
        <v>0.28177210980592343</v>
      </c>
      <c r="P24" s="74"/>
      <c r="Q24" s="30"/>
      <c r="R24" s="131">
        <v>220</v>
      </c>
      <c r="S24" s="117">
        <v>115</v>
      </c>
      <c r="U24" s="14">
        <v>571.46</v>
      </c>
      <c r="V24" s="15"/>
      <c r="W24" s="110"/>
      <c r="X24" s="69">
        <v>4.2999999999999997E-2</v>
      </c>
      <c r="Y24" s="70">
        <v>240</v>
      </c>
      <c r="Z24" s="71">
        <v>235.03</v>
      </c>
      <c r="AA24" s="40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4"/>
      <c r="AY24" s="74"/>
      <c r="AZ24" s="74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40"/>
    </row>
    <row r="25" spans="1:67" ht="14.1" customHeight="1">
      <c r="A25" s="63">
        <v>230</v>
      </c>
      <c r="B25" s="75">
        <v>94</v>
      </c>
      <c r="C25" s="65">
        <f>INTERCEPT(G24:G27,A24:A27)</f>
        <v>1905.3588089285699</v>
      </c>
      <c r="D25" s="104">
        <f>AVERAGE(U35:U36)</f>
        <v>236.565</v>
      </c>
      <c r="E25" s="66">
        <f>D25-$E$5</f>
        <v>203.54</v>
      </c>
      <c r="F25" s="111">
        <v>180</v>
      </c>
      <c r="G25" s="112">
        <f t="shared" si="0"/>
        <v>1453.7844499999999</v>
      </c>
      <c r="H25" s="112">
        <f t="shared" si="1"/>
        <v>1546.5792021276593</v>
      </c>
      <c r="I25" s="33">
        <f>$C$24*A25+$C$25</f>
        <v>1357.1882596428572</v>
      </c>
      <c r="J25" s="113">
        <f>((($N$2-(130*$D$2*(((B25+B24)*0.01)/2))*((I25-I24)/(A25-A24))))/((I25+I24)/2))/$D$2</f>
        <v>4.4012479821227748</v>
      </c>
      <c r="K25" s="114">
        <f>$N$2/H25/$D$2</f>
        <v>3.7098802420981278</v>
      </c>
      <c r="L25" s="114">
        <f>J25/($D$4/$D$2)</f>
        <v>8.2672746195512339</v>
      </c>
      <c r="M25" s="107">
        <f>(((S25/60)*$J$1)/$D$2)</f>
        <v>3.7781469176818017</v>
      </c>
      <c r="N25" s="19">
        <f>K25-M25</f>
        <v>-6.826667558367383E-2</v>
      </c>
      <c r="O25" s="114">
        <f>N25/($D$4/$D$2)</f>
        <v>-0.1282316644520988</v>
      </c>
      <c r="P25" s="74"/>
      <c r="Q25" s="30"/>
      <c r="R25" s="131">
        <v>230</v>
      </c>
      <c r="S25" s="117">
        <v>115</v>
      </c>
      <c r="T25" s="13">
        <v>120</v>
      </c>
      <c r="U25" s="14">
        <v>537.36</v>
      </c>
      <c r="V25" s="15"/>
      <c r="W25" s="110"/>
      <c r="X25" s="96">
        <f>AVERAGE(X20:X24)</f>
        <v>4.2800000000000005E-2</v>
      </c>
      <c r="Y25" s="57" t="s">
        <v>107</v>
      </c>
      <c r="Z25" s="96">
        <f>AVERAGE(Z20:Z24)</f>
        <v>245.50200000000001</v>
      </c>
      <c r="AA25" s="30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5"/>
      <c r="AY25" s="95"/>
      <c r="AZ25" s="95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40"/>
    </row>
    <row r="26" spans="1:67" ht="14.1" customHeight="1">
      <c r="A26" s="63">
        <v>235</v>
      </c>
      <c r="B26" s="75">
        <v>91</v>
      </c>
      <c r="C26" s="65"/>
      <c r="D26" s="104">
        <f>AVERAGE(U37:U38)</f>
        <v>215.17500000000001</v>
      </c>
      <c r="E26" s="66">
        <f>D26-$E$5</f>
        <v>182.15</v>
      </c>
      <c r="F26" s="111">
        <v>180</v>
      </c>
      <c r="G26" s="112">
        <f t="shared" si="0"/>
        <v>1301.0063750000002</v>
      </c>
      <c r="H26" s="112">
        <f t="shared" si="1"/>
        <v>1429.6773351648353</v>
      </c>
      <c r="I26" s="33">
        <f>$C$24*A26+$C$25</f>
        <v>1345.2715085714285</v>
      </c>
      <c r="J26" s="113">
        <f>((($N$2-(130*$D$2*(((B26+B25)*0.01)/2))*((I26-I25)/(A26-A25))))/((I26+I25)/2))/$D$2</f>
        <v>4.4583246410819264</v>
      </c>
      <c r="K26" s="114">
        <f>$N$2/H26/$D$2</f>
        <v>4.0132297572946891</v>
      </c>
      <c r="L26" s="114">
        <f>J26/($D$4/$D$2)</f>
        <v>8.3744870320075275</v>
      </c>
      <c r="M26" s="107">
        <f>(((S26/60)*$J$1)/$D$2)</f>
        <v>4.0081210778885197</v>
      </c>
      <c r="N26" s="19">
        <f>K26-M26</f>
        <v>5.1086794061694363E-3</v>
      </c>
      <c r="O26" s="114">
        <f>N26/($D$4/$D$2)</f>
        <v>9.596109050342189E-3</v>
      </c>
      <c r="P26" s="74"/>
      <c r="Q26" s="30"/>
      <c r="R26" s="131">
        <v>235</v>
      </c>
      <c r="S26" s="117">
        <v>122</v>
      </c>
      <c r="U26" s="14">
        <v>550.70000000000005</v>
      </c>
      <c r="V26" s="15"/>
      <c r="W26" s="11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</row>
    <row r="27" spans="1:67" ht="14.1" customHeight="1">
      <c r="A27" s="63">
        <v>240</v>
      </c>
      <c r="B27" s="118">
        <v>91</v>
      </c>
      <c r="C27" s="65"/>
      <c r="D27" s="104">
        <f>AVERAGE(U39:U40)</f>
        <v>217.59</v>
      </c>
      <c r="E27" s="66">
        <f>D27-$E$5</f>
        <v>184.565</v>
      </c>
      <c r="F27" s="111">
        <v>180</v>
      </c>
      <c r="G27" s="112">
        <f t="shared" si="0"/>
        <v>1318.2555124999999</v>
      </c>
      <c r="H27" s="112">
        <f t="shared" si="1"/>
        <v>1448.6324313186813</v>
      </c>
      <c r="I27" s="33">
        <f>$C$24*A27+$C$25</f>
        <v>1333.3547575</v>
      </c>
      <c r="J27" s="113">
        <f>((($N$2-(130*$D$2*(((B27+B26)*0.01)/2))*((I27-I26)/(A27-A26))))/((I27+I26)/2))/$D$2</f>
        <v>4.4945232049798536</v>
      </c>
      <c r="K27" s="114">
        <f>$N$2/H27/$D$2</f>
        <v>3.9607173640247484</v>
      </c>
      <c r="L27" s="114">
        <f>J27/($D$4/$D$2)</f>
        <v>8.4424821710665174</v>
      </c>
      <c r="M27" s="107">
        <f>(((S27/60)*$J$1)/$D$2)</f>
        <v>4.5009228497600589</v>
      </c>
      <c r="N27" s="19">
        <f>K27-M27</f>
        <v>-0.54020548573531046</v>
      </c>
      <c r="O27" s="114">
        <f>N27/($D$4/$D$2)</f>
        <v>-1.0147183525450572</v>
      </c>
      <c r="P27" s="74"/>
      <c r="Q27" s="30"/>
      <c r="R27" s="131">
        <v>240</v>
      </c>
      <c r="S27" s="117">
        <v>137</v>
      </c>
      <c r="T27" s="13">
        <v>150</v>
      </c>
      <c r="U27" s="14">
        <v>426.1</v>
      </c>
      <c r="V27" s="15"/>
      <c r="W27" s="11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</row>
    <row r="28" spans="1:67" ht="14.1" customHeight="1" thickBot="1">
      <c r="A28" s="63"/>
      <c r="B28" s="118"/>
      <c r="C28" s="65"/>
      <c r="D28" s="99"/>
      <c r="E28" s="66"/>
      <c r="F28" s="135"/>
      <c r="G28" s="112"/>
      <c r="H28" s="112"/>
      <c r="I28" s="33"/>
      <c r="J28" s="113"/>
      <c r="K28" s="114"/>
      <c r="L28" s="114"/>
      <c r="M28" s="107"/>
      <c r="N28" s="107"/>
      <c r="O28" s="114"/>
      <c r="P28" s="74"/>
      <c r="Q28" s="30"/>
      <c r="R28" s="108"/>
      <c r="S28" s="117"/>
      <c r="U28" s="14">
        <v>430.37</v>
      </c>
      <c r="V28" s="15"/>
      <c r="W28" s="110"/>
      <c r="X28" s="69"/>
      <c r="Y28" s="13" t="s">
        <v>115</v>
      </c>
    </row>
    <row r="29" spans="1:67" ht="14.1" customHeight="1" thickBot="1">
      <c r="A29" s="119" t="s">
        <v>112</v>
      </c>
      <c r="B29" s="122">
        <f>AVERAGE(B23:B28)</f>
        <v>93.6</v>
      </c>
      <c r="C29" s="121"/>
      <c r="D29" s="122">
        <f>AVERAGE(D23:D28)</f>
        <v>229.84399999999997</v>
      </c>
      <c r="E29" s="122">
        <f>AVERAGE(E23:E28)</f>
        <v>196.81900000000002</v>
      </c>
      <c r="F29" s="122">
        <f>AVERAGE(F24:F28)</f>
        <v>180</v>
      </c>
      <c r="G29" s="122">
        <f>AVERAGE(G23:G28)</f>
        <v>1405.7797075000001</v>
      </c>
      <c r="H29" s="122">
        <f>AVERAGE(H23:H28)</f>
        <v>1499.5184937222352</v>
      </c>
      <c r="I29" s="122"/>
      <c r="J29" s="122">
        <f t="shared" ref="J29:O29" si="3">AVERAGE(J23:J28)</f>
        <v>4.4216776059421772</v>
      </c>
      <c r="K29" s="123">
        <f t="shared" si="3"/>
        <v>3.902995316218087</v>
      </c>
      <c r="L29" s="122">
        <f t="shared" si="3"/>
        <v>8.30564948758302</v>
      </c>
      <c r="M29" s="122">
        <f t="shared" si="3"/>
        <v>3.9161314138058332</v>
      </c>
      <c r="N29" s="123">
        <f t="shared" si="3"/>
        <v>-0.11333912453495854</v>
      </c>
      <c r="O29" s="122">
        <f t="shared" si="3"/>
        <v>-0.21289544953522258</v>
      </c>
      <c r="P29" s="122"/>
      <c r="Q29" s="136"/>
      <c r="R29" s="137"/>
      <c r="S29" s="138"/>
      <c r="T29" s="13">
        <v>180</v>
      </c>
      <c r="U29" s="14">
        <v>287.2</v>
      </c>
      <c r="V29" s="15"/>
      <c r="W29" s="110"/>
      <c r="X29" s="69"/>
      <c r="Y29" s="13" t="s">
        <v>116</v>
      </c>
    </row>
    <row r="30" spans="1:67" ht="14.1" customHeight="1">
      <c r="A30" s="70"/>
      <c r="B30" s="139"/>
      <c r="C30" s="36"/>
      <c r="D30" s="99"/>
      <c r="E30" s="33"/>
      <c r="F30" s="125" t="s">
        <v>117</v>
      </c>
      <c r="G30" s="33"/>
      <c r="H30" s="33"/>
      <c r="I30" s="140" t="s">
        <v>114</v>
      </c>
      <c r="J30" s="141">
        <f>J29-((B27-B24)*0.25*$D$2*10)/(20*$D$2)</f>
        <v>4.5466776059421772</v>
      </c>
      <c r="K30" s="74"/>
      <c r="L30" s="142" t="s">
        <v>33</v>
      </c>
      <c r="M30" s="143">
        <f>J30-M29</f>
        <v>0.630546192136344</v>
      </c>
      <c r="N30" s="19">
        <f>AVERAGE(J24:J25)-M29</f>
        <v>0.45079987504763164</v>
      </c>
      <c r="O30" s="74"/>
      <c r="P30" s="130">
        <f>$M$29-(((B27-B23)*1.3)/(A27-A23))</f>
        <v>4.3061314138058329</v>
      </c>
      <c r="Q30" s="30"/>
      <c r="R30" s="63"/>
      <c r="S30" s="144"/>
      <c r="U30" s="14">
        <v>296.88</v>
      </c>
      <c r="V30" s="15"/>
      <c r="W30" s="110"/>
      <c r="X30" s="69"/>
      <c r="Y30" s="13" t="s">
        <v>118</v>
      </c>
    </row>
    <row r="31" spans="1:67" ht="14.1" customHeight="1">
      <c r="A31" s="145"/>
      <c r="B31" s="139"/>
      <c r="C31" s="146"/>
      <c r="D31" s="147"/>
      <c r="E31" s="148"/>
      <c r="F31" s="145"/>
      <c r="G31" s="148"/>
      <c r="H31" s="148"/>
      <c r="I31" s="148"/>
      <c r="J31" s="149"/>
      <c r="K31" s="150"/>
      <c r="L31" s="133"/>
      <c r="M31" s="134"/>
      <c r="N31" s="101"/>
      <c r="O31" s="150"/>
      <c r="P31" s="150"/>
      <c r="Q31" s="96"/>
      <c r="R31" s="151"/>
      <c r="S31" s="101" t="s">
        <v>32</v>
      </c>
      <c r="T31" s="13">
        <v>210</v>
      </c>
      <c r="U31" s="14">
        <v>250.53</v>
      </c>
      <c r="V31" s="15"/>
      <c r="W31" s="110"/>
      <c r="X31" s="69"/>
      <c r="Y31" s="13" t="s">
        <v>119</v>
      </c>
    </row>
    <row r="32" spans="1:67" ht="14.1" customHeight="1">
      <c r="A32" s="145"/>
      <c r="B32" s="148"/>
      <c r="C32" s="146"/>
      <c r="D32" s="147"/>
      <c r="E32" s="148"/>
      <c r="F32" s="148"/>
      <c r="G32" s="148"/>
      <c r="H32" s="148"/>
      <c r="I32" s="148"/>
      <c r="J32" s="152"/>
      <c r="K32" s="153"/>
      <c r="L32" s="58"/>
      <c r="M32" s="124"/>
      <c r="N32" s="101"/>
      <c r="O32" s="150"/>
      <c r="P32" s="150"/>
      <c r="Q32" s="96"/>
      <c r="R32" s="145"/>
      <c r="S32" s="58"/>
      <c r="U32" s="14">
        <v>266.92</v>
      </c>
      <c r="V32" s="15"/>
      <c r="W32" s="110"/>
      <c r="X32" s="69"/>
      <c r="Y32" s="13" t="s">
        <v>120</v>
      </c>
    </row>
    <row r="33" spans="1:99" ht="14.1" customHeight="1">
      <c r="A33" s="145"/>
      <c r="B33" s="148"/>
      <c r="C33" s="146"/>
      <c r="D33" s="147"/>
      <c r="E33" s="148"/>
      <c r="F33" s="145"/>
      <c r="G33" s="148"/>
      <c r="H33" s="148"/>
      <c r="I33" s="148"/>
      <c r="J33" s="149"/>
      <c r="K33" s="150"/>
      <c r="L33" s="150"/>
      <c r="M33" s="124"/>
      <c r="N33" s="124"/>
      <c r="O33" s="150"/>
      <c r="P33" s="150"/>
      <c r="Q33" s="96"/>
      <c r="R33" s="145"/>
      <c r="S33" s="58"/>
      <c r="T33" s="13">
        <v>220</v>
      </c>
      <c r="U33" s="14">
        <v>225.79</v>
      </c>
      <c r="V33" s="15"/>
      <c r="W33" s="110"/>
      <c r="X33" s="69"/>
      <c r="Y33" s="20" t="s">
        <v>121</v>
      </c>
    </row>
    <row r="34" spans="1:99" ht="14.1" customHeight="1">
      <c r="A34" s="145"/>
      <c r="B34" s="148"/>
      <c r="C34" s="146"/>
      <c r="D34" s="147"/>
      <c r="E34" s="148"/>
      <c r="F34" s="145"/>
      <c r="G34" s="148"/>
      <c r="H34" s="148"/>
      <c r="I34" s="148"/>
      <c r="J34" s="149"/>
      <c r="K34" s="150"/>
      <c r="L34" s="150"/>
      <c r="M34" s="124"/>
      <c r="N34" s="124"/>
      <c r="O34" s="150"/>
      <c r="P34" s="150"/>
      <c r="Q34" s="96"/>
      <c r="R34" s="145"/>
      <c r="S34" s="58"/>
      <c r="U34" s="14">
        <v>216.54</v>
      </c>
      <c r="V34" s="15"/>
      <c r="W34" s="110"/>
    </row>
    <row r="35" spans="1:99" ht="14.1" customHeight="1">
      <c r="A35" s="145"/>
      <c r="B35" s="148"/>
      <c r="C35" s="146"/>
      <c r="D35" s="147"/>
      <c r="E35" s="148"/>
      <c r="F35" s="145"/>
      <c r="G35" s="148"/>
      <c r="H35" s="148"/>
      <c r="I35" s="148"/>
      <c r="J35" s="149"/>
      <c r="K35" s="150"/>
      <c r="L35" s="150"/>
      <c r="M35" s="124"/>
      <c r="N35" s="124"/>
      <c r="O35" s="150"/>
      <c r="P35" s="150"/>
      <c r="Q35" s="96"/>
      <c r="R35" s="145"/>
      <c r="S35" s="58"/>
      <c r="T35" s="13">
        <v>230</v>
      </c>
      <c r="U35" s="14">
        <v>232.16</v>
      </c>
      <c r="V35" s="15"/>
      <c r="W35" s="110"/>
    </row>
    <row r="36" spans="1:99" ht="14.1" customHeight="1">
      <c r="A36" s="145"/>
      <c r="B36" s="139"/>
      <c r="C36" s="146"/>
      <c r="D36" s="147"/>
      <c r="E36" s="148"/>
      <c r="F36" s="145"/>
      <c r="G36" s="148"/>
      <c r="H36" s="148"/>
      <c r="I36" s="148"/>
      <c r="J36" s="149"/>
      <c r="K36" s="150"/>
      <c r="L36" s="150"/>
      <c r="M36" s="124"/>
      <c r="N36" s="124"/>
      <c r="O36" s="150"/>
      <c r="P36" s="150"/>
      <c r="Q36" s="96"/>
      <c r="R36" s="145"/>
      <c r="S36" s="58"/>
      <c r="U36" s="14">
        <v>240.97</v>
      </c>
      <c r="V36" s="15"/>
      <c r="W36" s="110"/>
      <c r="X36"/>
    </row>
    <row r="37" spans="1:99" ht="14.1" customHeight="1">
      <c r="A37" s="145"/>
      <c r="B37" s="139"/>
      <c r="C37" s="146"/>
      <c r="D37" s="147"/>
      <c r="E37" s="148"/>
      <c r="F37" s="145"/>
      <c r="G37" s="148"/>
      <c r="H37" s="148"/>
      <c r="I37" s="148"/>
      <c r="J37" s="149"/>
      <c r="K37" s="150"/>
      <c r="L37" s="150"/>
      <c r="M37" s="124"/>
      <c r="N37" s="124"/>
      <c r="O37" s="150"/>
      <c r="P37" s="150"/>
      <c r="Q37" s="96"/>
      <c r="R37" s="96"/>
      <c r="S37" s="58"/>
      <c r="T37" s="13">
        <v>235</v>
      </c>
      <c r="U37" s="14">
        <v>225.03</v>
      </c>
      <c r="V37" s="15"/>
      <c r="W37" s="15"/>
      <c r="X37" s="6"/>
    </row>
    <row r="38" spans="1:99" s="156" customFormat="1" ht="14.1" customHeight="1">
      <c r="A38" s="154"/>
      <c r="B38" s="139"/>
      <c r="C38" s="155"/>
      <c r="D38" s="139"/>
      <c r="E38" s="139"/>
      <c r="F38" s="139"/>
      <c r="G38" s="139"/>
      <c r="H38" s="139"/>
      <c r="I38" s="139"/>
      <c r="J38" s="124"/>
      <c r="K38" s="124"/>
      <c r="L38" s="124"/>
      <c r="M38" s="124"/>
      <c r="N38" s="124"/>
      <c r="O38" s="124"/>
      <c r="P38" s="124"/>
      <c r="Q38" s="155"/>
      <c r="R38" s="145"/>
      <c r="S38" s="58"/>
      <c r="T38" s="13"/>
      <c r="U38" s="14">
        <v>205.32</v>
      </c>
      <c r="V38" s="15"/>
      <c r="W38" s="15"/>
      <c r="X38" s="6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</row>
    <row r="39" spans="1:99" s="3" customFormat="1" ht="14.1" customHeight="1">
      <c r="A39" s="157"/>
      <c r="B39" s="158"/>
      <c r="C39" s="159"/>
      <c r="D39" s="160"/>
      <c r="E39" s="160"/>
      <c r="F39" s="161"/>
      <c r="G39" s="160"/>
      <c r="H39" s="148"/>
      <c r="I39" s="162"/>
      <c r="J39" s="163"/>
      <c r="K39" s="150"/>
      <c r="L39" s="155"/>
      <c r="M39" s="134"/>
      <c r="N39" s="155"/>
      <c r="O39" s="155"/>
      <c r="P39" s="155"/>
      <c r="Q39" s="58"/>
      <c r="R39" s="58"/>
      <c r="S39" s="58"/>
      <c r="T39" s="13">
        <v>240</v>
      </c>
      <c r="U39" s="14">
        <v>213.72</v>
      </c>
      <c r="V39" s="15"/>
      <c r="W39" s="15"/>
      <c r="X39" s="6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</row>
    <row r="40" spans="1:99" ht="14.1" customHeight="1">
      <c r="A40" s="164"/>
      <c r="B40" s="165"/>
      <c r="C40" s="164"/>
      <c r="D40" s="148"/>
      <c r="E40" s="164"/>
      <c r="F40" s="164"/>
      <c r="G40" s="96"/>
      <c r="H40" s="101"/>
      <c r="I40" s="58"/>
      <c r="J40" s="155"/>
      <c r="K40" s="166"/>
      <c r="L40" s="167"/>
      <c r="M40" s="168"/>
      <c r="N40" s="134"/>
      <c r="O40" s="169"/>
      <c r="P40" s="169"/>
      <c r="Q40" s="58"/>
      <c r="R40" s="58"/>
      <c r="S40" s="58"/>
      <c r="U40" s="14">
        <v>221.46</v>
      </c>
      <c r="V40" s="15"/>
      <c r="W40" s="15"/>
    </row>
    <row r="41" spans="1:99" ht="14.1" customHeight="1">
      <c r="A41" s="164"/>
      <c r="B41" s="170"/>
      <c r="C41" s="164"/>
      <c r="D41" s="171"/>
      <c r="E41" s="164"/>
      <c r="F41" s="164"/>
      <c r="G41" s="124"/>
      <c r="H41" s="58"/>
      <c r="I41" s="58"/>
      <c r="J41" s="170"/>
      <c r="K41" s="170"/>
      <c r="L41" s="96"/>
      <c r="M41" s="172"/>
      <c r="N41" s="160"/>
      <c r="O41" s="58"/>
      <c r="P41" s="58"/>
      <c r="Q41" s="58"/>
      <c r="R41" s="58"/>
      <c r="S41" s="58"/>
      <c r="U41" s="173"/>
      <c r="V41" s="174"/>
      <c r="W41" s="175"/>
    </row>
    <row r="42" spans="1:99" ht="14.1" customHeight="1">
      <c r="A42" s="3"/>
      <c r="B42" s="3"/>
      <c r="C42" s="3"/>
      <c r="D42" s="33"/>
      <c r="E42" s="3"/>
      <c r="F42" s="3"/>
      <c r="G42" s="19"/>
      <c r="H42" s="40"/>
      <c r="I42" s="40"/>
      <c r="J42" s="30"/>
      <c r="K42" s="30"/>
      <c r="L42" s="30"/>
      <c r="M42" s="30"/>
      <c r="N42" s="33"/>
      <c r="O42" s="33"/>
      <c r="P42" s="33"/>
      <c r="Q42" s="40"/>
      <c r="R42" s="40"/>
      <c r="U42" s="173"/>
      <c r="V42" s="174"/>
      <c r="W42" s="175"/>
    </row>
    <row r="43" spans="1:99" ht="14.1" customHeight="1">
      <c r="A43" s="30"/>
      <c r="B43" s="176"/>
      <c r="C43" s="3"/>
      <c r="D43" s="33"/>
      <c r="E43" s="177"/>
      <c r="F43" s="177"/>
      <c r="G43" s="33"/>
      <c r="H43" s="174"/>
      <c r="I43" s="40"/>
      <c r="J43" s="30"/>
      <c r="K43" s="30"/>
      <c r="L43" s="30"/>
      <c r="M43" s="33"/>
      <c r="N43" s="178"/>
      <c r="O43" s="33"/>
      <c r="P43" s="33"/>
      <c r="Q43" s="40"/>
      <c r="R43" s="40"/>
      <c r="U43" s="173"/>
      <c r="V43" s="174"/>
      <c r="W43" s="175"/>
    </row>
    <row r="44" spans="1:99" ht="14.1" customHeight="1">
      <c r="A44" s="3"/>
      <c r="B44" s="30"/>
      <c r="C44" s="3"/>
      <c r="D44" s="41"/>
      <c r="E44" s="42"/>
      <c r="F44" s="42"/>
      <c r="G44" s="19"/>
      <c r="H44" s="19"/>
      <c r="I44" s="30"/>
      <c r="J44" s="179"/>
      <c r="K44" s="179"/>
      <c r="L44" s="180"/>
      <c r="M44" s="39"/>
      <c r="N44" s="179"/>
      <c r="O44" s="180"/>
      <c r="P44" s="180"/>
      <c r="Q44" s="46"/>
      <c r="R44" s="46"/>
      <c r="U44" s="173"/>
      <c r="V44" s="174"/>
      <c r="W44" s="175"/>
    </row>
    <row r="45" spans="1:99" s="1" customFormat="1" ht="14.1" customHeight="1">
      <c r="A45" s="3"/>
      <c r="B45" s="181"/>
      <c r="C45" s="181"/>
      <c r="D45" s="25"/>
      <c r="E45" s="181"/>
      <c r="F45" s="181"/>
      <c r="G45" s="181"/>
      <c r="H45" s="95"/>
      <c r="I45" s="95"/>
      <c r="J45" s="182"/>
      <c r="K45" s="182"/>
      <c r="L45" s="182"/>
      <c r="M45" s="182"/>
      <c r="N45" s="182"/>
      <c r="O45" s="54"/>
      <c r="P45" s="54"/>
      <c r="Q45" s="55"/>
      <c r="R45" s="55"/>
      <c r="S45" s="13"/>
      <c r="T45" s="13"/>
      <c r="U45" s="173"/>
      <c r="V45" s="40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</row>
    <row r="46" spans="1:99" ht="14.1" customHeight="1">
      <c r="A46" s="70"/>
      <c r="B46" s="33"/>
      <c r="C46" s="36"/>
      <c r="D46" s="33"/>
      <c r="E46" s="33"/>
      <c r="F46" s="33"/>
      <c r="G46" s="33"/>
      <c r="H46" s="33"/>
      <c r="I46" s="33"/>
      <c r="J46" s="74"/>
      <c r="K46" s="74"/>
      <c r="L46" s="74"/>
      <c r="M46" s="30"/>
      <c r="N46" s="19"/>
      <c r="O46" s="74"/>
      <c r="P46" s="74"/>
      <c r="Q46" s="30"/>
      <c r="R46" s="30"/>
      <c r="U46" s="173"/>
    </row>
    <row r="47" spans="1:99" ht="14.1" customHeight="1">
      <c r="A47" s="70"/>
      <c r="B47" s="33"/>
      <c r="C47" s="36"/>
      <c r="D47" s="33"/>
      <c r="E47" s="33"/>
      <c r="F47" s="33"/>
      <c r="G47" s="33"/>
      <c r="H47" s="33"/>
      <c r="I47" s="33"/>
      <c r="J47" s="74"/>
      <c r="K47" s="74"/>
      <c r="L47" s="74"/>
      <c r="M47" s="30"/>
      <c r="N47" s="19"/>
      <c r="O47" s="74"/>
      <c r="P47" s="74"/>
      <c r="Q47" s="30"/>
      <c r="R47" s="30"/>
      <c r="T47" s="40"/>
      <c r="U47" s="173"/>
    </row>
    <row r="48" spans="1:99" s="80" customFormat="1" ht="14.1" customHeight="1">
      <c r="A48" s="183"/>
      <c r="B48" s="25"/>
      <c r="C48" s="184"/>
      <c r="D48" s="25"/>
      <c r="E48" s="25"/>
      <c r="F48" s="25"/>
      <c r="G48" s="25"/>
      <c r="H48" s="25"/>
      <c r="I48" s="25"/>
      <c r="J48" s="95"/>
      <c r="K48" s="95"/>
      <c r="L48" s="95"/>
      <c r="M48" s="95"/>
      <c r="N48" s="95"/>
      <c r="O48" s="95"/>
      <c r="P48" s="95"/>
      <c r="Q48" s="95"/>
      <c r="R48" s="95"/>
      <c r="S48" s="13"/>
      <c r="T48" s="40"/>
      <c r="U48" s="17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</row>
    <row r="49" spans="1:99" ht="14.1" customHeight="1">
      <c r="A49" s="30"/>
      <c r="B49" s="176"/>
      <c r="C49" s="185"/>
      <c r="D49" s="33"/>
      <c r="E49" s="40"/>
      <c r="F49" s="40"/>
      <c r="G49" s="40"/>
      <c r="H49" s="40"/>
      <c r="I49" s="40"/>
      <c r="J49" s="40"/>
      <c r="K49" s="40"/>
      <c r="L49" s="40"/>
      <c r="M49" s="30"/>
      <c r="N49" s="40"/>
      <c r="O49" s="40"/>
      <c r="P49" s="40"/>
      <c r="Q49" s="30"/>
      <c r="R49" s="30"/>
      <c r="T49" s="40"/>
      <c r="U49" s="173"/>
    </row>
    <row r="50" spans="1:99" ht="14.1" customHeight="1">
      <c r="A50" s="30"/>
      <c r="B50" s="176"/>
      <c r="C50" s="185"/>
      <c r="D50" s="33"/>
      <c r="E50" s="40"/>
      <c r="F50" s="40"/>
      <c r="G50" s="40"/>
      <c r="H50" s="40"/>
      <c r="I50" s="40"/>
      <c r="J50" s="40"/>
      <c r="K50" s="40"/>
      <c r="L50" s="40"/>
      <c r="M50" s="30"/>
      <c r="N50" s="40"/>
      <c r="O50" s="40"/>
      <c r="P50" s="40"/>
      <c r="Q50" s="30"/>
      <c r="R50" s="30"/>
      <c r="T50" s="40"/>
      <c r="U50" s="173"/>
    </row>
    <row r="51" spans="1:99" ht="14.1" customHeight="1">
      <c r="A51" s="30"/>
      <c r="B51" s="176"/>
      <c r="C51" s="185"/>
      <c r="D51" s="33"/>
      <c r="E51" s="40"/>
      <c r="F51" s="40"/>
      <c r="G51" s="40"/>
      <c r="H51" s="40"/>
      <c r="I51" s="40"/>
      <c r="J51" s="40"/>
      <c r="K51" s="40"/>
      <c r="L51" s="40"/>
      <c r="M51" s="19"/>
      <c r="N51" s="40"/>
      <c r="O51" s="40"/>
      <c r="P51" s="40"/>
      <c r="Q51" s="30"/>
      <c r="R51" s="30"/>
      <c r="T51" s="40"/>
      <c r="U51" s="173"/>
    </row>
    <row r="52" spans="1:99" ht="14.1" customHeight="1">
      <c r="A52" s="30"/>
      <c r="B52" s="176"/>
      <c r="C52" s="185"/>
      <c r="D52" s="33"/>
      <c r="E52" s="40"/>
      <c r="F52" s="40"/>
      <c r="G52" s="40"/>
      <c r="H52" s="40"/>
      <c r="I52" s="40"/>
      <c r="J52" s="40"/>
      <c r="K52" s="40"/>
      <c r="L52" s="40"/>
      <c r="M52" s="19"/>
      <c r="N52" s="40"/>
      <c r="O52" s="40"/>
      <c r="P52" s="40"/>
      <c r="Q52" s="30"/>
      <c r="R52" s="30"/>
      <c r="U52" s="173"/>
    </row>
    <row r="53" spans="1:99" ht="14.1" customHeight="1">
      <c r="A53" s="30"/>
      <c r="B53" s="176"/>
      <c r="C53" s="186"/>
      <c r="D53" s="33"/>
      <c r="E53" s="33"/>
      <c r="F53" s="33"/>
      <c r="G53" s="33"/>
      <c r="H53" s="33"/>
      <c r="I53" s="33"/>
      <c r="J53" s="187"/>
      <c r="K53" s="188"/>
      <c r="L53" s="40"/>
      <c r="M53" s="19"/>
      <c r="N53" s="40"/>
      <c r="O53" s="40"/>
      <c r="P53" s="40"/>
      <c r="Q53" s="30"/>
      <c r="R53" s="30"/>
      <c r="U53" s="173"/>
    </row>
    <row r="54" spans="1:99" ht="14.1" customHeight="1">
      <c r="A54" s="70"/>
      <c r="B54" s="189"/>
      <c r="C54" s="36"/>
      <c r="D54" s="33"/>
      <c r="E54" s="33"/>
      <c r="F54" s="33"/>
      <c r="G54" s="33"/>
      <c r="H54" s="33"/>
      <c r="I54" s="33"/>
      <c r="J54" s="132"/>
      <c r="K54" s="74"/>
      <c r="L54" s="74"/>
      <c r="M54" s="19"/>
      <c r="N54" s="19"/>
      <c r="O54" s="74"/>
      <c r="P54" s="74"/>
      <c r="Q54" s="30"/>
      <c r="R54" s="30"/>
      <c r="U54" s="173"/>
    </row>
    <row r="55" spans="1:99" ht="14.1" customHeight="1">
      <c r="A55" s="70"/>
      <c r="B55" s="189"/>
      <c r="C55" s="36"/>
      <c r="D55" s="33"/>
      <c r="E55" s="33"/>
      <c r="F55" s="33"/>
      <c r="G55" s="33"/>
      <c r="H55" s="33"/>
      <c r="I55" s="33"/>
      <c r="J55" s="132"/>
      <c r="K55" s="74"/>
      <c r="L55" s="74"/>
      <c r="M55" s="19"/>
      <c r="N55" s="19"/>
      <c r="O55" s="74"/>
      <c r="P55" s="74"/>
      <c r="Q55" s="30"/>
      <c r="R55" s="30"/>
      <c r="U55" s="173"/>
    </row>
    <row r="56" spans="1:99" s="30" customFormat="1" ht="14.1" customHeight="1">
      <c r="A56" s="70"/>
      <c r="B56" s="189"/>
      <c r="C56" s="36"/>
      <c r="D56" s="33"/>
      <c r="E56" s="33"/>
      <c r="F56" s="33"/>
      <c r="G56" s="33"/>
      <c r="H56" s="33"/>
      <c r="I56" s="33"/>
      <c r="J56" s="132"/>
      <c r="K56" s="74"/>
      <c r="L56" s="74"/>
      <c r="M56" s="19"/>
      <c r="N56" s="19"/>
      <c r="O56" s="74"/>
      <c r="P56" s="74"/>
      <c r="S56" s="13"/>
      <c r="T56" s="13"/>
      <c r="U56" s="17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</row>
    <row r="57" spans="1:99" ht="14.1" customHeight="1">
      <c r="A57" s="70"/>
      <c r="B57" s="189"/>
      <c r="C57" s="36"/>
      <c r="D57" s="33"/>
      <c r="E57" s="33"/>
      <c r="F57" s="33"/>
      <c r="G57" s="33"/>
      <c r="H57" s="33"/>
      <c r="I57" s="33"/>
      <c r="J57" s="132"/>
      <c r="K57" s="74"/>
      <c r="L57" s="74"/>
      <c r="M57" s="19"/>
      <c r="N57" s="19"/>
      <c r="O57" s="74"/>
      <c r="P57" s="74"/>
      <c r="Q57" s="30"/>
      <c r="R57" s="30"/>
      <c r="U57" s="173"/>
    </row>
    <row r="58" spans="1:99" ht="14.1" customHeight="1">
      <c r="A58" s="183"/>
      <c r="B58" s="25"/>
      <c r="C58" s="184"/>
      <c r="D58" s="25"/>
      <c r="E58" s="25"/>
      <c r="F58" s="25"/>
      <c r="G58" s="25"/>
      <c r="H58" s="25"/>
      <c r="I58" s="25"/>
      <c r="J58" s="95"/>
      <c r="K58" s="95"/>
      <c r="L58" s="95"/>
      <c r="M58" s="95"/>
      <c r="N58" s="95"/>
      <c r="O58" s="95"/>
      <c r="P58" s="95"/>
      <c r="Q58" s="95"/>
      <c r="R58" s="95"/>
      <c r="U58" s="173"/>
    </row>
    <row r="59" spans="1:99" s="115" customFormat="1" ht="14.1" customHeight="1">
      <c r="A59" s="40"/>
      <c r="B59" s="40"/>
      <c r="C59" s="40"/>
      <c r="D59" s="19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13"/>
      <c r="T59" s="13"/>
      <c r="U59" s="17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</row>
    <row r="60" spans="1:99" s="30" customFormat="1" ht="14.1" customHeight="1">
      <c r="A60" s="191"/>
      <c r="B60" s="40"/>
      <c r="C60" s="40"/>
      <c r="D60" s="19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13"/>
      <c r="T60" s="13"/>
      <c r="U60" s="17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</row>
    <row r="61" spans="1:99" ht="14.1" customHeight="1">
      <c r="A61" s="40"/>
      <c r="B61" s="40"/>
      <c r="C61" s="40"/>
      <c r="D61" s="19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U61" s="173"/>
    </row>
    <row r="62" spans="1:99" ht="14.1" customHeight="1">
      <c r="A62" s="40"/>
      <c r="B62" s="40"/>
      <c r="C62" s="40"/>
      <c r="D62" s="19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U62" s="173"/>
    </row>
    <row r="63" spans="1:99" ht="14.1" customHeight="1">
      <c r="A63" s="40"/>
      <c r="B63" s="40"/>
      <c r="C63" s="40"/>
      <c r="D63" s="19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U63" s="173"/>
    </row>
    <row r="64" spans="1:99" s="156" customFormat="1" ht="14.1" customHeight="1">
      <c r="A64" s="30"/>
      <c r="B64" s="189"/>
      <c r="C64" s="36"/>
      <c r="D64" s="33"/>
      <c r="E64" s="189"/>
      <c r="F64" s="189"/>
      <c r="G64" s="19"/>
      <c r="H64" s="30"/>
      <c r="I64" s="30"/>
      <c r="J64" s="30"/>
      <c r="K64" s="30"/>
      <c r="L64" s="30"/>
      <c r="M64" s="30"/>
      <c r="N64" s="19"/>
      <c r="O64" s="30"/>
      <c r="P64" s="30"/>
      <c r="Q64" s="40"/>
      <c r="R64" s="40"/>
      <c r="S64" s="13"/>
      <c r="T64" s="13"/>
      <c r="U64" s="17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</row>
    <row r="65" spans="1:21" s="13" customFormat="1" ht="14.1" customHeight="1">
      <c r="A65" s="30"/>
      <c r="B65" s="189"/>
      <c r="C65" s="36"/>
      <c r="D65" s="33"/>
      <c r="E65" s="189"/>
      <c r="F65" s="189"/>
      <c r="G65" s="19"/>
      <c r="H65" s="30"/>
      <c r="I65" s="30"/>
      <c r="J65" s="30"/>
      <c r="K65" s="30"/>
      <c r="L65" s="30"/>
      <c r="M65" s="30"/>
      <c r="N65" s="19"/>
      <c r="O65" s="30"/>
      <c r="P65" s="30"/>
      <c r="Q65" s="40"/>
      <c r="R65" s="40"/>
      <c r="U65" s="173"/>
    </row>
    <row r="66" spans="1:21" s="13" customFormat="1" ht="14.1" customHeight="1">
      <c r="A66" s="12"/>
      <c r="B66" s="192"/>
      <c r="C66" s="65"/>
      <c r="D66" s="66"/>
      <c r="E66" s="192"/>
      <c r="F66" s="192"/>
      <c r="G66" s="68"/>
      <c r="H66" s="12"/>
      <c r="I66" s="12"/>
      <c r="J66" s="12"/>
      <c r="K66" s="12"/>
      <c r="L66" s="12"/>
      <c r="M66" s="12"/>
      <c r="N66" s="68"/>
      <c r="O66" s="12"/>
      <c r="P66" s="12"/>
      <c r="U66" s="173"/>
    </row>
    <row r="67" spans="1:21" ht="14.1" customHeight="1">
      <c r="C67" s="65"/>
      <c r="U67" s="173"/>
    </row>
    <row r="68" spans="1:21" ht="14.1" customHeight="1">
      <c r="A68" s="13"/>
      <c r="B68" s="13"/>
      <c r="C68" s="13"/>
      <c r="D68" s="97"/>
      <c r="E68" s="13"/>
      <c r="F68" s="13"/>
      <c r="G68" s="13"/>
      <c r="H68" s="13"/>
      <c r="I68" s="13"/>
      <c r="J68" s="13"/>
      <c r="M68" s="13"/>
      <c r="N68" s="13"/>
      <c r="O68" s="13"/>
      <c r="P68" s="13"/>
      <c r="U68" s="173"/>
    </row>
    <row r="69" spans="1:21" ht="14.1" customHeight="1">
      <c r="A69" s="13"/>
      <c r="B69" s="13"/>
      <c r="C69" s="13"/>
      <c r="D69" s="97"/>
      <c r="E69" s="13"/>
      <c r="F69" s="13"/>
      <c r="G69" s="13"/>
      <c r="H69" s="13"/>
      <c r="I69" s="13"/>
      <c r="J69" s="13"/>
      <c r="M69" s="13"/>
      <c r="N69" s="13"/>
      <c r="O69" s="13"/>
      <c r="P69" s="13"/>
      <c r="U69" s="173"/>
    </row>
    <row r="70" spans="1:21" ht="14.1" customHeight="1">
      <c r="C70" s="65"/>
      <c r="U70" s="173"/>
    </row>
    <row r="71" spans="1:21" ht="14.1" customHeight="1">
      <c r="C71" s="65"/>
      <c r="Q71" s="13"/>
      <c r="R71" s="13"/>
    </row>
    <row r="72" spans="1:21" ht="14.1" customHeight="1">
      <c r="C72" s="65"/>
      <c r="Q72" s="13"/>
      <c r="R72" s="13"/>
    </row>
    <row r="73" spans="1:21" ht="14.1" customHeight="1">
      <c r="C73" s="65"/>
    </row>
    <row r="74" spans="1:21" ht="14.1" customHeight="1">
      <c r="C74" s="65"/>
    </row>
  </sheetData>
  <pageMargins left="0.75" right="0.5" top="1" bottom="0.5" header="0.5" footer="0.5"/>
  <pageSetup scale="70" orientation="landscape" r:id="rId1"/>
  <headerFooter alignWithMargins="0">
    <oddHeader>&amp;R&amp;D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U74"/>
  <sheetViews>
    <sheetView topLeftCell="P1" zoomScale="87" zoomScaleNormal="87" workbookViewId="0">
      <selection activeCell="AB11" sqref="AB11:CQ11"/>
    </sheetView>
  </sheetViews>
  <sheetFormatPr defaultColWidth="13.7109375" defaultRowHeight="14.1" customHeight="1"/>
  <cols>
    <col min="1" max="1" width="6.28515625" style="12" customWidth="1"/>
    <col min="2" max="2" width="16.5703125" style="192" customWidth="1"/>
    <col min="3" max="3" width="8.28515625" style="12" customWidth="1"/>
    <col min="4" max="4" width="11.140625" style="66" customWidth="1"/>
    <col min="5" max="5" width="12.85546875" style="192" customWidth="1"/>
    <col min="6" max="6" width="9.28515625" style="192" customWidth="1"/>
    <col min="7" max="7" width="9.140625" style="68" customWidth="1"/>
    <col min="8" max="8" width="10.85546875" style="12" customWidth="1"/>
    <col min="9" max="9" width="13.140625" style="12" customWidth="1"/>
    <col min="10" max="10" width="12.28515625" style="12" customWidth="1"/>
    <col min="11" max="11" width="10.140625" style="12" customWidth="1"/>
    <col min="12" max="12" width="14.42578125" style="12" customWidth="1"/>
    <col min="13" max="13" width="8.85546875" style="12" customWidth="1"/>
    <col min="14" max="14" width="17.140625" style="68" customWidth="1"/>
    <col min="15" max="15" width="15.7109375" style="12" customWidth="1"/>
    <col min="16" max="16" width="10.85546875" style="12" customWidth="1"/>
    <col min="17" max="17" width="6.140625" style="12" customWidth="1"/>
    <col min="18" max="18" width="7.28515625" style="12" customWidth="1"/>
    <col min="19" max="19" width="12" style="13" customWidth="1"/>
    <col min="20" max="20" width="10.42578125" style="13" customWidth="1"/>
    <col min="21" max="21" width="13.7109375" style="13" customWidth="1"/>
    <col min="22" max="22" width="2.5703125" style="13" customWidth="1"/>
    <col min="23" max="29" width="13.7109375" style="13" customWidth="1"/>
    <col min="30" max="31" width="25" style="13" customWidth="1"/>
    <col min="32" max="34" width="13.7109375" style="13" customWidth="1"/>
    <col min="35" max="35" width="19.85546875" style="13" customWidth="1"/>
    <col min="36" max="36" width="19.5703125" style="13" customWidth="1"/>
    <col min="37" max="37" width="27.42578125" style="13" customWidth="1"/>
    <col min="38" max="38" width="31.42578125" style="13" customWidth="1"/>
    <col min="39" max="39" width="31.28515625" style="13" customWidth="1"/>
    <col min="40" max="45" width="27.42578125" style="13" customWidth="1"/>
    <col min="46" max="46" width="31.28515625" style="13" customWidth="1"/>
    <col min="47" max="47" width="35.42578125" style="13" customWidth="1"/>
    <col min="48" max="50" width="13.7109375" style="13" customWidth="1"/>
    <col min="51" max="52" width="17.28515625" style="13" customWidth="1"/>
    <col min="53" max="60" width="17.5703125" style="13" customWidth="1"/>
    <col min="61" max="65" width="20.42578125" style="13" customWidth="1"/>
    <col min="66" max="68" width="13.7109375" style="13" customWidth="1"/>
    <col min="69" max="69" width="18.7109375" style="13" customWidth="1"/>
    <col min="70" max="72" width="13.7109375" style="13" customWidth="1"/>
    <col min="73" max="73" width="17.28515625" style="13" customWidth="1"/>
    <col min="74" max="74" width="16.85546875" style="13" customWidth="1"/>
    <col min="75" max="75" width="13.7109375" style="13" customWidth="1"/>
    <col min="76" max="76" width="17" style="13" customWidth="1"/>
    <col min="77" max="81" width="17.85546875" style="13" customWidth="1"/>
    <col min="82" max="92" width="13.7109375" style="13" customWidth="1"/>
    <col min="93" max="93" width="26.140625" style="13" customWidth="1"/>
    <col min="94" max="94" width="25.7109375" style="13" customWidth="1"/>
    <col min="95" max="95" width="22.85546875" style="13" customWidth="1"/>
    <col min="96" max="99" width="13.7109375" style="13" customWidth="1"/>
    <col min="100" max="16384" width="13.7109375" style="12"/>
  </cols>
  <sheetData>
    <row r="1" spans="1:99" ht="14.1" customHeight="1">
      <c r="A1" s="1" t="s">
        <v>0</v>
      </c>
      <c r="B1" s="2" t="s">
        <v>123</v>
      </c>
      <c r="C1" s="3" t="s">
        <v>1</v>
      </c>
      <c r="D1" s="4" t="s">
        <v>164</v>
      </c>
      <c r="E1" s="1" t="s">
        <v>2</v>
      </c>
      <c r="F1" s="1"/>
      <c r="G1" s="5">
        <v>59</v>
      </c>
      <c r="H1" s="6"/>
      <c r="I1" s="6" t="s">
        <v>3</v>
      </c>
      <c r="J1" s="5">
        <v>178</v>
      </c>
      <c r="K1" s="7"/>
      <c r="L1" s="7"/>
      <c r="M1" s="8" t="s">
        <v>4</v>
      </c>
      <c r="N1" s="9">
        <f>((AVERAGE(W7:W8))*20)</f>
        <v>8134349</v>
      </c>
      <c r="O1" s="10">
        <f>(O3*20)</f>
        <v>8743574.1135600004</v>
      </c>
      <c r="P1" s="10"/>
      <c r="Q1" s="11" t="s">
        <v>5</v>
      </c>
      <c r="S1" s="13">
        <v>-120</v>
      </c>
      <c r="T1" s="13" t="s">
        <v>6</v>
      </c>
      <c r="U1" s="14">
        <v>29.54</v>
      </c>
      <c r="V1" s="15"/>
      <c r="W1" s="15" t="s">
        <v>7</v>
      </c>
    </row>
    <row r="2" spans="1:99" ht="14.1" customHeight="1" thickBot="1">
      <c r="A2" s="16" t="s">
        <v>8</v>
      </c>
      <c r="B2" s="17">
        <v>42173</v>
      </c>
      <c r="C2" s="3" t="s">
        <v>9</v>
      </c>
      <c r="D2" s="18">
        <v>92.9</v>
      </c>
      <c r="E2" s="3" t="s">
        <v>10</v>
      </c>
      <c r="F2" s="3"/>
      <c r="G2" s="19">
        <f>D2/(D3/100*D3/100)</f>
        <v>32.915249433106581</v>
      </c>
      <c r="H2" s="13"/>
      <c r="I2" s="20" t="s">
        <v>11</v>
      </c>
      <c r="J2" s="21"/>
      <c r="K2" s="22"/>
      <c r="L2" s="23"/>
      <c r="M2" s="24" t="s">
        <v>12</v>
      </c>
      <c r="N2" s="25">
        <f>(O1*0.068)</f>
        <v>594563.03972208011</v>
      </c>
      <c r="O2" s="13"/>
      <c r="P2" s="13"/>
      <c r="Q2" s="11"/>
      <c r="R2" s="26"/>
      <c r="T2" s="13" t="s">
        <v>6</v>
      </c>
      <c r="U2" s="14">
        <v>33.590000000000003</v>
      </c>
      <c r="V2" s="15"/>
      <c r="W2" s="27">
        <v>150810.4</v>
      </c>
    </row>
    <row r="3" spans="1:99" ht="14.1" customHeight="1" thickTop="1" thickBot="1">
      <c r="A3" s="16" t="s">
        <v>13</v>
      </c>
      <c r="B3" s="28" t="s">
        <v>167</v>
      </c>
      <c r="C3" s="3" t="s">
        <v>15</v>
      </c>
      <c r="D3" s="29">
        <v>168</v>
      </c>
      <c r="E3" s="3" t="s">
        <v>16</v>
      </c>
      <c r="F3" s="3"/>
      <c r="G3" s="19">
        <f>SQRT(((D2*D3)/3600))</f>
        <v>2.0821463285113593</v>
      </c>
      <c r="H3" s="13"/>
      <c r="I3" s="20"/>
      <c r="J3" s="30"/>
      <c r="K3" s="30"/>
      <c r="L3" s="30"/>
      <c r="M3" s="31" t="s">
        <v>17</v>
      </c>
      <c r="N3" s="32">
        <f>($O$1/$N$1)*100</f>
        <v>107.48953743637016</v>
      </c>
      <c r="O3" s="33">
        <f>((AVERAGE(W2:W5))*2.85714)</f>
        <v>437178.705678</v>
      </c>
      <c r="P3" s="33"/>
      <c r="Q3" s="34" t="s">
        <v>18</v>
      </c>
      <c r="R3" s="13"/>
      <c r="T3" s="13">
        <v>-30</v>
      </c>
      <c r="U3" s="14">
        <v>505</v>
      </c>
      <c r="V3" s="15"/>
      <c r="W3" s="27">
        <v>150792.5</v>
      </c>
    </row>
    <row r="4" spans="1:99" ht="14.1" customHeight="1" thickTop="1">
      <c r="B4" s="35"/>
      <c r="C4" s="3" t="s">
        <v>19</v>
      </c>
      <c r="D4" s="19">
        <v>50.491999999999997</v>
      </c>
      <c r="E4" s="37" t="s">
        <v>20</v>
      </c>
      <c r="F4" s="37"/>
      <c r="G4" s="38">
        <v>0.443</v>
      </c>
      <c r="H4" s="13"/>
      <c r="I4" s="20"/>
      <c r="J4" s="30"/>
      <c r="K4" s="30"/>
      <c r="L4" s="30"/>
      <c r="M4" s="33"/>
      <c r="N4" s="39"/>
      <c r="O4" s="30"/>
      <c r="P4" s="30"/>
      <c r="Q4" s="30"/>
      <c r="R4" s="30"/>
      <c r="U4" s="14">
        <v>514.49</v>
      </c>
      <c r="V4" s="15"/>
      <c r="W4" s="27">
        <v>155523.9</v>
      </c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</row>
    <row r="5" spans="1:99" ht="14.1" customHeight="1" thickBot="1">
      <c r="A5" s="16"/>
      <c r="B5" s="30"/>
      <c r="C5" s="3"/>
      <c r="D5" s="41" t="s">
        <v>21</v>
      </c>
      <c r="E5" s="42">
        <f>AVERAGE(U1:U2)</f>
        <v>31.565000000000001</v>
      </c>
      <c r="F5" s="42"/>
      <c r="G5" s="19"/>
      <c r="H5" s="30"/>
      <c r="I5" s="30"/>
      <c r="J5" s="43" t="s">
        <v>22</v>
      </c>
      <c r="K5" s="43"/>
      <c r="L5" s="44" t="s">
        <v>23</v>
      </c>
      <c r="M5" s="45"/>
      <c r="N5" s="43" t="s">
        <v>22</v>
      </c>
      <c r="O5" s="44" t="s">
        <v>23</v>
      </c>
      <c r="P5" s="44" t="s">
        <v>24</v>
      </c>
      <c r="Q5" s="46"/>
      <c r="R5" s="46"/>
      <c r="T5" s="13">
        <v>-20</v>
      </c>
      <c r="U5" s="14">
        <v>519.4</v>
      </c>
      <c r="V5" s="15"/>
      <c r="W5" s="27">
        <v>154924</v>
      </c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</row>
    <row r="6" spans="1:99" s="1" customFormat="1" ht="14.1" customHeight="1">
      <c r="A6" s="47" t="s">
        <v>25</v>
      </c>
      <c r="B6" s="48" t="s">
        <v>26</v>
      </c>
      <c r="C6" s="48"/>
      <c r="D6" s="49" t="s">
        <v>27</v>
      </c>
      <c r="E6" s="48" t="s">
        <v>28</v>
      </c>
      <c r="F6" s="48"/>
      <c r="G6" s="48" t="s">
        <v>29</v>
      </c>
      <c r="H6" s="50" t="s">
        <v>30</v>
      </c>
      <c r="I6" s="50"/>
      <c r="J6" s="51" t="s">
        <v>31</v>
      </c>
      <c r="K6" s="52"/>
      <c r="L6" s="52" t="s">
        <v>31</v>
      </c>
      <c r="M6" s="52" t="s">
        <v>32</v>
      </c>
      <c r="N6" s="52" t="s">
        <v>33</v>
      </c>
      <c r="O6" s="53" t="s">
        <v>34</v>
      </c>
      <c r="P6" s="54"/>
      <c r="Q6" s="55"/>
      <c r="R6" s="55"/>
      <c r="S6" s="13"/>
      <c r="T6" s="13"/>
      <c r="U6" s="14">
        <v>516.49</v>
      </c>
      <c r="V6" s="15"/>
      <c r="W6" s="56" t="s">
        <v>35</v>
      </c>
      <c r="X6" s="13" t="s">
        <v>36</v>
      </c>
      <c r="Y6" s="57" t="s">
        <v>37</v>
      </c>
      <c r="Z6" s="58" t="s">
        <v>38</v>
      </c>
      <c r="AA6" s="40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60"/>
      <c r="AY6" s="60"/>
      <c r="AZ6" s="60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60"/>
      <c r="BO6" s="60"/>
      <c r="BP6" s="60"/>
      <c r="BQ6" s="59"/>
      <c r="BR6" s="59"/>
      <c r="BS6" s="59"/>
      <c r="BT6" s="59"/>
      <c r="BU6" s="59"/>
      <c r="BV6" s="59"/>
      <c r="BW6" s="59"/>
      <c r="BX6" s="59"/>
      <c r="BY6" s="59"/>
      <c r="BZ6" s="61"/>
      <c r="CA6" s="61"/>
      <c r="CB6" s="61"/>
      <c r="CC6" s="61"/>
      <c r="CD6" s="40"/>
      <c r="CE6" s="61"/>
      <c r="CF6" s="61"/>
      <c r="CG6" s="33"/>
      <c r="CH6" s="40"/>
      <c r="CI6" s="30"/>
      <c r="CJ6" s="30"/>
      <c r="CK6" s="30"/>
      <c r="CL6" s="30"/>
      <c r="CM6" s="30"/>
      <c r="CN6" s="30"/>
      <c r="CO6" s="30"/>
      <c r="CP6" s="62"/>
      <c r="CQ6" s="62"/>
      <c r="CR6" s="13"/>
      <c r="CS6" s="13"/>
      <c r="CT6" s="13"/>
      <c r="CU6" s="13"/>
    </row>
    <row r="7" spans="1:99" ht="14.1" customHeight="1">
      <c r="A7" s="63">
        <v>-30</v>
      </c>
      <c r="B7" s="64">
        <v>99</v>
      </c>
      <c r="C7" s="65"/>
      <c r="D7" s="42">
        <f>AVERAGE(U3:U4)</f>
        <v>509.745</v>
      </c>
      <c r="E7" s="66">
        <f>D7-$E$5</f>
        <v>478.18</v>
      </c>
      <c r="F7" s="66"/>
      <c r="G7" s="66">
        <f>($E7*7.1425)</f>
        <v>3415.40065</v>
      </c>
      <c r="H7" s="66">
        <f>($G7/($B7*0.01))</f>
        <v>3449.8996464646466</v>
      </c>
      <c r="I7" s="66"/>
      <c r="J7" s="67">
        <f>$N$2/$H7/$D$2</f>
        <v>1.8551359100910101</v>
      </c>
      <c r="K7" s="67"/>
      <c r="L7" s="67">
        <f>J7/($D$4/$D$2)</f>
        <v>3.4132560811109656</v>
      </c>
      <c r="N7" s="68">
        <f>J7-M7</f>
        <v>1.8551359100910101</v>
      </c>
      <c r="O7" s="67">
        <f>N7/($D$4/$D$2)</f>
        <v>3.4132560811109656</v>
      </c>
      <c r="P7" s="67"/>
      <c r="Q7" s="30"/>
      <c r="R7" s="30"/>
      <c r="T7" s="13">
        <v>-10</v>
      </c>
      <c r="U7" s="14">
        <v>498.99</v>
      </c>
      <c r="V7" s="15"/>
      <c r="W7" s="27">
        <v>408739</v>
      </c>
      <c r="X7" s="69">
        <v>0.40799999999999997</v>
      </c>
      <c r="Y7" s="70">
        <v>-30</v>
      </c>
      <c r="Z7" s="71">
        <v>14.842000000000001</v>
      </c>
      <c r="AA7" s="40"/>
      <c r="AB7" s="72"/>
      <c r="AC7" s="72"/>
      <c r="AD7" s="72"/>
      <c r="AE7" s="72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19"/>
      <c r="AY7" s="74"/>
      <c r="AZ7" s="74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</row>
    <row r="8" spans="1:99" ht="14.1" customHeight="1">
      <c r="A8" s="63">
        <v>-20</v>
      </c>
      <c r="B8" s="64">
        <v>98</v>
      </c>
      <c r="C8" s="65"/>
      <c r="D8" s="66">
        <f>AVERAGE(U5:U6)</f>
        <v>517.94499999999994</v>
      </c>
      <c r="E8" s="66">
        <f>D8-$E$5</f>
        <v>486.37999999999994</v>
      </c>
      <c r="F8" s="66"/>
      <c r="G8" s="66">
        <f>($E8*7.1425)</f>
        <v>3473.9691499999994</v>
      </c>
      <c r="H8" s="66">
        <f>($G8/($B8*0.01))</f>
        <v>3544.8664795918362</v>
      </c>
      <c r="I8" s="66"/>
      <c r="J8" s="67">
        <f>$N$2/H8/$D$2</f>
        <v>1.8054368922532056</v>
      </c>
      <c r="K8" s="67"/>
      <c r="L8" s="67">
        <f>J8/($D$4/$D$2)</f>
        <v>3.3218150853664508</v>
      </c>
      <c r="N8" s="68">
        <f>J8-M8</f>
        <v>1.8054368922532056</v>
      </c>
      <c r="O8" s="67">
        <f>N8/($D$4/$D$2)</f>
        <v>3.3218150853664508</v>
      </c>
      <c r="P8" s="67"/>
      <c r="Q8" s="30"/>
      <c r="R8" s="30"/>
      <c r="U8" s="14">
        <v>470.32</v>
      </c>
      <c r="V8" s="15"/>
      <c r="W8" s="27">
        <v>404695.9</v>
      </c>
      <c r="X8" s="69">
        <v>0.36899999999999999</v>
      </c>
      <c r="Y8" s="70">
        <v>-20</v>
      </c>
      <c r="Z8" s="71">
        <v>12.500999999999999</v>
      </c>
      <c r="AA8" s="40"/>
      <c r="AB8" s="72"/>
      <c r="AC8" s="72"/>
      <c r="AD8" s="72"/>
      <c r="AE8" s="72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19"/>
      <c r="AY8" s="74"/>
      <c r="AZ8" s="74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</row>
    <row r="9" spans="1:99" ht="14.1" customHeight="1" thickBot="1">
      <c r="A9" s="63">
        <v>-10</v>
      </c>
      <c r="B9" s="75">
        <v>98</v>
      </c>
      <c r="C9" s="65"/>
      <c r="D9" s="66">
        <f>AVERAGE(U7:U8)</f>
        <v>484.65499999999997</v>
      </c>
      <c r="E9" s="66">
        <f>D9-$E$5</f>
        <v>453.09</v>
      </c>
      <c r="F9" s="66"/>
      <c r="G9" s="66">
        <f>($E9*7.1425)</f>
        <v>3236.1953249999997</v>
      </c>
      <c r="H9" s="66">
        <f>($G9/($B9*0.01))</f>
        <v>3302.2401275510201</v>
      </c>
      <c r="I9" s="66"/>
      <c r="J9" s="67">
        <f>$N$2/H9/$D$2</f>
        <v>1.9380882289481429</v>
      </c>
      <c r="K9" s="67"/>
      <c r="L9" s="67">
        <f>J9/($D$4/$D$2)</f>
        <v>3.5658796733994</v>
      </c>
      <c r="N9" s="68">
        <f>J9-M9</f>
        <v>1.9380882289481429</v>
      </c>
      <c r="O9" s="67">
        <f>N9/($D$4/$D$2)</f>
        <v>3.5658796733994</v>
      </c>
      <c r="P9" s="67"/>
      <c r="Q9" s="30"/>
      <c r="R9" s="30"/>
      <c r="T9" s="13">
        <v>-5</v>
      </c>
      <c r="U9" s="196">
        <v>480.16</v>
      </c>
      <c r="V9" s="15"/>
      <c r="W9" s="76">
        <v>409819.5</v>
      </c>
      <c r="X9" s="69">
        <v>0.34699999999999998</v>
      </c>
      <c r="Y9" s="70">
        <v>-10</v>
      </c>
      <c r="Z9" s="71">
        <v>9.8557000000000006</v>
      </c>
      <c r="AA9" s="40"/>
      <c r="AB9" s="72"/>
      <c r="AC9" s="72"/>
      <c r="AD9" s="72"/>
      <c r="AE9" s="72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19"/>
      <c r="AY9" s="74"/>
      <c r="AZ9" s="74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</row>
    <row r="10" spans="1:99" s="80" customFormat="1" ht="14.1" customHeight="1">
      <c r="A10" s="77">
        <v>0</v>
      </c>
      <c r="B10" s="75">
        <v>97</v>
      </c>
      <c r="C10" s="65"/>
      <c r="D10" s="66">
        <f>AVERAGE(U11:U12)</f>
        <v>540.17000000000007</v>
      </c>
      <c r="E10" s="66">
        <f>D10-$E$5</f>
        <v>508.60500000000008</v>
      </c>
      <c r="F10" s="66"/>
      <c r="G10" s="78">
        <f>($E10*7.1425)</f>
        <v>3632.7112125000008</v>
      </c>
      <c r="H10" s="78">
        <f>($G10/($B10*0.01))</f>
        <v>3745.0631056701041</v>
      </c>
      <c r="I10" s="78"/>
      <c r="J10" s="79">
        <f>$N$2/H10/$D$2</f>
        <v>1.7089252009337474</v>
      </c>
      <c r="K10" s="79"/>
      <c r="L10" s="67">
        <f>J10/($D$4/$D$2)</f>
        <v>3.1442436656647623</v>
      </c>
      <c r="N10" s="81">
        <f>J10-M10</f>
        <v>1.7089252009337474</v>
      </c>
      <c r="O10" s="67">
        <f>N10/($D$4/$D$2)</f>
        <v>3.1442436656647623</v>
      </c>
      <c r="P10" s="67"/>
      <c r="Q10" s="30"/>
      <c r="R10" s="30"/>
      <c r="S10" s="13"/>
      <c r="T10" s="13" t="s">
        <v>39</v>
      </c>
      <c r="U10" s="196">
        <v>540.16999999999996</v>
      </c>
      <c r="V10" s="15"/>
      <c r="W10" s="15"/>
      <c r="X10" s="69">
        <v>0.40100000000000002</v>
      </c>
      <c r="Y10" s="70">
        <v>0</v>
      </c>
      <c r="Z10" s="82">
        <v>14.945</v>
      </c>
      <c r="AA10" s="30"/>
      <c r="AB10" s="83" t="s">
        <v>40</v>
      </c>
      <c r="AC10" s="83" t="s">
        <v>41</v>
      </c>
      <c r="AD10" s="83" t="s">
        <v>42</v>
      </c>
      <c r="AE10" s="83" t="s">
        <v>43</v>
      </c>
      <c r="AF10" s="83" t="s">
        <v>44</v>
      </c>
      <c r="AG10" s="83" t="s">
        <v>45</v>
      </c>
      <c r="AH10" s="83" t="s">
        <v>46</v>
      </c>
      <c r="AI10" s="83" t="s">
        <v>47</v>
      </c>
      <c r="AJ10" s="83" t="s">
        <v>48</v>
      </c>
      <c r="AK10" s="83" t="s">
        <v>49</v>
      </c>
      <c r="AL10" s="83" t="s">
        <v>50</v>
      </c>
      <c r="AM10" s="83" t="s">
        <v>51</v>
      </c>
      <c r="AN10" s="83" t="s">
        <v>52</v>
      </c>
      <c r="AO10" s="83" t="s">
        <v>53</v>
      </c>
      <c r="AP10" s="83" t="s">
        <v>54</v>
      </c>
      <c r="AQ10" s="83" t="s">
        <v>55</v>
      </c>
      <c r="AR10" s="83" t="s">
        <v>56</v>
      </c>
      <c r="AS10" s="83" t="s">
        <v>57</v>
      </c>
      <c r="AT10" s="83" t="s">
        <v>58</v>
      </c>
      <c r="AU10" s="83" t="s">
        <v>59</v>
      </c>
      <c r="AV10" s="84" t="s">
        <v>60</v>
      </c>
      <c r="AW10" s="84" t="s">
        <v>61</v>
      </c>
      <c r="AX10" s="85" t="s">
        <v>62</v>
      </c>
      <c r="AY10" s="85" t="s">
        <v>63</v>
      </c>
      <c r="AZ10" s="85" t="s">
        <v>64</v>
      </c>
      <c r="BA10" s="86" t="s">
        <v>65</v>
      </c>
      <c r="BB10" s="86" t="s">
        <v>66</v>
      </c>
      <c r="BC10" s="86" t="s">
        <v>67</v>
      </c>
      <c r="BD10" s="86" t="s">
        <v>68</v>
      </c>
      <c r="BE10" s="86" t="s">
        <v>69</v>
      </c>
      <c r="BF10" s="86" t="s">
        <v>70</v>
      </c>
      <c r="BG10" s="86" t="s">
        <v>71</v>
      </c>
      <c r="BH10" s="86" t="s">
        <v>72</v>
      </c>
      <c r="BI10" s="86" t="s">
        <v>73</v>
      </c>
      <c r="BJ10" s="86" t="s">
        <v>74</v>
      </c>
      <c r="BK10" s="86" t="s">
        <v>75</v>
      </c>
      <c r="BL10" s="86" t="s">
        <v>76</v>
      </c>
      <c r="BM10" s="86" t="s">
        <v>77</v>
      </c>
      <c r="BN10" s="87" t="s">
        <v>78</v>
      </c>
      <c r="BO10" s="87" t="s">
        <v>79</v>
      </c>
      <c r="BP10" s="87" t="s">
        <v>80</v>
      </c>
      <c r="BQ10" s="88" t="s">
        <v>81</v>
      </c>
      <c r="BR10" s="88" t="s">
        <v>82</v>
      </c>
      <c r="BS10" s="88" t="s">
        <v>83</v>
      </c>
      <c r="BT10" s="88" t="s">
        <v>84</v>
      </c>
      <c r="BU10" s="88" t="s">
        <v>85</v>
      </c>
      <c r="BV10" s="88" t="s">
        <v>86</v>
      </c>
      <c r="BW10" s="88" t="s">
        <v>87</v>
      </c>
      <c r="BX10" s="88" t="s">
        <v>88</v>
      </c>
      <c r="BY10" s="88" t="s">
        <v>89</v>
      </c>
      <c r="BZ10" s="88" t="s">
        <v>90</v>
      </c>
      <c r="CA10" s="88" t="s">
        <v>91</v>
      </c>
      <c r="CB10" s="88" t="s">
        <v>92</v>
      </c>
      <c r="CC10" s="88" t="s">
        <v>93</v>
      </c>
      <c r="CD10" s="40"/>
      <c r="CE10" s="89" t="s">
        <v>94</v>
      </c>
      <c r="CF10" s="89" t="s">
        <v>95</v>
      </c>
      <c r="CG10" s="90" t="s">
        <v>96</v>
      </c>
      <c r="CH10" s="40"/>
      <c r="CI10" s="91" t="s">
        <v>97</v>
      </c>
      <c r="CJ10" s="91" t="s">
        <v>98</v>
      </c>
      <c r="CK10" s="91" t="s">
        <v>99</v>
      </c>
      <c r="CL10" s="91" t="s">
        <v>100</v>
      </c>
      <c r="CM10" s="91" t="s">
        <v>101</v>
      </c>
      <c r="CN10" s="91" t="s">
        <v>102</v>
      </c>
      <c r="CO10" s="91" t="s">
        <v>103</v>
      </c>
      <c r="CP10" s="92" t="s">
        <v>104</v>
      </c>
      <c r="CQ10" s="92" t="s">
        <v>105</v>
      </c>
      <c r="CR10" s="13"/>
      <c r="CS10" s="13"/>
      <c r="CT10" s="13"/>
      <c r="CU10" s="13"/>
    </row>
    <row r="11" spans="1:99" s="49" customFormat="1" ht="14.1" customHeight="1">
      <c r="A11" s="93" t="s">
        <v>106</v>
      </c>
      <c r="B11" s="49">
        <f>AVERAGE(B7:B10)</f>
        <v>98</v>
      </c>
      <c r="E11" s="50">
        <f>AVERAGE(E7:E10)</f>
        <v>481.56374999999997</v>
      </c>
      <c r="G11" s="50">
        <f>AVERAGE(G7:G10)</f>
        <v>3439.5690843749999</v>
      </c>
      <c r="H11" s="50">
        <f>AVERAGE(H7:H10)</f>
        <v>3510.5173398194015</v>
      </c>
      <c r="J11" s="94">
        <f>AVERAGE(J7:J10)</f>
        <v>1.8268965580565266</v>
      </c>
      <c r="K11" s="50" t="s">
        <v>39</v>
      </c>
      <c r="L11" s="50">
        <f>AVERAGE(L7:L10)</f>
        <v>3.3612986263853943</v>
      </c>
      <c r="M11" s="50"/>
      <c r="N11" s="94">
        <f>AVERAGE(N7:N10)</f>
        <v>1.8268965580565266</v>
      </c>
      <c r="O11" s="50">
        <f>AVERAGE(O7:O10)</f>
        <v>3.3612986263853943</v>
      </c>
      <c r="P11" s="95"/>
      <c r="Q11" s="95"/>
      <c r="R11" s="95"/>
      <c r="S11" s="6"/>
      <c r="T11" s="13">
        <v>0</v>
      </c>
      <c r="U11" s="14">
        <v>559.61</v>
      </c>
      <c r="V11" s="15"/>
      <c r="W11" s="15"/>
      <c r="X11" s="96">
        <f>AVERAGE(X7:X10)</f>
        <v>0.38124999999999998</v>
      </c>
      <c r="Y11" s="70" t="s">
        <v>107</v>
      </c>
      <c r="Z11" s="96">
        <f>AVERAGE(Z7:Z10)</f>
        <v>13.035925000000001</v>
      </c>
      <c r="AA11" s="30"/>
      <c r="AB11" s="72">
        <f>J11</f>
        <v>1.8268965580565266</v>
      </c>
      <c r="AC11" s="73">
        <f>AB11/($D$4/$D$2)</f>
        <v>3.3612986263853948</v>
      </c>
      <c r="AD11" s="73">
        <f>AB11/Z11</f>
        <v>0.14014322405633098</v>
      </c>
      <c r="AE11" s="73">
        <f>AC11/Z11</f>
        <v>0.25784887734360196</v>
      </c>
      <c r="AF11" s="72">
        <f>N20</f>
        <v>-0.1902117743204243</v>
      </c>
      <c r="AG11" s="72">
        <f>AF11/($D$4/$D$2)</f>
        <v>-0.34996977411010499</v>
      </c>
      <c r="AH11" s="72">
        <f>AF11/Z18</f>
        <v>-3.8593156392113096E-3</v>
      </c>
      <c r="AI11" s="72">
        <f>AG11/Z18</f>
        <v>-7.1007372035714715E-3</v>
      </c>
      <c r="AJ11" s="73">
        <f>((AB11-AF11)/AB11)*100</f>
        <v>110.41174299013259</v>
      </c>
      <c r="AK11" s="73">
        <f>((AC11-AG11)/AC11)*100</f>
        <v>110.41174299013261</v>
      </c>
      <c r="AL11" s="73">
        <f>((AD11-AH11)/AD11)*100</f>
        <v>102.75383677319998</v>
      </c>
      <c r="AM11" s="73">
        <f>((AE11-AI11)/AE11)*100</f>
        <v>102.75383677320001</v>
      </c>
      <c r="AN11" s="72">
        <f>N29</f>
        <v>-0.20807004324762901</v>
      </c>
      <c r="AO11" s="72">
        <f>AN11/($D$4/$D$2)</f>
        <v>-0.38282712147874393</v>
      </c>
      <c r="AP11" s="72">
        <f>AN11/Z25</f>
        <v>-9.2934049420531953E-4</v>
      </c>
      <c r="AQ11" s="72">
        <f>AO11/Z25</f>
        <v>-1.7098893272533115E-3</v>
      </c>
      <c r="AR11" s="73">
        <f>((AB11-AN11)/AB11)*100</f>
        <v>111.3892624259458</v>
      </c>
      <c r="AS11" s="73">
        <f>((AC11-AO11)/AC11)*100</f>
        <v>111.3892624259458</v>
      </c>
      <c r="AT11" s="73">
        <f>((AD11-AP11)/AD11)*100</f>
        <v>100.66313623114004</v>
      </c>
      <c r="AU11" s="73">
        <f>((AE11-AQ11)/AE11)*100</f>
        <v>100.66313623114004</v>
      </c>
      <c r="AV11" s="72">
        <f>J11</f>
        <v>1.8268965580565266</v>
      </c>
      <c r="AW11" s="72">
        <f>AV11/($D$4/$D$2)</f>
        <v>3.3612986263853948</v>
      </c>
      <c r="AX11" s="95">
        <f>M20</f>
        <v>2.0948690348044492</v>
      </c>
      <c r="AY11" s="95">
        <f>AX11/($D$4/$D$2)</f>
        <v>3.8543399614460383</v>
      </c>
      <c r="AZ11" s="95">
        <f>AX11/Z11</f>
        <v>0.16069968451064648</v>
      </c>
      <c r="BA11" s="73">
        <f>AY11/Z11</f>
        <v>0.29567061496948149</v>
      </c>
      <c r="BB11" s="72">
        <f>P21</f>
        <v>1.8348690348044492</v>
      </c>
      <c r="BC11" s="73">
        <f>BB11/($D$4/$D$2)</f>
        <v>3.3759671499115376</v>
      </c>
      <c r="BD11" s="73">
        <f>BB11/Z18</f>
        <v>3.7228708828489179E-2</v>
      </c>
      <c r="BE11" s="73">
        <f>BC11/Z18</f>
        <v>6.8496931200321742E-2</v>
      </c>
      <c r="BF11" s="72">
        <f>K20</f>
        <v>2.0531502637133041</v>
      </c>
      <c r="BG11" s="73">
        <f>BF11/($D$4/$D$2)</f>
        <v>3.7775817852128255</v>
      </c>
      <c r="BH11" s="73">
        <f>BF11/Z18</f>
        <v>4.1657541709544707E-2</v>
      </c>
      <c r="BI11" s="73">
        <f>BG11/Z18</f>
        <v>7.664552057388703E-2</v>
      </c>
      <c r="BJ11" s="72">
        <f>J21</f>
        <v>2.6089194147844093</v>
      </c>
      <c r="BK11" s="73">
        <f>BJ11/($D$4/$D$2)</f>
        <v>4.8001389058360067</v>
      </c>
      <c r="BL11" s="73">
        <f>BJ11/Z18</f>
        <v>5.2933860350612122E-2</v>
      </c>
      <c r="BM11" s="73">
        <f>BK11/Z18</f>
        <v>9.7392767697295934E-2</v>
      </c>
      <c r="BN11" s="95">
        <f>M29</f>
        <v>6.4953713670613551</v>
      </c>
      <c r="BO11" s="95">
        <f>BN11/($D$4/$D$2)</f>
        <v>11.950804087776282</v>
      </c>
      <c r="BP11" s="95">
        <f>BN11/Z25</f>
        <v>2.9011440292381771E-2</v>
      </c>
      <c r="BQ11" s="73">
        <f>BO11/Z25</f>
        <v>5.3378016382046013E-2</v>
      </c>
      <c r="BR11" s="72">
        <f>P30</f>
        <v>6.7553713670613549</v>
      </c>
      <c r="BS11" s="73">
        <f>BR11/($D$4/$D$2)</f>
        <v>12.429176899310782</v>
      </c>
      <c r="BT11" s="73">
        <f>BR11/Z25</f>
        <v>3.0172724851763609E-2</v>
      </c>
      <c r="BU11" s="73">
        <f>BS11/Z25</f>
        <v>5.5514658534596369E-2</v>
      </c>
      <c r="BV11" s="72">
        <f>K29</f>
        <v>6.4102471436917314</v>
      </c>
      <c r="BW11" s="73">
        <f>BV11/($D$4/$D$2)</f>
        <v>11.794184418303136</v>
      </c>
      <c r="BX11" s="73">
        <f>BV11/Z25</f>
        <v>2.8631234729964407E-2</v>
      </c>
      <c r="BY11" s="73">
        <f>BW11/Z25</f>
        <v>5.2678477905681961E-2</v>
      </c>
      <c r="BZ11" s="72">
        <f>J30</f>
        <v>7.9282047133743596</v>
      </c>
      <c r="CA11" s="73">
        <f>BZ11/($D$4/$D$2)</f>
        <v>14.587067612146045</v>
      </c>
      <c r="CB11" s="73">
        <f>BZ11/Z25</f>
        <v>3.541116045099986E-2</v>
      </c>
      <c r="CC11" s="73">
        <f>CA11/Z25</f>
        <v>6.5152832248631221E-2</v>
      </c>
      <c r="CD11" s="13"/>
      <c r="CE11" s="97">
        <f>B11</f>
        <v>98</v>
      </c>
      <c r="CF11" s="13">
        <f>Z11</f>
        <v>13.035925000000001</v>
      </c>
      <c r="CG11" s="40">
        <f>((CE11/18)*CF11)/22.5</f>
        <v>3.1543719753086421</v>
      </c>
      <c r="CH11" s="40"/>
      <c r="CI11" s="40">
        <f>X28</f>
        <v>0</v>
      </c>
      <c r="CJ11" s="40">
        <f>X29</f>
        <v>0</v>
      </c>
      <c r="CK11" s="40">
        <f>X30</f>
        <v>0</v>
      </c>
      <c r="CL11" s="40">
        <f>X31</f>
        <v>0</v>
      </c>
      <c r="CM11" s="40">
        <f>X32</f>
        <v>0</v>
      </c>
      <c r="CN11" s="40">
        <f>X33</f>
        <v>0</v>
      </c>
      <c r="CO11" s="13">
        <f>X11</f>
        <v>0.38124999999999998</v>
      </c>
      <c r="CP11" s="13">
        <f>X18</f>
        <v>6.7799999999999999E-2</v>
      </c>
      <c r="CQ11" s="13">
        <f>X25</f>
        <v>4.7799999999999995E-2</v>
      </c>
      <c r="CR11" s="13"/>
      <c r="CS11" s="13"/>
      <c r="CT11" s="13"/>
      <c r="CU11" s="13"/>
    </row>
    <row r="12" spans="1:99" ht="14.1" customHeight="1" thickBot="1">
      <c r="B12" s="98"/>
      <c r="C12" s="65"/>
      <c r="D12" s="99"/>
      <c r="E12" s="13"/>
      <c r="F12" s="13"/>
      <c r="G12" s="13"/>
      <c r="H12" s="13"/>
      <c r="I12" s="13"/>
      <c r="J12" s="6" t="s">
        <v>108</v>
      </c>
      <c r="K12" s="13"/>
      <c r="L12" s="13"/>
      <c r="M12" s="12" t="s">
        <v>39</v>
      </c>
      <c r="N12" s="13"/>
      <c r="O12" s="13"/>
      <c r="P12" s="13"/>
      <c r="Q12" s="30"/>
      <c r="R12" s="30"/>
      <c r="U12" s="14">
        <v>520.73</v>
      </c>
      <c r="V12" s="15"/>
      <c r="W12" s="15"/>
      <c r="Y12" s="70"/>
      <c r="Z12" s="96"/>
      <c r="AA12" s="30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30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40"/>
      <c r="CG12" s="40"/>
      <c r="CH12" s="40"/>
      <c r="CI12" s="40"/>
      <c r="CJ12" s="40"/>
      <c r="CK12" s="40"/>
      <c r="CL12" s="40"/>
      <c r="CM12" s="40"/>
      <c r="CN12" s="40"/>
    </row>
    <row r="13" spans="1:99" ht="14.1" customHeight="1" thickBot="1">
      <c r="B13" s="98"/>
      <c r="C13" s="65"/>
      <c r="D13" s="99"/>
      <c r="E13" s="13"/>
      <c r="F13" s="13"/>
      <c r="G13" s="13"/>
      <c r="H13" s="13"/>
      <c r="I13" s="13"/>
      <c r="J13" s="6"/>
      <c r="K13" s="13"/>
      <c r="L13" s="13"/>
      <c r="M13" s="100" t="s">
        <v>32</v>
      </c>
      <c r="N13" s="101"/>
      <c r="O13" s="101"/>
      <c r="P13" s="101"/>
      <c r="Q13" s="30"/>
      <c r="R13" s="102" t="s">
        <v>25</v>
      </c>
      <c r="S13" s="103" t="s">
        <v>109</v>
      </c>
      <c r="T13" s="13">
        <v>30</v>
      </c>
      <c r="U13" s="14">
        <v>523.76</v>
      </c>
      <c r="V13" s="15"/>
      <c r="W13" s="15"/>
      <c r="X13" s="69">
        <v>0.05</v>
      </c>
      <c r="Y13" s="30">
        <v>90</v>
      </c>
      <c r="Z13" s="71">
        <v>39.768999999999998</v>
      </c>
      <c r="AA13" s="40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19"/>
      <c r="AY13" s="74"/>
      <c r="AZ13" s="74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40"/>
      <c r="CG13" s="40"/>
      <c r="CH13" s="40"/>
      <c r="CI13" s="40"/>
      <c r="CJ13" s="40"/>
      <c r="CK13" s="40"/>
      <c r="CL13" s="40"/>
      <c r="CM13" s="40"/>
      <c r="CN13" s="40"/>
    </row>
    <row r="14" spans="1:99" ht="14.1" customHeight="1">
      <c r="A14" s="12">
        <v>90</v>
      </c>
      <c r="B14" s="75">
        <v>97</v>
      </c>
      <c r="C14" s="65"/>
      <c r="D14" s="104">
        <f>AVERAGE(U17:U18)</f>
        <v>472.14</v>
      </c>
      <c r="E14" s="78">
        <f>D14-$E$5</f>
        <v>440.57499999999999</v>
      </c>
      <c r="F14" s="78"/>
      <c r="G14" s="78">
        <f t="shared" ref="G14:G27" si="0">($E14*7.1425)</f>
        <v>3146.8069375</v>
      </c>
      <c r="H14" s="78">
        <f t="shared" ref="H14:H27" si="1">($G14/($B14*0.01))</f>
        <v>3244.130863402062</v>
      </c>
      <c r="I14" s="33">
        <f>$C$15*A14+$C$16</f>
        <v>3618.2966271428572</v>
      </c>
      <c r="J14" s="105" t="s">
        <v>110</v>
      </c>
      <c r="K14" s="106" t="s">
        <v>111</v>
      </c>
      <c r="L14" s="13"/>
      <c r="M14" s="107">
        <f>(((S14/60)*$J$1)/$D$2)</f>
        <v>1.5008970218873341</v>
      </c>
      <c r="N14" s="101"/>
      <c r="O14" s="101"/>
      <c r="P14" s="101"/>
      <c r="Q14" s="30"/>
      <c r="R14" s="108">
        <v>90</v>
      </c>
      <c r="S14" s="109">
        <v>47</v>
      </c>
      <c r="U14" s="14">
        <v>510.31</v>
      </c>
      <c r="V14" s="15"/>
      <c r="W14" s="110"/>
      <c r="X14" s="69">
        <v>7.4999999999999997E-2</v>
      </c>
      <c r="Y14" s="30">
        <v>100</v>
      </c>
      <c r="Z14" s="71">
        <v>42.856999999999999</v>
      </c>
      <c r="AA14" s="40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19"/>
      <c r="AY14" s="74"/>
      <c r="AZ14" s="74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40"/>
      <c r="CG14" s="40"/>
      <c r="CH14" s="40"/>
      <c r="CI14" s="40"/>
      <c r="CJ14" s="40"/>
      <c r="CK14" s="40"/>
      <c r="CL14" s="40"/>
      <c r="CM14" s="40"/>
      <c r="CN14" s="40"/>
    </row>
    <row r="15" spans="1:99" s="115" customFormat="1" ht="14.1" customHeight="1">
      <c r="A15" s="12">
        <v>100</v>
      </c>
      <c r="B15" s="75">
        <v>99</v>
      </c>
      <c r="C15" s="65">
        <f>SLOPE(G15:G18,A15:A18)</f>
        <v>-23.356179071428553</v>
      </c>
      <c r="D15" s="104">
        <f>AVERAGE(U19:U20)</f>
        <v>512.39499999999998</v>
      </c>
      <c r="E15" s="66">
        <f>D15-$E$5</f>
        <v>480.83</v>
      </c>
      <c r="F15" s="111">
        <v>180</v>
      </c>
      <c r="G15" s="112">
        <f t="shared" si="0"/>
        <v>3434.3282749999998</v>
      </c>
      <c r="H15" s="78">
        <f t="shared" si="1"/>
        <v>3469.0184595959595</v>
      </c>
      <c r="I15" s="33">
        <f>$C$15*A15+$C$16</f>
        <v>3384.7348364285717</v>
      </c>
      <c r="J15" s="113">
        <f>((($N$2-(130*$D$2*(((B15+B14)*0.01)/2))*((I15-I14)/(A15-A14))))/((I15+I14)/2))/$D$2</f>
        <v>2.6775861233344904</v>
      </c>
      <c r="K15" s="114">
        <f>$N$2/H15/$D$2</f>
        <v>1.8449116932955918</v>
      </c>
      <c r="L15" s="114">
        <f>J15/($D$4/$D$2)</f>
        <v>4.9264784690203243</v>
      </c>
      <c r="M15" s="107">
        <f>(((S15/60)*$J$1)/$D$2)</f>
        <v>1.5008970218873341</v>
      </c>
      <c r="N15" s="19">
        <f>K15-M15</f>
        <v>0.3440146714082577</v>
      </c>
      <c r="O15" s="74">
        <f>N15/($D$4/$D$2)</f>
        <v>0.63295102142571391</v>
      </c>
      <c r="P15" s="74"/>
      <c r="Q15" s="30"/>
      <c r="R15" s="108">
        <v>100</v>
      </c>
      <c r="S15" s="109">
        <v>47</v>
      </c>
      <c r="T15" s="13">
        <v>60</v>
      </c>
      <c r="U15" s="14">
        <v>523.92999999999995</v>
      </c>
      <c r="V15" s="15"/>
      <c r="W15" s="110"/>
      <c r="X15" s="69">
        <v>6.2E-2</v>
      </c>
      <c r="Y15" s="30">
        <v>110</v>
      </c>
      <c r="Z15" s="71">
        <v>49.639000000000003</v>
      </c>
      <c r="AA15" s="40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19"/>
      <c r="AY15" s="74"/>
      <c r="AZ15" s="74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40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40"/>
      <c r="CH15" s="40"/>
      <c r="CI15" s="40"/>
      <c r="CJ15" s="40"/>
      <c r="CK15" s="40"/>
      <c r="CL15" s="40"/>
      <c r="CM15" s="40"/>
      <c r="CN15" s="40"/>
      <c r="CO15" s="13"/>
      <c r="CP15" s="13"/>
      <c r="CQ15" s="13"/>
      <c r="CR15" s="13"/>
      <c r="CS15" s="13"/>
      <c r="CT15" s="13"/>
      <c r="CU15" s="13"/>
    </row>
    <row r="16" spans="1:99" ht="14.1" customHeight="1">
      <c r="A16" s="12">
        <v>110</v>
      </c>
      <c r="B16" s="75">
        <v>97</v>
      </c>
      <c r="C16" s="65">
        <f>INTERCEPT(G15:G18,A15:A18)</f>
        <v>5720.3527435714268</v>
      </c>
      <c r="D16" s="104">
        <f>AVERAGE(U21:U22)</f>
        <v>453.69</v>
      </c>
      <c r="E16" s="66">
        <f>D16-$E$5</f>
        <v>422.125</v>
      </c>
      <c r="F16" s="116">
        <v>210</v>
      </c>
      <c r="G16" s="66">
        <f t="shared" si="0"/>
        <v>3015.0278125</v>
      </c>
      <c r="H16" s="78">
        <f t="shared" si="1"/>
        <v>3108.2760953608249</v>
      </c>
      <c r="I16" s="33">
        <f>$C$15*A16+$C$16</f>
        <v>3151.1730457142858</v>
      </c>
      <c r="J16" s="113">
        <f>((($N$2-(130*$D$2*(((B16+B15)*0.01)/2))*((I16-I15)/(A16-A15))))/((I16+I15)/2))/$D$2</f>
        <v>2.8689541233230997</v>
      </c>
      <c r="K16" s="67">
        <f>$N$2/H16/$D$2</f>
        <v>2.0590296756195645</v>
      </c>
      <c r="L16" s="67">
        <f>J16/($D$4/$D$2)</f>
        <v>5.278575577452191</v>
      </c>
      <c r="M16" s="107">
        <f>(((S16/60)*$J$1)/$D$2)</f>
        <v>2.4908503767491927</v>
      </c>
      <c r="N16" s="19">
        <f>K16-M16</f>
        <v>-0.43182070112962823</v>
      </c>
      <c r="O16" s="67">
        <f>N16/($D$4/$D$2)</f>
        <v>-0.79450493414684442</v>
      </c>
      <c r="P16" s="67"/>
      <c r="Q16" s="30"/>
      <c r="R16" s="108">
        <v>110</v>
      </c>
      <c r="S16" s="109">
        <v>78</v>
      </c>
      <c r="U16" s="14">
        <v>533.61</v>
      </c>
      <c r="V16" s="15"/>
      <c r="W16" s="110"/>
      <c r="X16" s="69">
        <v>8.4000000000000005E-2</v>
      </c>
      <c r="Y16" s="30">
        <v>115</v>
      </c>
      <c r="Z16" s="71">
        <v>58.363999999999997</v>
      </c>
      <c r="AA16" s="40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19"/>
      <c r="AY16" s="74"/>
      <c r="AZ16" s="74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40"/>
    </row>
    <row r="17" spans="1:67" ht="14.1" customHeight="1">
      <c r="A17" s="12">
        <v>115</v>
      </c>
      <c r="B17" s="75">
        <v>100</v>
      </c>
      <c r="C17" s="65"/>
      <c r="D17" s="104">
        <f>AVERAGE(U23:U24)</f>
        <v>466.75</v>
      </c>
      <c r="E17" s="66">
        <f>D17-$E$5</f>
        <v>435.185</v>
      </c>
      <c r="F17" s="116">
        <v>220</v>
      </c>
      <c r="G17" s="66">
        <f t="shared" si="0"/>
        <v>3108.3088625</v>
      </c>
      <c r="H17" s="78">
        <f t="shared" si="1"/>
        <v>3108.3088625</v>
      </c>
      <c r="I17" s="33">
        <f>$C$15*A17+$C$16</f>
        <v>3034.3921503571432</v>
      </c>
      <c r="J17" s="113">
        <f>((($N$2-(130*$D$2*(((B17+B16)*0.01)/2))*((I17-I16)/(A17-A16))))/((I17+I16)/2))/$D$2</f>
        <v>3.036356792885325</v>
      </c>
      <c r="K17" s="67">
        <f>$N$2/H17/$D$2</f>
        <v>2.0590079697611925</v>
      </c>
      <c r="L17" s="67">
        <f>J17/($D$4/$D$2)</f>
        <v>5.586578983978586</v>
      </c>
      <c r="M17" s="107">
        <f>(((S17/60)*$J$1)/$D$2)</f>
        <v>2.4908503767491927</v>
      </c>
      <c r="N17" s="19">
        <f>K17-M17</f>
        <v>-0.43184240698800025</v>
      </c>
      <c r="O17" s="67">
        <f>N17/($D$4/$D$2)</f>
        <v>-0.79454487065644519</v>
      </c>
      <c r="P17" s="67"/>
      <c r="Q17" s="30"/>
      <c r="R17" s="108">
        <v>115</v>
      </c>
      <c r="S17" s="117">
        <v>78</v>
      </c>
      <c r="T17" s="40">
        <v>90</v>
      </c>
      <c r="U17" s="14">
        <v>458.08</v>
      </c>
      <c r="V17" s="15"/>
      <c r="W17" s="110"/>
      <c r="X17" s="69">
        <v>6.8000000000000005E-2</v>
      </c>
      <c r="Y17" s="30">
        <v>120</v>
      </c>
      <c r="Z17" s="71">
        <v>55.802999999999997</v>
      </c>
      <c r="AA17" s="40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19"/>
      <c r="AY17" s="74"/>
      <c r="AZ17" s="74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40"/>
    </row>
    <row r="18" spans="1:67" ht="14.1" customHeight="1">
      <c r="A18" s="12">
        <v>120</v>
      </c>
      <c r="B18" s="118">
        <v>103</v>
      </c>
      <c r="C18" s="65"/>
      <c r="D18" s="104">
        <f>AVERAGE(U25:U26)</f>
        <v>441.82</v>
      </c>
      <c r="E18" s="66">
        <f>D18-$E$5</f>
        <v>410.255</v>
      </c>
      <c r="F18" s="116">
        <v>225</v>
      </c>
      <c r="G18" s="66">
        <f t="shared" si="0"/>
        <v>2930.2463375000002</v>
      </c>
      <c r="H18" s="78">
        <f t="shared" si="1"/>
        <v>2844.8993567961165</v>
      </c>
      <c r="I18" s="33">
        <f>$C$15*A18+$C$16</f>
        <v>2917.6112550000003</v>
      </c>
      <c r="J18" s="113">
        <f>((($N$2-(130*$D$2*(((B18+B17)*0.01)/2))*((I18-I17)/(A18-A17))))/((I18+I17)/2))/$D$2</f>
        <v>3.1861139529280562</v>
      </c>
      <c r="K18" s="67">
        <f>$N$2/H18/$D$2</f>
        <v>2.2496517161768663</v>
      </c>
      <c r="L18" s="67">
        <f>J18/($D$4/$D$2)</f>
        <v>5.8621164981980609</v>
      </c>
      <c r="M18" s="107">
        <f>(((S18/60)*$J$1)/$D$2)</f>
        <v>2.4908503767491927</v>
      </c>
      <c r="N18" s="19">
        <f>K18-M18</f>
        <v>-0.24119866057232642</v>
      </c>
      <c r="O18" s="67">
        <f>N18/($D$4/$D$2)</f>
        <v>-0.44378031306284421</v>
      </c>
      <c r="P18" s="67"/>
      <c r="Q18" s="30"/>
      <c r="R18" s="108">
        <v>120</v>
      </c>
      <c r="S18" s="117">
        <v>78</v>
      </c>
      <c r="T18" s="30"/>
      <c r="U18" s="14">
        <v>486.2</v>
      </c>
      <c r="V18" s="15"/>
      <c r="W18" s="110"/>
      <c r="X18" s="96">
        <f>AVERAGE(X13:X17)</f>
        <v>6.7799999999999999E-2</v>
      </c>
      <c r="Y18" s="30" t="s">
        <v>107</v>
      </c>
      <c r="Z18" s="96">
        <f>AVERAGE(Z13:Z17)</f>
        <v>49.2864</v>
      </c>
      <c r="AA18" s="30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5"/>
      <c r="AY18" s="95"/>
      <c r="AZ18" s="95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2"/>
      <c r="BO18" s="40"/>
    </row>
    <row r="19" spans="1:67" ht="14.1" customHeight="1" thickBot="1">
      <c r="A19" s="63"/>
      <c r="B19" s="98"/>
      <c r="C19" s="65"/>
      <c r="D19" s="99"/>
      <c r="E19" s="66"/>
      <c r="F19" s="63"/>
      <c r="G19" s="66"/>
      <c r="H19" s="66"/>
      <c r="I19" s="33"/>
      <c r="J19" s="113"/>
      <c r="K19" s="67"/>
      <c r="L19" s="67"/>
      <c r="M19" s="107"/>
      <c r="O19" s="67"/>
      <c r="P19" s="67"/>
      <c r="Q19" s="30"/>
      <c r="R19" s="108"/>
      <c r="S19" s="117"/>
      <c r="T19" s="41">
        <v>100</v>
      </c>
      <c r="U19" s="14">
        <v>517.92999999999995</v>
      </c>
      <c r="V19" s="15"/>
      <c r="W19" s="110"/>
      <c r="Y19" s="30"/>
      <c r="Z19" s="96"/>
      <c r="AA19" s="30"/>
      <c r="AB19" s="96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30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40"/>
    </row>
    <row r="20" spans="1:67" ht="14.1" customHeight="1" thickBot="1">
      <c r="A20" s="119" t="s">
        <v>112</v>
      </c>
      <c r="B20" s="120">
        <f>AVERAGE(B14:B19)</f>
        <v>99.2</v>
      </c>
      <c r="C20" s="121"/>
      <c r="D20" s="122">
        <f>AVERAGE(D14:D18)</f>
        <v>469.35900000000004</v>
      </c>
      <c r="E20" s="122">
        <f>AVERAGE(E14:E18)</f>
        <v>437.79399999999998</v>
      </c>
      <c r="F20" s="122"/>
      <c r="G20" s="122">
        <f>AVERAGE(G14:G18)</f>
        <v>3126.9436450000003</v>
      </c>
      <c r="H20" s="122">
        <f>AVERAGE(H14:H18)</f>
        <v>3154.9267275309926</v>
      </c>
      <c r="I20" s="122"/>
      <c r="J20" s="122">
        <f t="shared" ref="J20:O20" si="2">AVERAGE(J14:J18)</f>
        <v>2.9422527481177427</v>
      </c>
      <c r="K20" s="123">
        <f t="shared" si="2"/>
        <v>2.0531502637133041</v>
      </c>
      <c r="L20" s="122">
        <f t="shared" si="2"/>
        <v>5.4134373821622912</v>
      </c>
      <c r="M20" s="122">
        <f t="shared" si="2"/>
        <v>2.0948690348044492</v>
      </c>
      <c r="N20" s="123">
        <f t="shared" si="2"/>
        <v>-0.1902117743204243</v>
      </c>
      <c r="O20" s="122">
        <f t="shared" si="2"/>
        <v>-0.34996977411010499</v>
      </c>
      <c r="P20" s="124"/>
      <c r="Q20" s="30"/>
      <c r="R20" s="108"/>
      <c r="S20" s="117"/>
      <c r="T20" s="41"/>
      <c r="U20" s="14">
        <v>506.86</v>
      </c>
      <c r="V20" s="15"/>
      <c r="W20" s="110"/>
      <c r="X20" s="69">
        <v>0.05</v>
      </c>
      <c r="Y20" s="70">
        <v>210</v>
      </c>
      <c r="Z20" s="71">
        <v>244.18</v>
      </c>
      <c r="AA20" s="40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4"/>
      <c r="AY20" s="74"/>
      <c r="AZ20" s="74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40"/>
    </row>
    <row r="21" spans="1:67" ht="14.1" customHeight="1" thickBot="1">
      <c r="A21" s="70"/>
      <c r="B21" s="118"/>
      <c r="C21" s="36"/>
      <c r="D21" s="99"/>
      <c r="E21" s="33"/>
      <c r="F21" s="125" t="s">
        <v>113</v>
      </c>
      <c r="G21" s="33"/>
      <c r="H21" s="33"/>
      <c r="I21" s="126" t="s">
        <v>114</v>
      </c>
      <c r="J21" s="127">
        <f>J20-((B18-B15)*0.25*$D$2*10)/(30*$D$2)</f>
        <v>2.6089194147844093</v>
      </c>
      <c r="K21" s="74"/>
      <c r="L21" s="128" t="s">
        <v>33</v>
      </c>
      <c r="M21" s="129">
        <f>J21-M20</f>
        <v>0.51405037997996006</v>
      </c>
      <c r="N21" s="19"/>
      <c r="O21" s="74"/>
      <c r="P21" s="130">
        <f>$M$20-(((B18-B14)*1.3)/(A18-A14))</f>
        <v>1.8348690348044492</v>
      </c>
      <c r="Q21" s="30"/>
      <c r="R21" s="131"/>
      <c r="S21" s="117"/>
      <c r="T21" s="41">
        <v>110</v>
      </c>
      <c r="U21" s="14">
        <v>464.98</v>
      </c>
      <c r="V21" s="15"/>
      <c r="W21" s="110"/>
      <c r="X21" s="69">
        <v>4.1000000000000002E-2</v>
      </c>
      <c r="Y21" s="70">
        <v>220</v>
      </c>
      <c r="Z21" s="71">
        <v>238.09</v>
      </c>
      <c r="AA21" s="40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4"/>
      <c r="AY21" s="74"/>
      <c r="AZ21" s="74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40"/>
    </row>
    <row r="22" spans="1:67" ht="14.1" customHeight="1" thickBot="1">
      <c r="A22" s="63"/>
      <c r="B22" s="98"/>
      <c r="C22" s="65"/>
      <c r="D22" s="99"/>
      <c r="E22" s="66"/>
      <c r="F22" s="63"/>
      <c r="G22" s="66"/>
      <c r="H22" s="66"/>
      <c r="I22" s="33"/>
      <c r="J22" s="132"/>
      <c r="K22" s="67"/>
      <c r="L22" s="133"/>
      <c r="M22" s="134"/>
      <c r="N22" s="101"/>
      <c r="O22" s="133"/>
      <c r="P22" s="133"/>
      <c r="Q22" s="30"/>
      <c r="R22" s="102" t="s">
        <v>25</v>
      </c>
      <c r="S22" s="103" t="s">
        <v>109</v>
      </c>
      <c r="T22" s="30"/>
      <c r="U22" s="14">
        <v>442.4</v>
      </c>
      <c r="V22" s="15"/>
      <c r="W22" s="110"/>
      <c r="X22" s="69">
        <v>5.5E-2</v>
      </c>
      <c r="Y22" s="70">
        <v>230</v>
      </c>
      <c r="Z22" s="71">
        <v>198.19</v>
      </c>
      <c r="AA22" s="40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4"/>
      <c r="AY22" s="74"/>
      <c r="AZ22" s="74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40"/>
    </row>
    <row r="23" spans="1:67" ht="14.1" customHeight="1">
      <c r="A23" s="63">
        <v>210</v>
      </c>
      <c r="B23" s="75">
        <v>100</v>
      </c>
      <c r="C23" s="65"/>
      <c r="D23" s="104">
        <f>AVERAGE(U31:U32)</f>
        <v>184.71499999999997</v>
      </c>
      <c r="E23" s="78">
        <f>D23-$E$5</f>
        <v>153.14999999999998</v>
      </c>
      <c r="F23" s="78"/>
      <c r="G23" s="78">
        <f t="shared" si="0"/>
        <v>1093.8738749999998</v>
      </c>
      <c r="H23" s="78">
        <f t="shared" si="1"/>
        <v>1093.8738749999998</v>
      </c>
      <c r="I23" s="33">
        <f>$C$24*A23+$C$25</f>
        <v>1168.4976946428574</v>
      </c>
      <c r="J23" s="105" t="s">
        <v>110</v>
      </c>
      <c r="K23" s="106" t="s">
        <v>111</v>
      </c>
      <c r="L23" s="67"/>
      <c r="M23" s="19">
        <f>(((S23/60)*$J$1)/$D$2)</f>
        <v>6.0035880875493364</v>
      </c>
      <c r="N23" s="101"/>
      <c r="O23" s="133"/>
      <c r="P23" s="133"/>
      <c r="Q23" s="30"/>
      <c r="R23" s="131">
        <v>210</v>
      </c>
      <c r="S23" s="117">
        <v>188</v>
      </c>
      <c r="T23" s="13">
        <v>115</v>
      </c>
      <c r="U23" s="14">
        <v>475.48</v>
      </c>
      <c r="V23" s="15"/>
      <c r="W23" s="110"/>
      <c r="X23" s="69">
        <v>5.1999999999999998E-2</v>
      </c>
      <c r="Y23" s="70">
        <v>235</v>
      </c>
      <c r="Z23" s="71">
        <v>216.63</v>
      </c>
      <c r="AA23" s="40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4"/>
      <c r="AY23" s="74"/>
      <c r="AZ23" s="74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40"/>
    </row>
    <row r="24" spans="1:67" ht="14.1" customHeight="1">
      <c r="A24" s="63">
        <v>220</v>
      </c>
      <c r="B24" s="75">
        <v>93</v>
      </c>
      <c r="C24" s="65">
        <f>SLOPE(G24:G27,A24:A27)</f>
        <v>-11.223928571428566</v>
      </c>
      <c r="D24" s="104">
        <f>AVERAGE(U33:U34)</f>
        <v>180.44499999999999</v>
      </c>
      <c r="E24" s="66">
        <f>D24-$E$5</f>
        <v>148.88</v>
      </c>
      <c r="F24" s="111">
        <v>180</v>
      </c>
      <c r="G24" s="112">
        <f t="shared" si="0"/>
        <v>1063.3753999999999</v>
      </c>
      <c r="H24" s="112">
        <f t="shared" si="1"/>
        <v>1143.4144086021504</v>
      </c>
      <c r="I24" s="33">
        <f>$C$24*A24+$C$25</f>
        <v>1056.2584089285715</v>
      </c>
      <c r="J24" s="113">
        <f>((($N$2-(130*$D$2*(((B24+B23)*0.01)/2))*((I24-I23)/(A24-A23))))/((I24+I23)/2))/$D$2</f>
        <v>7.0192634123966791</v>
      </c>
      <c r="K24" s="114">
        <f>$N$2/H24/$D$2</f>
        <v>5.5972993450301454</v>
      </c>
      <c r="L24" s="114">
        <f>J24/($D$4/$D$2)</f>
        <v>12.914710667267125</v>
      </c>
      <c r="M24" s="107">
        <f>(((S24/60)*$J$1)/$D$2)</f>
        <v>6.0035880875493364</v>
      </c>
      <c r="N24" s="19">
        <f>K24-M24</f>
        <v>-0.406288742519191</v>
      </c>
      <c r="O24" s="74">
        <f>N24/($D$4/$D$2)</f>
        <v>-0.74752880020662382</v>
      </c>
      <c r="P24" s="74"/>
      <c r="Q24" s="30"/>
      <c r="R24" s="131">
        <v>220</v>
      </c>
      <c r="S24" s="117">
        <v>188</v>
      </c>
      <c r="U24" s="14">
        <v>458.02</v>
      </c>
      <c r="V24" s="15"/>
      <c r="W24" s="110"/>
      <c r="X24" s="69">
        <v>4.1000000000000002E-2</v>
      </c>
      <c r="Y24" s="70">
        <v>240</v>
      </c>
      <c r="Z24" s="71">
        <v>222.36</v>
      </c>
      <c r="AA24" s="40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4"/>
      <c r="AY24" s="74"/>
      <c r="AZ24" s="74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40"/>
    </row>
    <row r="25" spans="1:67" ht="14.1" customHeight="1">
      <c r="A25" s="63">
        <v>230</v>
      </c>
      <c r="B25" s="75">
        <v>89</v>
      </c>
      <c r="C25" s="65">
        <f>INTERCEPT(G24:G27,A24:A27)</f>
        <v>3525.5226946428561</v>
      </c>
      <c r="D25" s="104">
        <f>AVERAGE(U35:U36)</f>
        <v>165.76</v>
      </c>
      <c r="E25" s="66">
        <f>D25-$E$5</f>
        <v>134.19499999999999</v>
      </c>
      <c r="F25" s="111">
        <v>180</v>
      </c>
      <c r="G25" s="112">
        <f t="shared" si="0"/>
        <v>958.48778749999997</v>
      </c>
      <c r="H25" s="112">
        <f t="shared" si="1"/>
        <v>1076.952570224719</v>
      </c>
      <c r="I25" s="33">
        <f>$C$24*A25+$C$25</f>
        <v>944.01912321428608</v>
      </c>
      <c r="J25" s="113">
        <f>((($N$2-(130*$D$2*(((B25+B24)*0.01)/2))*((I25-I24)/(A25-A24))))/((I25+I24)/2))/$D$2</f>
        <v>7.7267512594496628</v>
      </c>
      <c r="K25" s="114">
        <f>$N$2/H25/$D$2</f>
        <v>5.94272477480731</v>
      </c>
      <c r="L25" s="114">
        <f>J25/($D$4/$D$2)</f>
        <v>14.216414323117995</v>
      </c>
      <c r="M25" s="107">
        <f>(((S25/60)*$J$1)/$D$2)</f>
        <v>6.4825977753857194</v>
      </c>
      <c r="N25" s="19">
        <f>K25-M25</f>
        <v>-0.53987300057840937</v>
      </c>
      <c r="O25" s="114">
        <f>N25/($D$4/$D$2)</f>
        <v>-0.99330986599331061</v>
      </c>
      <c r="P25" s="74"/>
      <c r="Q25" s="30"/>
      <c r="R25" s="131">
        <v>230</v>
      </c>
      <c r="S25" s="117">
        <v>203</v>
      </c>
      <c r="T25" s="13">
        <v>120</v>
      </c>
      <c r="U25" s="14">
        <v>429.12</v>
      </c>
      <c r="V25" s="15"/>
      <c r="W25" s="110"/>
      <c r="X25" s="96">
        <f>AVERAGE(X20:X24)</f>
        <v>4.7799999999999995E-2</v>
      </c>
      <c r="Y25" s="57" t="s">
        <v>107</v>
      </c>
      <c r="Z25" s="96">
        <f>AVERAGE(Z20:Z24)</f>
        <v>223.89000000000001</v>
      </c>
      <c r="AA25" s="30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5"/>
      <c r="AY25" s="95"/>
      <c r="AZ25" s="95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40"/>
    </row>
    <row r="26" spans="1:67" ht="14.1" customHeight="1">
      <c r="A26" s="63">
        <v>235</v>
      </c>
      <c r="B26" s="75">
        <v>93</v>
      </c>
      <c r="C26" s="65"/>
      <c r="D26" s="104">
        <f>AVERAGE(U37:U38)</f>
        <v>147.84</v>
      </c>
      <c r="E26" s="66">
        <f>D26-$E$5</f>
        <v>116.27500000000001</v>
      </c>
      <c r="F26" s="111">
        <v>180</v>
      </c>
      <c r="G26" s="112">
        <f t="shared" si="0"/>
        <v>830.49418750000007</v>
      </c>
      <c r="H26" s="112">
        <f t="shared" si="1"/>
        <v>893.00450268817212</v>
      </c>
      <c r="I26" s="33">
        <f>$C$24*A26+$C$25</f>
        <v>887.89948035714315</v>
      </c>
      <c r="J26" s="113">
        <f>((($N$2-(130*$D$2*(((B26+B25)*0.01)/2))*((I26-I25)/(A26-A25))))/((I26+I25)/2))/$D$2</f>
        <v>8.436863357685235</v>
      </c>
      <c r="K26" s="114">
        <f>$N$2/H26/$D$2</f>
        <v>7.1668538076808241</v>
      </c>
      <c r="L26" s="114">
        <f>J26/($D$4/$D$2)</f>
        <v>15.522946326724204</v>
      </c>
      <c r="M26" s="107">
        <f>(((S26/60)*$J$1)/$D$2)</f>
        <v>6.9935414424111935</v>
      </c>
      <c r="N26" s="19">
        <f>K26-M26</f>
        <v>0.17331236526963067</v>
      </c>
      <c r="O26" s="114">
        <f>N26/($D$4/$D$2)</f>
        <v>0.31887662864510602</v>
      </c>
      <c r="P26" s="74"/>
      <c r="Q26" s="30"/>
      <c r="R26" s="131">
        <v>235</v>
      </c>
      <c r="S26" s="117">
        <v>219</v>
      </c>
      <c r="U26" s="14">
        <v>454.52</v>
      </c>
      <c r="V26" s="15"/>
      <c r="W26" s="11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</row>
    <row r="27" spans="1:67" ht="14.1" customHeight="1">
      <c r="A27" s="63">
        <v>240</v>
      </c>
      <c r="B27" s="118">
        <v>94</v>
      </c>
      <c r="C27" s="65"/>
      <c r="D27" s="104">
        <f>AVERAGE(U39:U40)</f>
        <v>153.035</v>
      </c>
      <c r="E27" s="66">
        <f>D27-$E$5</f>
        <v>121.47</v>
      </c>
      <c r="F27" s="111">
        <v>180</v>
      </c>
      <c r="G27" s="112">
        <f t="shared" si="0"/>
        <v>867.59947499999998</v>
      </c>
      <c r="H27" s="112">
        <f t="shared" si="1"/>
        <v>922.97816489361696</v>
      </c>
      <c r="I27" s="33">
        <f>$C$24*A27+$C$25</f>
        <v>831.77983750000021</v>
      </c>
      <c r="J27" s="113">
        <f>((($N$2-(130*$D$2*(((B27+B26)*0.01)/2))*((I27-I26)/(A27-A26))))/((I27+I26)/2))/$D$2</f>
        <v>9.0299408239658607</v>
      </c>
      <c r="K27" s="114">
        <f>$N$2/H27/$D$2</f>
        <v>6.9341106472486471</v>
      </c>
      <c r="L27" s="114">
        <f>J27/($D$4/$D$2)</f>
        <v>16.614146845964285</v>
      </c>
      <c r="M27" s="107">
        <f>(((S27/60)*$J$1)/$D$2)</f>
        <v>6.9935414424111935</v>
      </c>
      <c r="N27" s="19">
        <f>K27-M27</f>
        <v>-5.9430795162546346E-2</v>
      </c>
      <c r="O27" s="114">
        <f>N27/($D$4/$D$2)</f>
        <v>-0.10934644836014729</v>
      </c>
      <c r="P27" s="74"/>
      <c r="Q27" s="30"/>
      <c r="R27" s="131">
        <v>240</v>
      </c>
      <c r="S27" s="117">
        <v>219</v>
      </c>
      <c r="T27" s="13">
        <v>150</v>
      </c>
      <c r="U27" s="14">
        <v>343.24</v>
      </c>
      <c r="V27" s="15"/>
      <c r="W27" s="11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</row>
    <row r="28" spans="1:67" ht="14.1" customHeight="1" thickBot="1">
      <c r="A28" s="63"/>
      <c r="B28" s="118"/>
      <c r="C28" s="65"/>
      <c r="D28" s="99"/>
      <c r="E28" s="66"/>
      <c r="F28" s="135"/>
      <c r="G28" s="112"/>
      <c r="H28" s="112"/>
      <c r="I28" s="33"/>
      <c r="J28" s="113"/>
      <c r="K28" s="114"/>
      <c r="L28" s="114"/>
      <c r="M28" s="107"/>
      <c r="N28" s="107"/>
      <c r="O28" s="114"/>
      <c r="P28" s="74"/>
      <c r="Q28" s="30"/>
      <c r="R28" s="108"/>
      <c r="S28" s="117"/>
      <c r="U28" s="14">
        <v>348.66</v>
      </c>
      <c r="V28" s="15"/>
      <c r="W28" s="110"/>
      <c r="X28" s="69"/>
      <c r="Y28" s="13" t="s">
        <v>115</v>
      </c>
    </row>
    <row r="29" spans="1:67" ht="14.1" customHeight="1" thickBot="1">
      <c r="A29" s="119" t="s">
        <v>112</v>
      </c>
      <c r="B29" s="122">
        <f>AVERAGE(B23:B28)</f>
        <v>93.8</v>
      </c>
      <c r="C29" s="121"/>
      <c r="D29" s="122">
        <f>AVERAGE(D23:D28)</f>
        <v>166.35899999999998</v>
      </c>
      <c r="E29" s="122">
        <f>AVERAGE(E23:E28)</f>
        <v>134.79400000000001</v>
      </c>
      <c r="F29" s="122">
        <f>AVERAGE(F24:F28)</f>
        <v>180</v>
      </c>
      <c r="G29" s="122">
        <f>AVERAGE(G23:G28)</f>
        <v>962.76614499999994</v>
      </c>
      <c r="H29" s="122">
        <f>AVERAGE(H23:H28)</f>
        <v>1026.0447042817316</v>
      </c>
      <c r="I29" s="122"/>
      <c r="J29" s="122">
        <f t="shared" ref="J29:O29" si="3">AVERAGE(J23:J28)</f>
        <v>8.0532047133743596</v>
      </c>
      <c r="K29" s="123">
        <f t="shared" si="3"/>
        <v>6.4102471436917314</v>
      </c>
      <c r="L29" s="122">
        <f t="shared" si="3"/>
        <v>14.817054540768401</v>
      </c>
      <c r="M29" s="122">
        <f t="shared" si="3"/>
        <v>6.4953713670613551</v>
      </c>
      <c r="N29" s="123">
        <f t="shared" si="3"/>
        <v>-0.20807004324762901</v>
      </c>
      <c r="O29" s="122">
        <f t="shared" si="3"/>
        <v>-0.38282712147874387</v>
      </c>
      <c r="P29" s="122"/>
      <c r="Q29" s="136"/>
      <c r="R29" s="137"/>
      <c r="S29" s="138"/>
      <c r="T29" s="13">
        <v>180</v>
      </c>
      <c r="U29" s="14">
        <v>281.79000000000002</v>
      </c>
      <c r="V29" s="15"/>
      <c r="W29" s="110"/>
      <c r="X29" s="69"/>
      <c r="Y29" s="13" t="s">
        <v>116</v>
      </c>
    </row>
    <row r="30" spans="1:67" ht="14.1" customHeight="1">
      <c r="A30" s="70"/>
      <c r="B30" s="139"/>
      <c r="C30" s="36"/>
      <c r="D30" s="99"/>
      <c r="E30" s="33"/>
      <c r="F30" s="125" t="s">
        <v>117</v>
      </c>
      <c r="G30" s="33"/>
      <c r="H30" s="33"/>
      <c r="I30" s="140" t="s">
        <v>114</v>
      </c>
      <c r="J30" s="141">
        <f>J29-((B27-B24)*0.25*$D$2*10)/(20*$D$2)</f>
        <v>7.9282047133743596</v>
      </c>
      <c r="K30" s="74"/>
      <c r="L30" s="142" t="s">
        <v>33</v>
      </c>
      <c r="M30" s="143">
        <f>J30-M29</f>
        <v>1.4328333463130045</v>
      </c>
      <c r="N30" s="19">
        <f>AVERAGE(J24:J25)-M29</f>
        <v>0.87763596886181627</v>
      </c>
      <c r="O30" s="74"/>
      <c r="P30" s="130">
        <f>$M$29-(((B27-B23)*1.3)/(A27-A23))</f>
        <v>6.7553713670613549</v>
      </c>
      <c r="Q30" s="30"/>
      <c r="R30" s="63"/>
      <c r="S30" s="144"/>
      <c r="U30" s="14">
        <v>264.58999999999997</v>
      </c>
      <c r="V30" s="15"/>
      <c r="W30" s="110"/>
      <c r="X30" s="69"/>
      <c r="Y30" s="13" t="s">
        <v>118</v>
      </c>
    </row>
    <row r="31" spans="1:67" ht="14.1" customHeight="1">
      <c r="A31" s="145"/>
      <c r="B31" s="139"/>
      <c r="C31" s="146"/>
      <c r="D31" s="147"/>
      <c r="E31" s="148"/>
      <c r="F31" s="145"/>
      <c r="G31" s="148"/>
      <c r="H31" s="148"/>
      <c r="I31" s="148"/>
      <c r="J31" s="149"/>
      <c r="K31" s="150"/>
      <c r="L31" s="133"/>
      <c r="M31" s="134"/>
      <c r="N31" s="101"/>
      <c r="O31" s="150"/>
      <c r="P31" s="150"/>
      <c r="Q31" s="96"/>
      <c r="R31" s="151"/>
      <c r="S31" s="101" t="s">
        <v>32</v>
      </c>
      <c r="T31" s="13">
        <v>210</v>
      </c>
      <c r="U31" s="14">
        <v>186.42</v>
      </c>
      <c r="V31" s="15"/>
      <c r="W31" s="110"/>
      <c r="X31" s="69"/>
      <c r="Y31" s="13" t="s">
        <v>119</v>
      </c>
    </row>
    <row r="32" spans="1:67" ht="14.1" customHeight="1">
      <c r="A32" s="145"/>
      <c r="B32" s="148"/>
      <c r="C32" s="146"/>
      <c r="D32" s="147"/>
      <c r="E32" s="148"/>
      <c r="F32" s="148"/>
      <c r="G32" s="148"/>
      <c r="H32" s="148"/>
      <c r="I32" s="148"/>
      <c r="J32" s="152"/>
      <c r="K32" s="153"/>
      <c r="L32" s="58"/>
      <c r="M32" s="124"/>
      <c r="N32" s="101"/>
      <c r="O32" s="150"/>
      <c r="P32" s="150"/>
      <c r="Q32" s="96"/>
      <c r="R32" s="145"/>
      <c r="S32" s="58"/>
      <c r="U32" s="14">
        <v>183.01</v>
      </c>
      <c r="V32" s="15"/>
      <c r="W32" s="110"/>
      <c r="X32" s="69"/>
      <c r="Y32" s="13" t="s">
        <v>120</v>
      </c>
    </row>
    <row r="33" spans="1:99" ht="14.1" customHeight="1">
      <c r="A33" s="145"/>
      <c r="B33" s="148"/>
      <c r="C33" s="146"/>
      <c r="D33" s="147"/>
      <c r="E33" s="148"/>
      <c r="F33" s="145"/>
      <c r="G33" s="148"/>
      <c r="H33" s="148"/>
      <c r="I33" s="148"/>
      <c r="J33" s="149"/>
      <c r="K33" s="150"/>
      <c r="L33" s="150"/>
      <c r="M33" s="124"/>
      <c r="N33" s="124"/>
      <c r="O33" s="150"/>
      <c r="P33" s="150"/>
      <c r="Q33" s="96"/>
      <c r="R33" s="145"/>
      <c r="S33" s="58"/>
      <c r="T33" s="13">
        <v>220</v>
      </c>
      <c r="U33" s="14">
        <v>178</v>
      </c>
      <c r="V33" s="15"/>
      <c r="W33" s="110"/>
      <c r="X33" s="69"/>
      <c r="Y33" s="20" t="s">
        <v>121</v>
      </c>
    </row>
    <row r="34" spans="1:99" ht="14.1" customHeight="1">
      <c r="A34" s="145"/>
      <c r="B34" s="148"/>
      <c r="C34" s="146"/>
      <c r="D34" s="147"/>
      <c r="E34" s="148"/>
      <c r="F34" s="145"/>
      <c r="G34" s="148"/>
      <c r="H34" s="148"/>
      <c r="I34" s="148"/>
      <c r="J34" s="149"/>
      <c r="K34" s="150"/>
      <c r="L34" s="150"/>
      <c r="M34" s="124"/>
      <c r="N34" s="124"/>
      <c r="O34" s="150"/>
      <c r="P34" s="150"/>
      <c r="Q34" s="96"/>
      <c r="R34" s="145"/>
      <c r="S34" s="58"/>
      <c r="U34" s="14">
        <v>182.89</v>
      </c>
      <c r="V34" s="15"/>
      <c r="W34" s="110"/>
    </row>
    <row r="35" spans="1:99" ht="14.1" customHeight="1">
      <c r="A35" s="145"/>
      <c r="B35" s="148"/>
      <c r="C35" s="146"/>
      <c r="D35" s="147"/>
      <c r="E35" s="148"/>
      <c r="F35" s="145"/>
      <c r="G35" s="148"/>
      <c r="H35" s="148"/>
      <c r="I35" s="148"/>
      <c r="J35" s="149"/>
      <c r="K35" s="150"/>
      <c r="L35" s="150"/>
      <c r="M35" s="124"/>
      <c r="N35" s="124"/>
      <c r="O35" s="150"/>
      <c r="P35" s="150"/>
      <c r="Q35" s="96"/>
      <c r="R35" s="145"/>
      <c r="S35" s="58"/>
      <c r="T35" s="13">
        <v>230</v>
      </c>
      <c r="U35" s="14">
        <v>168.86</v>
      </c>
      <c r="V35" s="15"/>
      <c r="W35" s="110"/>
    </row>
    <row r="36" spans="1:99" ht="14.1" customHeight="1">
      <c r="A36" s="145"/>
      <c r="B36" s="139"/>
      <c r="C36" s="146"/>
      <c r="D36" s="147"/>
      <c r="E36" s="148"/>
      <c r="F36" s="145"/>
      <c r="G36" s="148"/>
      <c r="H36" s="148"/>
      <c r="I36" s="148"/>
      <c r="J36" s="149"/>
      <c r="K36" s="150"/>
      <c r="L36" s="150"/>
      <c r="M36" s="124"/>
      <c r="N36" s="124"/>
      <c r="O36" s="150"/>
      <c r="P36" s="150"/>
      <c r="Q36" s="96"/>
      <c r="R36" s="145"/>
      <c r="S36" s="58"/>
      <c r="U36" s="14">
        <v>162.66</v>
      </c>
      <c r="V36" s="15"/>
      <c r="W36" s="110"/>
      <c r="X36"/>
    </row>
    <row r="37" spans="1:99" ht="14.1" customHeight="1">
      <c r="A37" s="145"/>
      <c r="B37" s="139"/>
      <c r="C37" s="146"/>
      <c r="D37" s="147"/>
      <c r="E37" s="148"/>
      <c r="F37" s="145"/>
      <c r="G37" s="148"/>
      <c r="H37" s="148"/>
      <c r="I37" s="148"/>
      <c r="J37" s="149"/>
      <c r="K37" s="150"/>
      <c r="L37" s="150"/>
      <c r="M37" s="124"/>
      <c r="N37" s="124"/>
      <c r="O37" s="150"/>
      <c r="P37" s="150"/>
      <c r="Q37" s="96"/>
      <c r="R37" s="96"/>
      <c r="S37" s="58"/>
      <c r="T37" s="13">
        <v>235</v>
      </c>
      <c r="U37" s="14">
        <v>141.74</v>
      </c>
      <c r="V37" s="15"/>
      <c r="W37" s="15"/>
      <c r="X37" s="6"/>
    </row>
    <row r="38" spans="1:99" s="156" customFormat="1" ht="14.1" customHeight="1">
      <c r="A38" s="154"/>
      <c r="B38" s="139"/>
      <c r="C38" s="155"/>
      <c r="D38" s="139"/>
      <c r="E38" s="139"/>
      <c r="F38" s="139"/>
      <c r="G38" s="139"/>
      <c r="H38" s="139"/>
      <c r="I38" s="139"/>
      <c r="J38" s="124"/>
      <c r="K38" s="124"/>
      <c r="L38" s="124"/>
      <c r="M38" s="124"/>
      <c r="N38" s="124"/>
      <c r="O38" s="124"/>
      <c r="P38" s="124"/>
      <c r="Q38" s="155"/>
      <c r="R38" s="145"/>
      <c r="S38" s="58"/>
      <c r="T38" s="13"/>
      <c r="U38" s="14">
        <v>153.94</v>
      </c>
      <c r="V38" s="15"/>
      <c r="W38" s="15"/>
      <c r="X38" s="6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</row>
    <row r="39" spans="1:99" s="3" customFormat="1" ht="14.1" customHeight="1">
      <c r="A39" s="157"/>
      <c r="B39" s="158"/>
      <c r="C39" s="159"/>
      <c r="D39" s="160"/>
      <c r="E39" s="160"/>
      <c r="F39" s="161"/>
      <c r="G39" s="160"/>
      <c r="H39" s="148"/>
      <c r="I39" s="162"/>
      <c r="J39" s="163"/>
      <c r="K39" s="150"/>
      <c r="L39" s="155"/>
      <c r="M39" s="134"/>
      <c r="N39" s="155"/>
      <c r="O39" s="155"/>
      <c r="P39" s="155"/>
      <c r="Q39" s="58"/>
      <c r="R39" s="58"/>
      <c r="S39" s="58"/>
      <c r="T39" s="13">
        <v>240</v>
      </c>
      <c r="U39" s="14">
        <v>145.97</v>
      </c>
      <c r="V39" s="15"/>
      <c r="W39" s="15"/>
      <c r="X39" s="6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</row>
    <row r="40" spans="1:99" ht="14.1" customHeight="1">
      <c r="A40" s="164"/>
      <c r="B40" s="165"/>
      <c r="C40" s="164"/>
      <c r="D40" s="148"/>
      <c r="E40" s="164"/>
      <c r="F40" s="164"/>
      <c r="G40" s="96"/>
      <c r="H40" s="101"/>
      <c r="I40" s="58"/>
      <c r="J40" s="155"/>
      <c r="K40" s="166"/>
      <c r="L40" s="167"/>
      <c r="M40" s="168"/>
      <c r="N40" s="134"/>
      <c r="O40" s="169"/>
      <c r="P40" s="169"/>
      <c r="Q40" s="58"/>
      <c r="R40" s="58"/>
      <c r="S40" s="58"/>
      <c r="U40" s="14">
        <v>160.1</v>
      </c>
      <c r="V40" s="15"/>
      <c r="W40" s="15"/>
    </row>
    <row r="41" spans="1:99" ht="14.1" customHeight="1">
      <c r="A41" s="164"/>
      <c r="B41" s="170"/>
      <c r="C41" s="164"/>
      <c r="D41" s="171"/>
      <c r="E41" s="164"/>
      <c r="F41" s="164"/>
      <c r="G41" s="124"/>
      <c r="H41" s="58"/>
      <c r="I41" s="58"/>
      <c r="J41" s="170"/>
      <c r="K41" s="170"/>
      <c r="L41" s="96"/>
      <c r="M41" s="172"/>
      <c r="N41" s="160"/>
      <c r="O41" s="58"/>
      <c r="P41" s="58"/>
      <c r="Q41" s="58"/>
      <c r="R41" s="58"/>
      <c r="S41" s="58"/>
      <c r="U41" s="173"/>
      <c r="V41" s="174"/>
      <c r="W41" s="175"/>
    </row>
    <row r="42" spans="1:99" ht="14.1" customHeight="1">
      <c r="A42" s="3"/>
      <c r="B42" s="3"/>
      <c r="C42" s="3"/>
      <c r="D42" s="33"/>
      <c r="E42" s="3"/>
      <c r="F42" s="3"/>
      <c r="G42" s="19"/>
      <c r="H42" s="40"/>
      <c r="I42" s="40"/>
      <c r="J42" s="30"/>
      <c r="K42" s="30"/>
      <c r="L42" s="30"/>
      <c r="M42" s="30"/>
      <c r="N42" s="33"/>
      <c r="O42" s="33"/>
      <c r="P42" s="33"/>
      <c r="Q42" s="40"/>
      <c r="R42" s="40"/>
      <c r="U42" s="173"/>
      <c r="V42" s="174"/>
      <c r="W42" s="175"/>
    </row>
    <row r="43" spans="1:99" ht="14.1" customHeight="1">
      <c r="A43" s="30"/>
      <c r="B43" s="176"/>
      <c r="C43" s="3"/>
      <c r="D43" s="33"/>
      <c r="E43" s="177"/>
      <c r="F43" s="177"/>
      <c r="G43" s="33"/>
      <c r="H43" s="174"/>
      <c r="I43" s="40"/>
      <c r="J43" s="30"/>
      <c r="K43" s="30"/>
      <c r="L43" s="30"/>
      <c r="M43" s="33"/>
      <c r="N43" s="178"/>
      <c r="O43" s="33"/>
      <c r="P43" s="33"/>
      <c r="Q43" s="40"/>
      <c r="R43" s="40"/>
      <c r="U43" s="173"/>
      <c r="V43" s="174"/>
      <c r="W43" s="175"/>
    </row>
    <row r="44" spans="1:99" ht="14.1" customHeight="1">
      <c r="A44" s="3"/>
      <c r="B44" s="30"/>
      <c r="C44" s="3"/>
      <c r="D44" s="41"/>
      <c r="E44" s="42"/>
      <c r="F44" s="42"/>
      <c r="G44" s="19"/>
      <c r="H44" s="19"/>
      <c r="I44" s="30"/>
      <c r="J44" s="179"/>
      <c r="K44" s="179"/>
      <c r="L44" s="180"/>
      <c r="M44" s="39"/>
      <c r="N44" s="179"/>
      <c r="O44" s="180"/>
      <c r="P44" s="180"/>
      <c r="Q44" s="46"/>
      <c r="R44" s="46"/>
      <c r="U44" s="173"/>
      <c r="V44" s="174"/>
      <c r="W44" s="175"/>
    </row>
    <row r="45" spans="1:99" s="1" customFormat="1" ht="14.1" customHeight="1">
      <c r="A45" s="3"/>
      <c r="B45" s="181"/>
      <c r="C45" s="181"/>
      <c r="D45" s="25"/>
      <c r="E45" s="181"/>
      <c r="F45" s="181"/>
      <c r="G45" s="181"/>
      <c r="H45" s="95"/>
      <c r="I45" s="95"/>
      <c r="J45" s="182"/>
      <c r="K45" s="182"/>
      <c r="L45" s="182"/>
      <c r="M45" s="182"/>
      <c r="N45" s="182"/>
      <c r="O45" s="54"/>
      <c r="P45" s="54"/>
      <c r="Q45" s="55"/>
      <c r="R45" s="55"/>
      <c r="S45" s="13"/>
      <c r="T45" s="13"/>
      <c r="U45" s="173"/>
      <c r="V45" s="40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</row>
    <row r="46" spans="1:99" ht="14.1" customHeight="1">
      <c r="A46" s="70"/>
      <c r="B46" s="33"/>
      <c r="C46" s="36"/>
      <c r="D46" s="33"/>
      <c r="E46" s="33"/>
      <c r="F46" s="33"/>
      <c r="G46" s="33"/>
      <c r="H46" s="33"/>
      <c r="I46" s="33"/>
      <c r="J46" s="74"/>
      <c r="K46" s="74"/>
      <c r="L46" s="74"/>
      <c r="M46" s="30"/>
      <c r="N46" s="19"/>
      <c r="O46" s="74"/>
      <c r="P46" s="74"/>
      <c r="Q46" s="30"/>
      <c r="R46" s="30"/>
      <c r="U46" s="173"/>
    </row>
    <row r="47" spans="1:99" ht="14.1" customHeight="1">
      <c r="A47" s="70"/>
      <c r="B47" s="33"/>
      <c r="C47" s="36"/>
      <c r="D47" s="33"/>
      <c r="E47" s="33"/>
      <c r="F47" s="33"/>
      <c r="G47" s="33"/>
      <c r="H47" s="33"/>
      <c r="I47" s="33"/>
      <c r="J47" s="74"/>
      <c r="K47" s="74"/>
      <c r="L47" s="74"/>
      <c r="M47" s="30"/>
      <c r="N47" s="19"/>
      <c r="O47" s="74"/>
      <c r="P47" s="74"/>
      <c r="Q47" s="30"/>
      <c r="R47" s="30"/>
      <c r="T47" s="40"/>
      <c r="U47" s="173"/>
    </row>
    <row r="48" spans="1:99" s="80" customFormat="1" ht="14.1" customHeight="1">
      <c r="A48" s="183"/>
      <c r="B48" s="25"/>
      <c r="C48" s="184"/>
      <c r="D48" s="25"/>
      <c r="E48" s="25"/>
      <c r="F48" s="25"/>
      <c r="G48" s="25"/>
      <c r="H48" s="25"/>
      <c r="I48" s="25"/>
      <c r="J48" s="95"/>
      <c r="K48" s="95"/>
      <c r="L48" s="95"/>
      <c r="M48" s="95"/>
      <c r="N48" s="95"/>
      <c r="O48" s="95"/>
      <c r="P48" s="95"/>
      <c r="Q48" s="95"/>
      <c r="R48" s="95"/>
      <c r="S48" s="13"/>
      <c r="T48" s="40"/>
      <c r="U48" s="17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</row>
    <row r="49" spans="1:99" ht="14.1" customHeight="1">
      <c r="A49" s="30"/>
      <c r="B49" s="176"/>
      <c r="C49" s="185"/>
      <c r="D49" s="33"/>
      <c r="E49" s="40"/>
      <c r="F49" s="40"/>
      <c r="G49" s="40"/>
      <c r="H49" s="40"/>
      <c r="I49" s="40"/>
      <c r="J49" s="40"/>
      <c r="K49" s="40"/>
      <c r="L49" s="40"/>
      <c r="M49" s="30"/>
      <c r="N49" s="40"/>
      <c r="O49" s="40"/>
      <c r="P49" s="40"/>
      <c r="Q49" s="30"/>
      <c r="R49" s="30"/>
      <c r="T49" s="40"/>
      <c r="U49" s="173"/>
    </row>
    <row r="50" spans="1:99" ht="14.1" customHeight="1">
      <c r="A50" s="30"/>
      <c r="B50" s="176"/>
      <c r="C50" s="185"/>
      <c r="D50" s="33"/>
      <c r="E50" s="40"/>
      <c r="F50" s="40"/>
      <c r="G50" s="40"/>
      <c r="H50" s="40"/>
      <c r="I50" s="40"/>
      <c r="J50" s="40"/>
      <c r="K50" s="40"/>
      <c r="L50" s="40"/>
      <c r="M50" s="30"/>
      <c r="N50" s="40"/>
      <c r="O50" s="40"/>
      <c r="P50" s="40"/>
      <c r="Q50" s="30"/>
      <c r="R50" s="30"/>
      <c r="T50" s="40"/>
      <c r="U50" s="173"/>
    </row>
    <row r="51" spans="1:99" ht="14.1" customHeight="1">
      <c r="A51" s="30"/>
      <c r="B51" s="176"/>
      <c r="C51" s="185"/>
      <c r="D51" s="33"/>
      <c r="E51" s="40"/>
      <c r="F51" s="40"/>
      <c r="G51" s="40"/>
      <c r="H51" s="40"/>
      <c r="I51" s="40"/>
      <c r="J51" s="40"/>
      <c r="K51" s="40"/>
      <c r="L51" s="40"/>
      <c r="M51" s="19"/>
      <c r="N51" s="40"/>
      <c r="O51" s="40"/>
      <c r="P51" s="40"/>
      <c r="Q51" s="30"/>
      <c r="R51" s="30"/>
      <c r="T51" s="40"/>
      <c r="U51" s="173"/>
    </row>
    <row r="52" spans="1:99" ht="14.1" customHeight="1">
      <c r="A52" s="30"/>
      <c r="B52" s="176"/>
      <c r="C52" s="185"/>
      <c r="D52" s="33"/>
      <c r="E52" s="40"/>
      <c r="F52" s="40"/>
      <c r="G52" s="40"/>
      <c r="H52" s="40"/>
      <c r="I52" s="40"/>
      <c r="J52" s="40"/>
      <c r="K52" s="40"/>
      <c r="L52" s="40"/>
      <c r="M52" s="19"/>
      <c r="N52" s="40"/>
      <c r="O52" s="40"/>
      <c r="P52" s="40"/>
      <c r="Q52" s="30"/>
      <c r="R52" s="30"/>
      <c r="U52" s="173"/>
    </row>
    <row r="53" spans="1:99" ht="14.1" customHeight="1">
      <c r="A53" s="30"/>
      <c r="B53" s="176"/>
      <c r="C53" s="186"/>
      <c r="D53" s="33"/>
      <c r="E53" s="33"/>
      <c r="F53" s="33"/>
      <c r="G53" s="33"/>
      <c r="H53" s="33"/>
      <c r="I53" s="33"/>
      <c r="J53" s="187"/>
      <c r="K53" s="188"/>
      <c r="L53" s="40"/>
      <c r="M53" s="19"/>
      <c r="N53" s="40"/>
      <c r="O53" s="40"/>
      <c r="P53" s="40"/>
      <c r="Q53" s="30"/>
      <c r="R53" s="30"/>
      <c r="U53" s="173"/>
    </row>
    <row r="54" spans="1:99" ht="14.1" customHeight="1">
      <c r="A54" s="70"/>
      <c r="B54" s="189"/>
      <c r="C54" s="36"/>
      <c r="D54" s="33"/>
      <c r="E54" s="33"/>
      <c r="F54" s="33"/>
      <c r="G54" s="33"/>
      <c r="H54" s="33"/>
      <c r="I54" s="33"/>
      <c r="J54" s="132"/>
      <c r="K54" s="74"/>
      <c r="L54" s="74"/>
      <c r="M54" s="19"/>
      <c r="N54" s="19"/>
      <c r="O54" s="74"/>
      <c r="P54" s="74"/>
      <c r="Q54" s="30"/>
      <c r="R54" s="30"/>
      <c r="U54" s="173"/>
    </row>
    <row r="55" spans="1:99" ht="14.1" customHeight="1">
      <c r="A55" s="70"/>
      <c r="B55" s="189"/>
      <c r="C55" s="36"/>
      <c r="D55" s="33"/>
      <c r="E55" s="33"/>
      <c r="F55" s="33"/>
      <c r="G55" s="33"/>
      <c r="H55" s="33"/>
      <c r="I55" s="33"/>
      <c r="J55" s="132"/>
      <c r="K55" s="74"/>
      <c r="L55" s="74"/>
      <c r="M55" s="19"/>
      <c r="N55" s="19"/>
      <c r="O55" s="74"/>
      <c r="P55" s="74"/>
      <c r="Q55" s="30"/>
      <c r="R55" s="30"/>
      <c r="U55" s="173"/>
    </row>
    <row r="56" spans="1:99" s="30" customFormat="1" ht="14.1" customHeight="1">
      <c r="A56" s="70"/>
      <c r="B56" s="189"/>
      <c r="C56" s="36"/>
      <c r="D56" s="33"/>
      <c r="E56" s="33"/>
      <c r="F56" s="33"/>
      <c r="G56" s="33"/>
      <c r="H56" s="33"/>
      <c r="I56" s="33"/>
      <c r="J56" s="132"/>
      <c r="K56" s="74"/>
      <c r="L56" s="74"/>
      <c r="M56" s="19"/>
      <c r="N56" s="19"/>
      <c r="O56" s="74"/>
      <c r="P56" s="74"/>
      <c r="S56" s="13"/>
      <c r="T56" s="13"/>
      <c r="U56" s="17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</row>
    <row r="57" spans="1:99" ht="14.1" customHeight="1">
      <c r="A57" s="70"/>
      <c r="B57" s="189"/>
      <c r="C57" s="36"/>
      <c r="D57" s="33"/>
      <c r="E57" s="33"/>
      <c r="F57" s="33"/>
      <c r="G57" s="33"/>
      <c r="H57" s="33"/>
      <c r="I57" s="33"/>
      <c r="J57" s="132"/>
      <c r="K57" s="74"/>
      <c r="L57" s="74"/>
      <c r="M57" s="19"/>
      <c r="N57" s="19"/>
      <c r="O57" s="74"/>
      <c r="P57" s="74"/>
      <c r="Q57" s="30"/>
      <c r="R57" s="30"/>
      <c r="U57" s="173"/>
    </row>
    <row r="58" spans="1:99" ht="14.1" customHeight="1">
      <c r="A58" s="183"/>
      <c r="B58" s="25"/>
      <c r="C58" s="184"/>
      <c r="D58" s="25"/>
      <c r="E58" s="25"/>
      <c r="F58" s="25"/>
      <c r="G58" s="25"/>
      <c r="H58" s="25"/>
      <c r="I58" s="25"/>
      <c r="J58" s="95"/>
      <c r="K58" s="95"/>
      <c r="L58" s="95"/>
      <c r="M58" s="95"/>
      <c r="N58" s="95"/>
      <c r="O58" s="95"/>
      <c r="P58" s="95"/>
      <c r="Q58" s="95"/>
      <c r="R58" s="95"/>
      <c r="U58" s="173"/>
    </row>
    <row r="59" spans="1:99" s="115" customFormat="1" ht="14.1" customHeight="1">
      <c r="A59" s="40"/>
      <c r="B59" s="40"/>
      <c r="C59" s="40"/>
      <c r="D59" s="19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13"/>
      <c r="T59" s="13"/>
      <c r="U59" s="17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</row>
    <row r="60" spans="1:99" s="30" customFormat="1" ht="14.1" customHeight="1">
      <c r="A60" s="191"/>
      <c r="B60" s="40"/>
      <c r="C60" s="40"/>
      <c r="D60" s="19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13"/>
      <c r="T60" s="13"/>
      <c r="U60" s="17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</row>
    <row r="61" spans="1:99" ht="14.1" customHeight="1">
      <c r="A61" s="40"/>
      <c r="B61" s="40"/>
      <c r="C61" s="40"/>
      <c r="D61" s="19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U61" s="173"/>
    </row>
    <row r="62" spans="1:99" ht="14.1" customHeight="1">
      <c r="A62" s="40"/>
      <c r="B62" s="40"/>
      <c r="C62" s="40"/>
      <c r="D62" s="19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U62" s="173"/>
    </row>
    <row r="63" spans="1:99" ht="14.1" customHeight="1">
      <c r="A63" s="40"/>
      <c r="B63" s="40"/>
      <c r="C63" s="40"/>
      <c r="D63" s="19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U63" s="173"/>
    </row>
    <row r="64" spans="1:99" s="156" customFormat="1" ht="14.1" customHeight="1">
      <c r="A64" s="30"/>
      <c r="B64" s="189"/>
      <c r="C64" s="36"/>
      <c r="D64" s="33"/>
      <c r="E64" s="189"/>
      <c r="F64" s="189"/>
      <c r="G64" s="19"/>
      <c r="H64" s="30"/>
      <c r="I64" s="30"/>
      <c r="J64" s="30"/>
      <c r="K64" s="30"/>
      <c r="L64" s="30"/>
      <c r="M64" s="30"/>
      <c r="N64" s="19"/>
      <c r="O64" s="30"/>
      <c r="P64" s="30"/>
      <c r="Q64" s="40"/>
      <c r="R64" s="40"/>
      <c r="S64" s="13"/>
      <c r="T64" s="13"/>
      <c r="U64" s="17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</row>
    <row r="65" spans="1:21" s="13" customFormat="1" ht="14.1" customHeight="1">
      <c r="A65" s="30"/>
      <c r="B65" s="189"/>
      <c r="C65" s="36"/>
      <c r="D65" s="33"/>
      <c r="E65" s="189"/>
      <c r="F65" s="189"/>
      <c r="G65" s="19"/>
      <c r="H65" s="30"/>
      <c r="I65" s="30"/>
      <c r="J65" s="30"/>
      <c r="K65" s="30"/>
      <c r="L65" s="30"/>
      <c r="M65" s="30"/>
      <c r="N65" s="19"/>
      <c r="O65" s="30"/>
      <c r="P65" s="30"/>
      <c r="Q65" s="40"/>
      <c r="R65" s="40"/>
      <c r="U65" s="173"/>
    </row>
    <row r="66" spans="1:21" s="13" customFormat="1" ht="14.1" customHeight="1">
      <c r="A66" s="12"/>
      <c r="B66" s="192"/>
      <c r="C66" s="65"/>
      <c r="D66" s="66"/>
      <c r="E66" s="192"/>
      <c r="F66" s="192"/>
      <c r="G66" s="68"/>
      <c r="H66" s="12"/>
      <c r="I66" s="12"/>
      <c r="J66" s="12"/>
      <c r="K66" s="12"/>
      <c r="L66" s="12"/>
      <c r="M66" s="12"/>
      <c r="N66" s="68"/>
      <c r="O66" s="12"/>
      <c r="P66" s="12"/>
      <c r="U66" s="173"/>
    </row>
    <row r="67" spans="1:21" ht="14.1" customHeight="1">
      <c r="C67" s="65"/>
      <c r="U67" s="173"/>
    </row>
    <row r="68" spans="1:21" ht="14.1" customHeight="1">
      <c r="A68" s="13"/>
      <c r="B68" s="13"/>
      <c r="C68" s="13"/>
      <c r="D68" s="97"/>
      <c r="E68" s="13"/>
      <c r="F68" s="13"/>
      <c r="G68" s="13"/>
      <c r="H68" s="13"/>
      <c r="I68" s="13"/>
      <c r="J68" s="13"/>
      <c r="M68" s="13"/>
      <c r="N68" s="13"/>
      <c r="O68" s="13"/>
      <c r="P68" s="13"/>
      <c r="U68" s="173"/>
    </row>
    <row r="69" spans="1:21" ht="14.1" customHeight="1">
      <c r="A69" s="13"/>
      <c r="B69" s="13"/>
      <c r="C69" s="13"/>
      <c r="D69" s="97"/>
      <c r="E69" s="13"/>
      <c r="F69" s="13"/>
      <c r="G69" s="13"/>
      <c r="H69" s="13"/>
      <c r="I69" s="13"/>
      <c r="J69" s="13"/>
      <c r="M69" s="13"/>
      <c r="N69" s="13"/>
      <c r="O69" s="13"/>
      <c r="P69" s="13"/>
      <c r="U69" s="173"/>
    </row>
    <row r="70" spans="1:21" ht="14.1" customHeight="1">
      <c r="C70" s="65"/>
      <c r="U70" s="173"/>
    </row>
    <row r="71" spans="1:21" ht="14.1" customHeight="1">
      <c r="C71" s="65"/>
      <c r="Q71" s="13"/>
      <c r="R71" s="13"/>
    </row>
    <row r="72" spans="1:21" ht="14.1" customHeight="1">
      <c r="C72" s="65"/>
      <c r="Q72" s="13"/>
      <c r="R72" s="13"/>
    </row>
    <row r="73" spans="1:21" ht="14.1" customHeight="1">
      <c r="C73" s="65"/>
    </row>
    <row r="74" spans="1:21" ht="14.1" customHeight="1">
      <c r="C74" s="65"/>
    </row>
  </sheetData>
  <pageMargins left="0.75" right="0.5" top="1" bottom="0.5" header="0.5" footer="0.5"/>
  <pageSetup scale="70" orientation="landscape" r:id="rId1"/>
  <headerFooter alignWithMargins="0">
    <oddHeader>&amp;R&amp;D</oddHeader>
  </headerFooter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U74"/>
  <sheetViews>
    <sheetView topLeftCell="P1" zoomScale="87" zoomScaleNormal="87" workbookViewId="0">
      <selection activeCell="AB11" sqref="AB11:CQ11"/>
    </sheetView>
  </sheetViews>
  <sheetFormatPr defaultColWidth="13.7109375" defaultRowHeight="14.1" customHeight="1"/>
  <cols>
    <col min="1" max="1" width="6.28515625" style="12" customWidth="1"/>
    <col min="2" max="2" width="16.5703125" style="192" customWidth="1"/>
    <col min="3" max="3" width="8.28515625" style="12" customWidth="1"/>
    <col min="4" max="4" width="11.140625" style="66" customWidth="1"/>
    <col min="5" max="5" width="12.85546875" style="192" customWidth="1"/>
    <col min="6" max="6" width="9.28515625" style="192" customWidth="1"/>
    <col min="7" max="7" width="9.140625" style="68" customWidth="1"/>
    <col min="8" max="8" width="10.85546875" style="12" customWidth="1"/>
    <col min="9" max="9" width="13.140625" style="12" customWidth="1"/>
    <col min="10" max="10" width="12.28515625" style="12" customWidth="1"/>
    <col min="11" max="11" width="10.140625" style="12" customWidth="1"/>
    <col min="12" max="12" width="14.42578125" style="12" customWidth="1"/>
    <col min="13" max="13" width="8.85546875" style="12" customWidth="1"/>
    <col min="14" max="14" width="17.140625" style="68" customWidth="1"/>
    <col min="15" max="15" width="15.7109375" style="12" customWidth="1"/>
    <col min="16" max="16" width="10.85546875" style="12" customWidth="1"/>
    <col min="17" max="17" width="6.140625" style="12" customWidth="1"/>
    <col min="18" max="18" width="7.28515625" style="12" customWidth="1"/>
    <col min="19" max="19" width="12" style="13" customWidth="1"/>
    <col min="20" max="20" width="10.42578125" style="13" customWidth="1"/>
    <col min="21" max="21" width="13.7109375" style="13" customWidth="1"/>
    <col min="22" max="22" width="2.5703125" style="13" customWidth="1"/>
    <col min="23" max="29" width="13.7109375" style="13" customWidth="1"/>
    <col min="30" max="31" width="25" style="13" customWidth="1"/>
    <col min="32" max="34" width="13.7109375" style="13" customWidth="1"/>
    <col min="35" max="35" width="19.85546875" style="13" customWidth="1"/>
    <col min="36" max="36" width="19.5703125" style="13" customWidth="1"/>
    <col min="37" max="37" width="27.42578125" style="13" customWidth="1"/>
    <col min="38" max="38" width="31.42578125" style="13" customWidth="1"/>
    <col min="39" max="39" width="31.28515625" style="13" customWidth="1"/>
    <col min="40" max="45" width="27.42578125" style="13" customWidth="1"/>
    <col min="46" max="46" width="31.28515625" style="13" customWidth="1"/>
    <col min="47" max="47" width="35.42578125" style="13" customWidth="1"/>
    <col min="48" max="50" width="13.7109375" style="13" customWidth="1"/>
    <col min="51" max="52" width="17.28515625" style="13" customWidth="1"/>
    <col min="53" max="60" width="17.5703125" style="13" customWidth="1"/>
    <col min="61" max="65" width="20.42578125" style="13" customWidth="1"/>
    <col min="66" max="68" width="13.7109375" style="13" customWidth="1"/>
    <col min="69" max="69" width="18.7109375" style="13" customWidth="1"/>
    <col min="70" max="72" width="13.7109375" style="13" customWidth="1"/>
    <col min="73" max="73" width="17.28515625" style="13" customWidth="1"/>
    <col min="74" max="74" width="16.85546875" style="13" customWidth="1"/>
    <col min="75" max="75" width="13.7109375" style="13" customWidth="1"/>
    <col min="76" max="76" width="17" style="13" customWidth="1"/>
    <col min="77" max="81" width="17.85546875" style="13" customWidth="1"/>
    <col min="82" max="92" width="13.7109375" style="13" customWidth="1"/>
    <col min="93" max="93" width="26.140625" style="13" customWidth="1"/>
    <col min="94" max="94" width="25.7109375" style="13" customWidth="1"/>
    <col min="95" max="95" width="22.85546875" style="13" customWidth="1"/>
    <col min="96" max="99" width="13.7109375" style="13" customWidth="1"/>
    <col min="100" max="16384" width="13.7109375" style="12"/>
  </cols>
  <sheetData>
    <row r="1" spans="1:99" ht="14.1" customHeight="1">
      <c r="A1" s="1" t="s">
        <v>0</v>
      </c>
      <c r="B1" s="2" t="s">
        <v>171</v>
      </c>
      <c r="C1" s="3" t="s">
        <v>1</v>
      </c>
      <c r="D1" s="4" t="s">
        <v>183</v>
      </c>
      <c r="E1" s="1" t="s">
        <v>2</v>
      </c>
      <c r="F1" s="1"/>
      <c r="G1" s="5">
        <v>63</v>
      </c>
      <c r="H1" s="6"/>
      <c r="I1" s="6" t="s">
        <v>3</v>
      </c>
      <c r="J1" s="5">
        <v>178</v>
      </c>
      <c r="K1" s="7"/>
      <c r="L1" s="7"/>
      <c r="M1" s="8" t="s">
        <v>4</v>
      </c>
      <c r="N1" s="9">
        <f>((AVERAGE(W7:W8))*20)</f>
        <v>7290035</v>
      </c>
      <c r="O1" s="10">
        <f>(O3*20)</f>
        <v>7231507.0542000001</v>
      </c>
      <c r="P1" s="10"/>
      <c r="Q1" s="11" t="s">
        <v>5</v>
      </c>
      <c r="S1" s="13">
        <v>-120</v>
      </c>
      <c r="T1" s="13" t="s">
        <v>6</v>
      </c>
      <c r="U1" s="14">
        <v>41.06</v>
      </c>
      <c r="V1" s="15"/>
      <c r="W1" s="15" t="s">
        <v>7</v>
      </c>
    </row>
    <row r="2" spans="1:99" ht="14.1" customHeight="1" thickBot="1">
      <c r="A2" s="16" t="s">
        <v>8</v>
      </c>
      <c r="B2" s="17">
        <v>42691</v>
      </c>
      <c r="C2" s="3" t="s">
        <v>9</v>
      </c>
      <c r="D2" s="18">
        <v>91</v>
      </c>
      <c r="E2" s="3" t="s">
        <v>10</v>
      </c>
      <c r="F2" s="3"/>
      <c r="G2" s="19">
        <f>D2/(D3/100*D3/100)</f>
        <v>36.452491587886556</v>
      </c>
      <c r="H2" s="13"/>
      <c r="I2" s="20" t="s">
        <v>11</v>
      </c>
      <c r="J2" s="21"/>
      <c r="K2" s="22"/>
      <c r="L2" s="23"/>
      <c r="M2" s="24" t="s">
        <v>12</v>
      </c>
      <c r="N2" s="25">
        <f>(O1*0.068)</f>
        <v>491742.47968560003</v>
      </c>
      <c r="O2" s="13"/>
      <c r="P2" s="13"/>
      <c r="Q2" s="11"/>
      <c r="R2" s="26"/>
      <c r="T2" s="13" t="s">
        <v>6</v>
      </c>
      <c r="U2" s="14">
        <v>40.65</v>
      </c>
      <c r="V2" s="15"/>
      <c r="W2" s="27">
        <v>129013.6</v>
      </c>
    </row>
    <row r="3" spans="1:99" ht="14.1" customHeight="1" thickTop="1" thickBot="1">
      <c r="A3" s="16" t="s">
        <v>13</v>
      </c>
      <c r="B3" s="28" t="s">
        <v>14</v>
      </c>
      <c r="C3" s="3" t="s">
        <v>15</v>
      </c>
      <c r="D3" s="29">
        <v>158</v>
      </c>
      <c r="E3" s="3" t="s">
        <v>16</v>
      </c>
      <c r="F3" s="3"/>
      <c r="G3" s="19">
        <f>SQRT(((D2*D3)/3600))</f>
        <v>1.9984716382498124</v>
      </c>
      <c r="H3" s="13"/>
      <c r="I3" s="20"/>
      <c r="J3" s="30"/>
      <c r="K3" s="30"/>
      <c r="L3" s="30"/>
      <c r="M3" s="31" t="s">
        <v>17</v>
      </c>
      <c r="N3" s="32">
        <f>($O$1/$N$1)*100</f>
        <v>99.197151374444701</v>
      </c>
      <c r="O3" s="33">
        <f>((AVERAGE(W2:W5))*2.85714)</f>
        <v>361575.35271000001</v>
      </c>
      <c r="P3" s="33"/>
      <c r="Q3" s="34" t="s">
        <v>18</v>
      </c>
      <c r="R3" s="13"/>
      <c r="T3" s="13">
        <v>-30</v>
      </c>
      <c r="U3" s="14">
        <v>566.98</v>
      </c>
      <c r="V3" s="15"/>
      <c r="W3" s="27">
        <v>129508.1</v>
      </c>
    </row>
    <row r="4" spans="1:99" ht="14.1" customHeight="1" thickTop="1">
      <c r="B4" s="35"/>
      <c r="C4" s="3" t="s">
        <v>19</v>
      </c>
      <c r="D4" s="19">
        <v>48.073</v>
      </c>
      <c r="E4" s="37" t="s">
        <v>20</v>
      </c>
      <c r="F4" s="37"/>
      <c r="G4" s="38">
        <v>0.46</v>
      </c>
      <c r="H4" s="13"/>
      <c r="I4" s="20"/>
      <c r="J4" s="30"/>
      <c r="K4" s="30"/>
      <c r="L4" s="30"/>
      <c r="M4" s="33"/>
      <c r="N4" s="39"/>
      <c r="O4" s="30"/>
      <c r="P4" s="30"/>
      <c r="Q4" s="30"/>
      <c r="R4" s="30"/>
      <c r="U4" s="14">
        <v>508.91</v>
      </c>
      <c r="V4" s="15"/>
      <c r="W4" s="27">
        <v>124840.1</v>
      </c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</row>
    <row r="5" spans="1:99" ht="14.1" customHeight="1" thickBot="1">
      <c r="A5" s="16"/>
      <c r="B5" s="30"/>
      <c r="C5" s="3"/>
      <c r="D5" s="41" t="s">
        <v>21</v>
      </c>
      <c r="E5" s="42">
        <f>AVERAGE(U1:U2)</f>
        <v>40.855000000000004</v>
      </c>
      <c r="F5" s="42"/>
      <c r="G5" s="19"/>
      <c r="H5" s="30"/>
      <c r="I5" s="30"/>
      <c r="J5" s="43" t="s">
        <v>22</v>
      </c>
      <c r="K5" s="43"/>
      <c r="L5" s="44" t="s">
        <v>23</v>
      </c>
      <c r="M5" s="45"/>
      <c r="N5" s="43" t="s">
        <v>22</v>
      </c>
      <c r="O5" s="44" t="s">
        <v>23</v>
      </c>
      <c r="P5" s="44" t="s">
        <v>24</v>
      </c>
      <c r="Q5" s="46"/>
      <c r="R5" s="46"/>
      <c r="T5" s="13">
        <v>-20</v>
      </c>
      <c r="U5" s="14">
        <v>602.72</v>
      </c>
      <c r="V5" s="15"/>
      <c r="W5" s="27">
        <v>122844.2</v>
      </c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</row>
    <row r="6" spans="1:99" s="1" customFormat="1" ht="14.1" customHeight="1">
      <c r="A6" s="47" t="s">
        <v>25</v>
      </c>
      <c r="B6" s="48" t="s">
        <v>26</v>
      </c>
      <c r="C6" s="48"/>
      <c r="D6" s="49" t="s">
        <v>27</v>
      </c>
      <c r="E6" s="48" t="s">
        <v>28</v>
      </c>
      <c r="F6" s="48"/>
      <c r="G6" s="48" t="s">
        <v>29</v>
      </c>
      <c r="H6" s="50" t="s">
        <v>30</v>
      </c>
      <c r="I6" s="50"/>
      <c r="J6" s="51" t="s">
        <v>31</v>
      </c>
      <c r="K6" s="52"/>
      <c r="L6" s="52" t="s">
        <v>31</v>
      </c>
      <c r="M6" s="52" t="s">
        <v>32</v>
      </c>
      <c r="N6" s="52" t="s">
        <v>33</v>
      </c>
      <c r="O6" s="53" t="s">
        <v>34</v>
      </c>
      <c r="P6" s="54"/>
      <c r="Q6" s="55"/>
      <c r="R6" s="55"/>
      <c r="S6" s="13"/>
      <c r="T6" s="13"/>
      <c r="U6" s="14">
        <v>540.13</v>
      </c>
      <c r="V6" s="15"/>
      <c r="W6" s="56" t="s">
        <v>35</v>
      </c>
      <c r="X6" s="13" t="s">
        <v>36</v>
      </c>
      <c r="Y6" s="57" t="s">
        <v>37</v>
      </c>
      <c r="Z6" s="58" t="s">
        <v>38</v>
      </c>
      <c r="AA6" s="40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60"/>
      <c r="AY6" s="60"/>
      <c r="AZ6" s="60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60"/>
      <c r="BO6" s="60"/>
      <c r="BP6" s="60"/>
      <c r="BQ6" s="59"/>
      <c r="BR6" s="59"/>
      <c r="BS6" s="59"/>
      <c r="BT6" s="59"/>
      <c r="BU6" s="59"/>
      <c r="BV6" s="59"/>
      <c r="BW6" s="59"/>
      <c r="BX6" s="59"/>
      <c r="BY6" s="59"/>
      <c r="BZ6" s="61"/>
      <c r="CA6" s="61"/>
      <c r="CB6" s="61"/>
      <c r="CC6" s="61"/>
      <c r="CD6" s="40"/>
      <c r="CE6" s="61"/>
      <c r="CF6" s="61"/>
      <c r="CG6" s="33"/>
      <c r="CH6" s="40"/>
      <c r="CI6" s="30"/>
      <c r="CJ6" s="30"/>
      <c r="CK6" s="30"/>
      <c r="CL6" s="30"/>
      <c r="CM6" s="30"/>
      <c r="CN6" s="30"/>
      <c r="CO6" s="30"/>
      <c r="CP6" s="62"/>
      <c r="CQ6" s="62"/>
      <c r="CR6" s="13"/>
      <c r="CS6" s="13"/>
      <c r="CT6" s="13"/>
      <c r="CU6" s="13"/>
    </row>
    <row r="7" spans="1:99" ht="14.1" customHeight="1">
      <c r="A7" s="63">
        <v>-30</v>
      </c>
      <c r="B7" s="64">
        <v>121</v>
      </c>
      <c r="C7" s="65"/>
      <c r="D7" s="42">
        <f>AVERAGE(U3:U4)</f>
        <v>537.94500000000005</v>
      </c>
      <c r="E7" s="66">
        <f>D7-$E$5</f>
        <v>497.09000000000003</v>
      </c>
      <c r="F7" s="66"/>
      <c r="G7" s="66">
        <f>($E7*7.1425)</f>
        <v>3550.4653250000001</v>
      </c>
      <c r="H7" s="66">
        <f>($G7/($B7*0.01))</f>
        <v>2934.2688636363637</v>
      </c>
      <c r="I7" s="66"/>
      <c r="J7" s="67">
        <f>$N$2/$H7/$D$2</f>
        <v>1.8416047622615697</v>
      </c>
      <c r="K7" s="67"/>
      <c r="L7" s="67">
        <f>J7/($D$4/$D$2)</f>
        <v>3.4860739576436428</v>
      </c>
      <c r="N7" s="68">
        <f>J7-M7</f>
        <v>1.8416047622615697</v>
      </c>
      <c r="O7" s="67">
        <f>N7/($D$4/$D$2)</f>
        <v>3.4860739576436428</v>
      </c>
      <c r="P7" s="67"/>
      <c r="Q7" s="30"/>
      <c r="R7" s="30"/>
      <c r="T7" s="13">
        <v>-10</v>
      </c>
      <c r="U7" s="14">
        <v>591.41999999999996</v>
      </c>
      <c r="V7" s="15"/>
      <c r="W7" s="27">
        <v>365186.2</v>
      </c>
      <c r="X7" s="69">
        <v>0.45300000000000001</v>
      </c>
      <c r="Y7" s="70">
        <v>-30</v>
      </c>
      <c r="Z7" s="71">
        <v>22.56</v>
      </c>
      <c r="AA7" s="40"/>
      <c r="AB7" s="72"/>
      <c r="AC7" s="72"/>
      <c r="AD7" s="72"/>
      <c r="AE7" s="72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19"/>
      <c r="AY7" s="74"/>
      <c r="AZ7" s="74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</row>
    <row r="8" spans="1:99" ht="14.1" customHeight="1">
      <c r="A8" s="63">
        <v>-20</v>
      </c>
      <c r="B8" s="64">
        <v>110</v>
      </c>
      <c r="C8" s="65"/>
      <c r="D8" s="66">
        <f>AVERAGE(U5:U6)</f>
        <v>571.42499999999995</v>
      </c>
      <c r="E8" s="66">
        <f>D8-$E$5</f>
        <v>530.56999999999994</v>
      </c>
      <c r="F8" s="66"/>
      <c r="G8" s="66">
        <f>($E8*7.1425)</f>
        <v>3789.5962249999998</v>
      </c>
      <c r="H8" s="66">
        <f>($G8/($B8*0.01))</f>
        <v>3445.0874772727266</v>
      </c>
      <c r="I8" s="66"/>
      <c r="J8" s="67">
        <f>$N$2/H8/$D$2</f>
        <v>1.5685417420246217</v>
      </c>
      <c r="K8" s="67"/>
      <c r="L8" s="67">
        <f>J8/($D$4/$D$2)</f>
        <v>2.9691780942366934</v>
      </c>
      <c r="N8" s="68">
        <f>J8-M8</f>
        <v>1.5685417420246217</v>
      </c>
      <c r="O8" s="67">
        <f>N8/($D$4/$D$2)</f>
        <v>2.9691780942366934</v>
      </c>
      <c r="P8" s="67"/>
      <c r="Q8" s="30"/>
      <c r="R8" s="30"/>
      <c r="U8" s="14">
        <v>585.01</v>
      </c>
      <c r="V8" s="15"/>
      <c r="W8" s="27">
        <v>363817.3</v>
      </c>
      <c r="X8" s="69">
        <v>0.49099999999999999</v>
      </c>
      <c r="Y8" s="70">
        <v>-20</v>
      </c>
      <c r="Z8" s="71">
        <v>19.73</v>
      </c>
      <c r="AA8" s="40"/>
      <c r="AB8" s="72"/>
      <c r="AC8" s="72"/>
      <c r="AD8" s="72"/>
      <c r="AE8" s="72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19"/>
      <c r="AY8" s="74"/>
      <c r="AZ8" s="74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</row>
    <row r="9" spans="1:99" ht="14.1" customHeight="1" thickBot="1">
      <c r="A9" s="63">
        <v>-10</v>
      </c>
      <c r="B9" s="75">
        <v>115</v>
      </c>
      <c r="C9" s="65"/>
      <c r="D9" s="66">
        <f>AVERAGE(U7:U8)</f>
        <v>588.21499999999992</v>
      </c>
      <c r="E9" s="66">
        <f>D9-$E$5</f>
        <v>547.3599999999999</v>
      </c>
      <c r="F9" s="66"/>
      <c r="G9" s="66">
        <f>($E9*7.1425)</f>
        <v>3909.5187999999994</v>
      </c>
      <c r="H9" s="66">
        <f>($G9/($B9*0.01))</f>
        <v>3399.5815652173906</v>
      </c>
      <c r="I9" s="66"/>
      <c r="J9" s="67">
        <f>$N$2/H9/$D$2</f>
        <v>1.5895378326311818</v>
      </c>
      <c r="K9" s="67"/>
      <c r="L9" s="67">
        <f>J9/($D$4/$D$2)</f>
        <v>3.008922737699697</v>
      </c>
      <c r="N9" s="68">
        <f>J9-M9</f>
        <v>1.5895378326311818</v>
      </c>
      <c r="O9" s="67">
        <f>N9/($D$4/$D$2)</f>
        <v>3.008922737699697</v>
      </c>
      <c r="P9" s="67"/>
      <c r="Q9" s="30"/>
      <c r="R9" s="30"/>
      <c r="T9" s="13">
        <v>-5</v>
      </c>
      <c r="U9" s="14">
        <v>562.54999999999995</v>
      </c>
      <c r="V9" s="15"/>
      <c r="W9" s="76"/>
      <c r="X9" s="69">
        <v>0.52700000000000002</v>
      </c>
      <c r="Y9" s="70">
        <v>-10</v>
      </c>
      <c r="Z9" s="71">
        <v>18.292999999999999</v>
      </c>
      <c r="AA9" s="40"/>
      <c r="AB9" s="72"/>
      <c r="AC9" s="72"/>
      <c r="AD9" s="72"/>
      <c r="AE9" s="72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19"/>
      <c r="AY9" s="74"/>
      <c r="AZ9" s="74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</row>
    <row r="10" spans="1:99" s="80" customFormat="1" ht="14.1" customHeight="1">
      <c r="A10" s="77">
        <v>0</v>
      </c>
      <c r="B10" s="75">
        <v>109</v>
      </c>
      <c r="C10" s="65"/>
      <c r="D10" s="66">
        <f>AVERAGE(U11:U12)</f>
        <v>604.91499999999996</v>
      </c>
      <c r="E10" s="66">
        <f>D10-$E$5</f>
        <v>564.05999999999995</v>
      </c>
      <c r="F10" s="66"/>
      <c r="G10" s="78">
        <f>($E10*7.1425)</f>
        <v>4028.7985499999995</v>
      </c>
      <c r="H10" s="78">
        <f>($G10/($B10*0.01))</f>
        <v>3696.1454587155954</v>
      </c>
      <c r="I10" s="78"/>
      <c r="J10" s="79">
        <f>$N$2/H10/$D$2</f>
        <v>1.4619996895106968</v>
      </c>
      <c r="K10" s="79"/>
      <c r="L10" s="67">
        <f>J10/($D$4/$D$2)</f>
        <v>2.767498840211208</v>
      </c>
      <c r="N10" s="81">
        <f>J10-M10</f>
        <v>1.4619996895106968</v>
      </c>
      <c r="O10" s="67">
        <f>N10/($D$4/$D$2)</f>
        <v>2.767498840211208</v>
      </c>
      <c r="P10" s="67"/>
      <c r="Q10" s="30"/>
      <c r="R10" s="30"/>
      <c r="S10" s="13"/>
      <c r="T10" s="13" t="s">
        <v>39</v>
      </c>
      <c r="U10" s="14">
        <v>571.83000000000004</v>
      </c>
      <c r="V10" s="15"/>
      <c r="W10" s="15"/>
      <c r="X10" s="69">
        <v>0.63900000000000001</v>
      </c>
      <c r="Y10" s="70">
        <v>0</v>
      </c>
      <c r="Z10" s="82">
        <v>19.152000000000001</v>
      </c>
      <c r="AA10" s="30"/>
      <c r="AB10" s="83" t="s">
        <v>40</v>
      </c>
      <c r="AC10" s="83" t="s">
        <v>41</v>
      </c>
      <c r="AD10" s="83" t="s">
        <v>42</v>
      </c>
      <c r="AE10" s="83" t="s">
        <v>43</v>
      </c>
      <c r="AF10" s="83" t="s">
        <v>44</v>
      </c>
      <c r="AG10" s="83" t="s">
        <v>45</v>
      </c>
      <c r="AH10" s="83" t="s">
        <v>46</v>
      </c>
      <c r="AI10" s="83" t="s">
        <v>47</v>
      </c>
      <c r="AJ10" s="83" t="s">
        <v>48</v>
      </c>
      <c r="AK10" s="83" t="s">
        <v>49</v>
      </c>
      <c r="AL10" s="83" t="s">
        <v>50</v>
      </c>
      <c r="AM10" s="83" t="s">
        <v>51</v>
      </c>
      <c r="AN10" s="83" t="s">
        <v>52</v>
      </c>
      <c r="AO10" s="83" t="s">
        <v>53</v>
      </c>
      <c r="AP10" s="83" t="s">
        <v>54</v>
      </c>
      <c r="AQ10" s="83" t="s">
        <v>55</v>
      </c>
      <c r="AR10" s="83" t="s">
        <v>56</v>
      </c>
      <c r="AS10" s="83" t="s">
        <v>57</v>
      </c>
      <c r="AT10" s="83" t="s">
        <v>58</v>
      </c>
      <c r="AU10" s="83" t="s">
        <v>59</v>
      </c>
      <c r="AV10" s="84" t="s">
        <v>60</v>
      </c>
      <c r="AW10" s="84" t="s">
        <v>61</v>
      </c>
      <c r="AX10" s="85" t="s">
        <v>62</v>
      </c>
      <c r="AY10" s="85" t="s">
        <v>63</v>
      </c>
      <c r="AZ10" s="85" t="s">
        <v>64</v>
      </c>
      <c r="BA10" s="86" t="s">
        <v>65</v>
      </c>
      <c r="BB10" s="86" t="s">
        <v>66</v>
      </c>
      <c r="BC10" s="86" t="s">
        <v>67</v>
      </c>
      <c r="BD10" s="86" t="s">
        <v>68</v>
      </c>
      <c r="BE10" s="86" t="s">
        <v>69</v>
      </c>
      <c r="BF10" s="86" t="s">
        <v>70</v>
      </c>
      <c r="BG10" s="86" t="s">
        <v>71</v>
      </c>
      <c r="BH10" s="86" t="s">
        <v>72</v>
      </c>
      <c r="BI10" s="86" t="s">
        <v>73</v>
      </c>
      <c r="BJ10" s="86" t="s">
        <v>74</v>
      </c>
      <c r="BK10" s="86" t="s">
        <v>75</v>
      </c>
      <c r="BL10" s="86" t="s">
        <v>76</v>
      </c>
      <c r="BM10" s="86" t="s">
        <v>77</v>
      </c>
      <c r="BN10" s="87" t="s">
        <v>78</v>
      </c>
      <c r="BO10" s="87" t="s">
        <v>79</v>
      </c>
      <c r="BP10" s="87" t="s">
        <v>80</v>
      </c>
      <c r="BQ10" s="88" t="s">
        <v>81</v>
      </c>
      <c r="BR10" s="88" t="s">
        <v>82</v>
      </c>
      <c r="BS10" s="88" t="s">
        <v>83</v>
      </c>
      <c r="BT10" s="88" t="s">
        <v>84</v>
      </c>
      <c r="BU10" s="88" t="s">
        <v>85</v>
      </c>
      <c r="BV10" s="88" t="s">
        <v>86</v>
      </c>
      <c r="BW10" s="88" t="s">
        <v>87</v>
      </c>
      <c r="BX10" s="88" t="s">
        <v>88</v>
      </c>
      <c r="BY10" s="88" t="s">
        <v>89</v>
      </c>
      <c r="BZ10" s="88" t="s">
        <v>90</v>
      </c>
      <c r="CA10" s="88" t="s">
        <v>91</v>
      </c>
      <c r="CB10" s="88" t="s">
        <v>92</v>
      </c>
      <c r="CC10" s="88" t="s">
        <v>93</v>
      </c>
      <c r="CD10" s="40"/>
      <c r="CE10" s="89" t="s">
        <v>94</v>
      </c>
      <c r="CF10" s="89" t="s">
        <v>95</v>
      </c>
      <c r="CG10" s="90" t="s">
        <v>96</v>
      </c>
      <c r="CH10" s="40"/>
      <c r="CI10" s="91" t="s">
        <v>97</v>
      </c>
      <c r="CJ10" s="91" t="s">
        <v>98</v>
      </c>
      <c r="CK10" s="91" t="s">
        <v>99</v>
      </c>
      <c r="CL10" s="91" t="s">
        <v>100</v>
      </c>
      <c r="CM10" s="91" t="s">
        <v>101</v>
      </c>
      <c r="CN10" s="91" t="s">
        <v>102</v>
      </c>
      <c r="CO10" s="91" t="s">
        <v>103</v>
      </c>
      <c r="CP10" s="92" t="s">
        <v>104</v>
      </c>
      <c r="CQ10" s="92" t="s">
        <v>105</v>
      </c>
      <c r="CR10" s="13"/>
      <c r="CS10" s="13"/>
      <c r="CT10" s="13"/>
      <c r="CU10" s="13"/>
    </row>
    <row r="11" spans="1:99" s="49" customFormat="1" ht="14.1" customHeight="1">
      <c r="A11" s="93" t="s">
        <v>106</v>
      </c>
      <c r="B11" s="49">
        <f>AVERAGE(B7:B10)</f>
        <v>113.75</v>
      </c>
      <c r="E11" s="50">
        <f>AVERAGE(E7:E10)</f>
        <v>534.77</v>
      </c>
      <c r="G11" s="50">
        <f>AVERAGE(G7:G10)</f>
        <v>3819.5947249999999</v>
      </c>
      <c r="H11" s="50">
        <f>AVERAGE(H7:H10)</f>
        <v>3368.7708412105189</v>
      </c>
      <c r="J11" s="94">
        <f>AVERAGE(J7:J10)</f>
        <v>1.6154210066070176</v>
      </c>
      <c r="K11" s="50" t="s">
        <v>39</v>
      </c>
      <c r="L11" s="50">
        <f>AVERAGE(L7:L10)</f>
        <v>3.0579184074478105</v>
      </c>
      <c r="M11" s="50"/>
      <c r="N11" s="94">
        <f>AVERAGE(N7:N10)</f>
        <v>1.6154210066070176</v>
      </c>
      <c r="O11" s="50">
        <f>AVERAGE(O7:O10)</f>
        <v>3.0579184074478105</v>
      </c>
      <c r="P11" s="95"/>
      <c r="Q11" s="95"/>
      <c r="R11" s="95"/>
      <c r="S11" s="6"/>
      <c r="T11" s="13">
        <v>0</v>
      </c>
      <c r="U11" s="14">
        <v>609.08000000000004</v>
      </c>
      <c r="V11" s="15"/>
      <c r="W11" s="15"/>
      <c r="X11" s="96">
        <f>AVERAGE(X7:X10)</f>
        <v>0.52750000000000008</v>
      </c>
      <c r="Y11" s="70" t="s">
        <v>107</v>
      </c>
      <c r="Z11" s="96">
        <f>AVERAGE(Z7:Z10)</f>
        <v>19.93375</v>
      </c>
      <c r="AA11" s="30"/>
      <c r="AB11" s="72">
        <f>J11</f>
        <v>1.6154210066070176</v>
      </c>
      <c r="AC11" s="73">
        <f>AB11/($D$4/$D$2)</f>
        <v>3.0579184074478105</v>
      </c>
      <c r="AD11" s="73">
        <f>AB11/Z11</f>
        <v>8.1039493653076694E-2</v>
      </c>
      <c r="AE11" s="73">
        <f>AC11/Z11</f>
        <v>0.15340407135876644</v>
      </c>
      <c r="AF11" s="72">
        <f>N20</f>
        <v>0.57179727827995486</v>
      </c>
      <c r="AG11" s="72">
        <f>AF11/($D$4/$D$2)</f>
        <v>1.0823862110431197</v>
      </c>
      <c r="AH11" s="72">
        <f>AF11/Z18</f>
        <v>1.0070328463342189E-2</v>
      </c>
      <c r="AI11" s="72">
        <f>AG11/Z18</f>
        <v>1.9062673229549628E-2</v>
      </c>
      <c r="AJ11" s="73">
        <f>((AB11-AF11)/AB11)*100</f>
        <v>64.603823031808844</v>
      </c>
      <c r="AK11" s="73">
        <f>((AC11-AG11)/AC11)*100</f>
        <v>64.603823031808844</v>
      </c>
      <c r="AL11" s="73">
        <f>((AD11-AH11)/AD11)*100</f>
        <v>87.573554560382092</v>
      </c>
      <c r="AM11" s="73">
        <f>((AE11-AI11)/AE11)*100</f>
        <v>87.573554560382092</v>
      </c>
      <c r="AN11" s="72">
        <f>N29</f>
        <v>-1.6138879067318181</v>
      </c>
      <c r="AO11" s="72">
        <f>AN11/($D$4/$D$2)</f>
        <v>-3.0550163191936313</v>
      </c>
      <c r="AP11" s="72">
        <f>AN11/Z25</f>
        <v>-6.1558362705850279E-3</v>
      </c>
      <c r="AQ11" s="72">
        <f>AO11/Z25</f>
        <v>-1.1652717754732126E-2</v>
      </c>
      <c r="AR11" s="73">
        <f>((AB11-AN11)/AB11)*100</f>
        <v>199.90509595523835</v>
      </c>
      <c r="AS11" s="73">
        <f>((AC11-AO11)/AC11)*100</f>
        <v>199.90509595523832</v>
      </c>
      <c r="AT11" s="73">
        <f>((AD11-AP11)/AD11)*100</f>
        <v>107.59609419197218</v>
      </c>
      <c r="AU11" s="73">
        <f>((AE11-AQ11)/AE11)*100</f>
        <v>107.59609419197218</v>
      </c>
      <c r="AV11" s="72">
        <f>J11</f>
        <v>1.6154210066070176</v>
      </c>
      <c r="AW11" s="72">
        <f>AV11/($D$4/$D$2)</f>
        <v>3.0579184074478105</v>
      </c>
      <c r="AX11" s="95">
        <f>M20</f>
        <v>1.4996336996336996</v>
      </c>
      <c r="AY11" s="95">
        <f>AX11/($D$4/$D$2)</f>
        <v>2.8387383077125761</v>
      </c>
      <c r="AZ11" s="95">
        <f>AX11/Z11</f>
        <v>7.5230887295852492E-2</v>
      </c>
      <c r="BA11" s="73">
        <f>AY11/Z11</f>
        <v>0.14240864401894154</v>
      </c>
      <c r="BB11" s="72">
        <f>P21</f>
        <v>1.7163003663003664</v>
      </c>
      <c r="BC11" s="73">
        <f>BB11/($D$4/$D$2)</f>
        <v>3.2488784418141856</v>
      </c>
      <c r="BD11" s="73">
        <f>BB11/Z18</f>
        <v>3.0226986183619107E-2</v>
      </c>
      <c r="BE11" s="73">
        <f>BC11/Z18</f>
        <v>5.7218308462324771E-2</v>
      </c>
      <c r="BF11" s="72">
        <f>K20</f>
        <v>2.0714309779136544</v>
      </c>
      <c r="BG11" s="73">
        <f>BF11/($D$4/$D$2)</f>
        <v>3.9211245187556951</v>
      </c>
      <c r="BH11" s="73">
        <f>BF11/Z18</f>
        <v>3.6481443912224187E-2</v>
      </c>
      <c r="BI11" s="73">
        <f>BG11/Z18</f>
        <v>6.9057712146369077E-2</v>
      </c>
      <c r="BJ11" s="72">
        <f>J21</f>
        <v>2.2362859574759621</v>
      </c>
      <c r="BK11" s="73">
        <f>BJ11/($D$4/$D$2)</f>
        <v>4.2331874884095555</v>
      </c>
      <c r="BL11" s="73">
        <f>BJ11/Z18</f>
        <v>3.9384822182935701E-2</v>
      </c>
      <c r="BM11" s="73">
        <f>BK11/Z18</f>
        <v>7.4553675007741321E-2</v>
      </c>
      <c r="BN11" s="95">
        <f>M29</f>
        <v>7.0939194139194131</v>
      </c>
      <c r="BO11" s="95">
        <f>BN11/($D$4/$D$2)</f>
        <v>13.428466429527314</v>
      </c>
      <c r="BP11" s="95">
        <f>BN11/Z25</f>
        <v>2.7058264856351603E-2</v>
      </c>
      <c r="BQ11" s="73">
        <f>BO11/Z25</f>
        <v>5.1220063277265734E-2</v>
      </c>
      <c r="BR11" s="72">
        <f>P30</f>
        <v>6.8772527472527463</v>
      </c>
      <c r="BS11" s="73">
        <f>BR11/($D$4/$D$2)</f>
        <v>13.018326295425704</v>
      </c>
      <c r="BT11" s="73">
        <f>BR11/Z25</f>
        <v>2.6231835387656749E-2</v>
      </c>
      <c r="BU11" s="73">
        <f>BS11/Z25</f>
        <v>4.9655669924422524E-2</v>
      </c>
      <c r="BV11" s="72">
        <f>K29</f>
        <v>6.0065333386894268</v>
      </c>
      <c r="BW11" s="73">
        <f>BV11/($D$4/$D$2)</f>
        <v>11.370094103150164</v>
      </c>
      <c r="BX11" s="73">
        <f>BV11/Z25</f>
        <v>2.291065918057392E-2</v>
      </c>
      <c r="BY11" s="73">
        <f>BW11/Z25</f>
        <v>4.336883459389318E-2</v>
      </c>
      <c r="BZ11" s="72">
        <f>J30</f>
        <v>4.6649674278504696</v>
      </c>
      <c r="CA11" s="73">
        <f>BZ11/($D$4/$D$2)</f>
        <v>8.8305709220226056</v>
      </c>
      <c r="CB11" s="73">
        <f>BZ11/Z25</f>
        <v>1.7793537936356549E-2</v>
      </c>
      <c r="CC11" s="73">
        <f>CA11/Z25</f>
        <v>3.3682357086273915E-2</v>
      </c>
      <c r="CD11" s="13"/>
      <c r="CE11" s="97">
        <f>B11</f>
        <v>113.75</v>
      </c>
      <c r="CF11" s="13">
        <f>Z11</f>
        <v>19.93375</v>
      </c>
      <c r="CG11" s="40">
        <f>((CE11/18)*CF11)/22.5</f>
        <v>5.5986766975308644</v>
      </c>
      <c r="CH11" s="40"/>
      <c r="CI11" s="40">
        <f>X28</f>
        <v>0</v>
      </c>
      <c r="CJ11" s="40">
        <f>X29</f>
        <v>0</v>
      </c>
      <c r="CK11" s="40">
        <f>X30</f>
        <v>0</v>
      </c>
      <c r="CL11" s="40">
        <f>X31</f>
        <v>0</v>
      </c>
      <c r="CM11" s="40">
        <f>X32</f>
        <v>0</v>
      </c>
      <c r="CN11" s="40">
        <f>X33</f>
        <v>0</v>
      </c>
      <c r="CO11" s="13">
        <f>X11</f>
        <v>0.52750000000000008</v>
      </c>
      <c r="CP11" s="13">
        <f>X18</f>
        <v>8.9600000000000013E-2</v>
      </c>
      <c r="CQ11" s="13">
        <f>X25</f>
        <v>4.0400000000000005E-2</v>
      </c>
      <c r="CR11" s="13"/>
      <c r="CS11" s="13"/>
      <c r="CT11" s="13"/>
      <c r="CU11" s="13"/>
    </row>
    <row r="12" spans="1:99" ht="14.1" customHeight="1" thickBot="1">
      <c r="B12" s="98"/>
      <c r="C12" s="65"/>
      <c r="D12" s="99"/>
      <c r="E12" s="13"/>
      <c r="F12" s="13"/>
      <c r="G12" s="13"/>
      <c r="H12" s="13"/>
      <c r="I12" s="13"/>
      <c r="J12" s="6" t="s">
        <v>108</v>
      </c>
      <c r="K12" s="13"/>
      <c r="L12" s="13"/>
      <c r="M12" s="12" t="s">
        <v>39</v>
      </c>
      <c r="N12" s="13"/>
      <c r="O12" s="13"/>
      <c r="P12" s="13"/>
      <c r="Q12" s="30"/>
      <c r="R12" s="30"/>
      <c r="U12" s="14">
        <v>600.75</v>
      </c>
      <c r="V12" s="15"/>
      <c r="W12" s="15"/>
      <c r="Y12" s="70"/>
      <c r="Z12" s="96"/>
      <c r="AA12" s="30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30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40"/>
      <c r="CG12" s="40"/>
      <c r="CH12" s="40"/>
      <c r="CI12" s="40"/>
      <c r="CJ12" s="40"/>
      <c r="CK12" s="40"/>
      <c r="CL12" s="40"/>
      <c r="CM12" s="40"/>
      <c r="CN12" s="40"/>
    </row>
    <row r="13" spans="1:99" ht="14.1" customHeight="1" thickBot="1">
      <c r="B13" s="98"/>
      <c r="C13" s="65"/>
      <c r="D13" s="99"/>
      <c r="E13" s="13"/>
      <c r="F13" s="13"/>
      <c r="G13" s="13"/>
      <c r="H13" s="13"/>
      <c r="I13" s="13"/>
      <c r="J13" s="6"/>
      <c r="K13" s="13"/>
      <c r="L13" s="13"/>
      <c r="M13" s="100" t="s">
        <v>32</v>
      </c>
      <c r="N13" s="101"/>
      <c r="O13" s="101"/>
      <c r="P13" s="101"/>
      <c r="Q13" s="30"/>
      <c r="R13" s="102" t="s">
        <v>25</v>
      </c>
      <c r="S13" s="103" t="s">
        <v>109</v>
      </c>
      <c r="T13" s="13">
        <v>30</v>
      </c>
      <c r="U13" s="14">
        <v>499.57</v>
      </c>
      <c r="V13" s="15"/>
      <c r="W13" s="15"/>
      <c r="X13" s="69">
        <v>0.104</v>
      </c>
      <c r="Y13" s="30">
        <v>90</v>
      </c>
      <c r="Z13" s="71">
        <v>56.853999999999999</v>
      </c>
      <c r="AA13" s="40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19"/>
      <c r="AY13" s="74"/>
      <c r="AZ13" s="74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40"/>
      <c r="CG13" s="40"/>
      <c r="CH13" s="40"/>
      <c r="CI13" s="40"/>
      <c r="CJ13" s="40"/>
      <c r="CK13" s="40"/>
      <c r="CL13" s="40"/>
      <c r="CM13" s="40"/>
      <c r="CN13" s="40"/>
    </row>
    <row r="14" spans="1:99" ht="14.1" customHeight="1">
      <c r="A14" s="12">
        <v>90</v>
      </c>
      <c r="B14" s="75">
        <v>109</v>
      </c>
      <c r="C14" s="65"/>
      <c r="D14" s="104">
        <f>AVERAGE(U17:U18)</f>
        <v>436.65</v>
      </c>
      <c r="E14" s="78">
        <f>D14-$E$5</f>
        <v>395.79499999999996</v>
      </c>
      <c r="F14" s="78"/>
      <c r="G14" s="78">
        <f t="shared" ref="G14:G27" si="0">($E14*7.1425)</f>
        <v>2826.9657874999998</v>
      </c>
      <c r="H14" s="78">
        <f t="shared" ref="H14:H27" si="1">($G14/($B14*0.01))</f>
        <v>2593.5465940366967</v>
      </c>
      <c r="I14" s="33">
        <f>$C$15*A14+$C$16</f>
        <v>2729.0961914285717</v>
      </c>
      <c r="J14" s="105" t="s">
        <v>110</v>
      </c>
      <c r="K14" s="106" t="s">
        <v>111</v>
      </c>
      <c r="L14" s="13"/>
      <c r="M14" s="107">
        <f>(((S14/60)*$J$1)/$D$2)</f>
        <v>1.4996336996336996</v>
      </c>
      <c r="N14" s="101"/>
      <c r="O14" s="101"/>
      <c r="P14" s="101"/>
      <c r="Q14" s="30"/>
      <c r="R14" s="108">
        <v>90</v>
      </c>
      <c r="S14" s="109">
        <v>46</v>
      </c>
      <c r="U14" s="14">
        <v>489.23</v>
      </c>
      <c r="V14" s="15"/>
      <c r="W14" s="110"/>
      <c r="X14" s="69">
        <v>9.2999999999999999E-2</v>
      </c>
      <c r="Y14" s="30">
        <v>100</v>
      </c>
      <c r="Z14" s="71">
        <v>59.701999999999998</v>
      </c>
      <c r="AA14" s="40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19"/>
      <c r="AY14" s="74"/>
      <c r="AZ14" s="74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40"/>
      <c r="CG14" s="40"/>
      <c r="CH14" s="40"/>
      <c r="CI14" s="40"/>
      <c r="CJ14" s="40"/>
      <c r="CK14" s="40"/>
      <c r="CL14" s="40"/>
      <c r="CM14" s="40"/>
      <c r="CN14" s="40"/>
    </row>
    <row r="15" spans="1:99" s="115" customFormat="1" ht="14.1" customHeight="1">
      <c r="A15" s="12">
        <v>100</v>
      </c>
      <c r="B15" s="75">
        <v>107</v>
      </c>
      <c r="C15" s="65">
        <f>SLOPE(G15:G18,A15:A18)</f>
        <v>-9.9178714285735617E-2</v>
      </c>
      <c r="D15" s="104">
        <f>AVERAGE(U19:U20)</f>
        <v>419.96000000000004</v>
      </c>
      <c r="E15" s="66">
        <f>D15-$E$5</f>
        <v>379.10500000000002</v>
      </c>
      <c r="F15" s="111">
        <v>180</v>
      </c>
      <c r="G15" s="112">
        <f t="shared" si="0"/>
        <v>2707.7574625000002</v>
      </c>
      <c r="H15" s="78">
        <f t="shared" si="1"/>
        <v>2530.6144509345795</v>
      </c>
      <c r="I15" s="33">
        <f>$C$15*A15+$C$16</f>
        <v>2728.1044042857143</v>
      </c>
      <c r="J15" s="113">
        <f>((($N$2-(130*$D$2*(((B15+B14)*0.01)/2))*((I15-I14)/(A15-A14))))/((I15+I14)/2))/$D$2</f>
        <v>1.9855191721444045</v>
      </c>
      <c r="K15" s="114">
        <f>$N$2/H15/$D$2</f>
        <v>2.1353563009303578</v>
      </c>
      <c r="L15" s="114">
        <f>J15/($D$4/$D$2)</f>
        <v>3.7584973824213344</v>
      </c>
      <c r="M15" s="107">
        <f>(((S15/60)*$J$1)/$D$2)</f>
        <v>1.4996336996336996</v>
      </c>
      <c r="N15" s="19">
        <f>K15-M15</f>
        <v>0.63572260129665814</v>
      </c>
      <c r="O15" s="74">
        <f>N15/($D$4/$D$2)</f>
        <v>1.2033939366795474</v>
      </c>
      <c r="P15" s="74"/>
      <c r="Q15" s="30"/>
      <c r="R15" s="108">
        <v>100</v>
      </c>
      <c r="S15" s="109">
        <v>46</v>
      </c>
      <c r="T15" s="13">
        <v>60</v>
      </c>
      <c r="U15" s="14">
        <v>504.03</v>
      </c>
      <c r="V15" s="15"/>
      <c r="W15" s="110"/>
      <c r="X15" s="69">
        <v>8.7999999999999995E-2</v>
      </c>
      <c r="Y15" s="30">
        <v>110</v>
      </c>
      <c r="Z15" s="71">
        <v>55.411999999999999</v>
      </c>
      <c r="AA15" s="40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19"/>
      <c r="AY15" s="74"/>
      <c r="AZ15" s="74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40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40"/>
      <c r="CH15" s="40"/>
      <c r="CI15" s="40"/>
      <c r="CJ15" s="40"/>
      <c r="CK15" s="40"/>
      <c r="CL15" s="40"/>
      <c r="CM15" s="40"/>
      <c r="CN15" s="40"/>
      <c r="CO15" s="13"/>
      <c r="CP15" s="13"/>
      <c r="CQ15" s="13"/>
      <c r="CR15" s="13"/>
      <c r="CS15" s="13"/>
      <c r="CT15" s="13"/>
      <c r="CU15" s="13"/>
    </row>
    <row r="16" spans="1:99" ht="14.1" customHeight="1">
      <c r="A16" s="12">
        <v>110</v>
      </c>
      <c r="B16" s="75">
        <v>101</v>
      </c>
      <c r="C16" s="65">
        <f>INTERCEPT(G15:G18,A15:A18)</f>
        <v>2738.0222757142878</v>
      </c>
      <c r="D16" s="104">
        <f>AVERAGE(U21:U22)</f>
        <v>421.88499999999999</v>
      </c>
      <c r="E16" s="66">
        <f>D16-$E$5</f>
        <v>381.03</v>
      </c>
      <c r="F16" s="116">
        <v>210</v>
      </c>
      <c r="G16" s="66">
        <f t="shared" si="0"/>
        <v>2721.5067749999998</v>
      </c>
      <c r="H16" s="78">
        <f t="shared" si="1"/>
        <v>2694.5611633663366</v>
      </c>
      <c r="I16" s="33">
        <f>$C$15*A16+$C$16</f>
        <v>2727.1126171428568</v>
      </c>
      <c r="J16" s="113">
        <f>((($N$2-(130*$D$2*(((B16+B15)*0.01)/2))*((I16-I15)/(A16-A15))))/((I16+I15)/2))/$D$2</f>
        <v>1.9860520503293915</v>
      </c>
      <c r="K16" s="67">
        <f>$N$2/H16/$D$2</f>
        <v>2.0054336069616649</v>
      </c>
      <c r="L16" s="67">
        <f>J16/($D$4/$D$2)</f>
        <v>3.7595060965609512</v>
      </c>
      <c r="M16" s="107">
        <f>(((S16/60)*$J$1)/$D$2)</f>
        <v>1.4996336996336996</v>
      </c>
      <c r="N16" s="19">
        <f>K16-M16</f>
        <v>0.50579990732796531</v>
      </c>
      <c r="O16" s="67">
        <f>N16/($D$4/$D$2)</f>
        <v>0.95745619301572282</v>
      </c>
      <c r="P16" s="67"/>
      <c r="Q16" s="30"/>
      <c r="R16" s="108">
        <v>110</v>
      </c>
      <c r="S16" s="109">
        <v>46</v>
      </c>
      <c r="U16" s="14">
        <v>483.33</v>
      </c>
      <c r="V16" s="15"/>
      <c r="W16" s="110"/>
      <c r="X16" s="69">
        <v>8.5000000000000006E-2</v>
      </c>
      <c r="Y16" s="30">
        <v>115</v>
      </c>
      <c r="Z16" s="71">
        <v>57.762999999999998</v>
      </c>
      <c r="AA16" s="40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19"/>
      <c r="AY16" s="74"/>
      <c r="AZ16" s="74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40"/>
    </row>
    <row r="17" spans="1:67" ht="14.1" customHeight="1">
      <c r="A17" s="12">
        <v>115</v>
      </c>
      <c r="B17" s="75">
        <v>106</v>
      </c>
      <c r="C17" s="65"/>
      <c r="D17" s="104">
        <f>AVERAGE(U23:U24)</f>
        <v>435.565</v>
      </c>
      <c r="E17" s="66">
        <f>D17-$E$5</f>
        <v>394.71</v>
      </c>
      <c r="F17" s="116">
        <v>220</v>
      </c>
      <c r="G17" s="66">
        <f t="shared" si="0"/>
        <v>2819.216175</v>
      </c>
      <c r="H17" s="78">
        <f t="shared" si="1"/>
        <v>2659.6379009433963</v>
      </c>
      <c r="I17" s="33">
        <f>$C$15*A17+$C$16</f>
        <v>2726.6167235714283</v>
      </c>
      <c r="J17" s="113">
        <f>((($N$2-(130*$D$2*(((B17+B16)*0.01)/2))*((I17-I16)/(A17-A16))))/((I17+I16)/2))/$D$2</f>
        <v>1.9865701690015383</v>
      </c>
      <c r="K17" s="67">
        <f>$N$2/H17/$D$2</f>
        <v>2.0317666217314057</v>
      </c>
      <c r="L17" s="67">
        <f>J17/($D$4/$D$2)</f>
        <v>3.7604868716148352</v>
      </c>
      <c r="M17" s="107">
        <f>(((S17/60)*$J$1)/$D$2)</f>
        <v>1.4996336996336996</v>
      </c>
      <c r="N17" s="19">
        <f>K17-M17</f>
        <v>0.53213292209770602</v>
      </c>
      <c r="O17" s="67">
        <f>N17/($D$4/$D$2)</f>
        <v>1.0073033909032356</v>
      </c>
      <c r="P17" s="67"/>
      <c r="Q17" s="30"/>
      <c r="R17" s="108">
        <v>115</v>
      </c>
      <c r="S17" s="117">
        <v>46</v>
      </c>
      <c r="T17" s="40">
        <v>90</v>
      </c>
      <c r="U17" s="14">
        <v>463.11</v>
      </c>
      <c r="V17" s="15"/>
      <c r="W17" s="110"/>
      <c r="X17" s="69">
        <v>7.8E-2</v>
      </c>
      <c r="Y17" s="30">
        <v>120</v>
      </c>
      <c r="Z17" s="71">
        <v>54.170999999999999</v>
      </c>
      <c r="AA17" s="40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19"/>
      <c r="AY17" s="74"/>
      <c r="AZ17" s="74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40"/>
    </row>
    <row r="18" spans="1:67" ht="14.1" customHeight="1">
      <c r="A18" s="12">
        <v>120</v>
      </c>
      <c r="B18" s="118">
        <v>104</v>
      </c>
      <c r="C18" s="65"/>
      <c r="D18" s="104">
        <f>AVERAGE(U25:U26)</f>
        <v>413.2</v>
      </c>
      <c r="E18" s="66">
        <f>D18-$E$5</f>
        <v>372.34499999999997</v>
      </c>
      <c r="F18" s="116">
        <v>225</v>
      </c>
      <c r="G18" s="66">
        <f t="shared" si="0"/>
        <v>2659.4741624999997</v>
      </c>
      <c r="H18" s="78">
        <f t="shared" si="1"/>
        <v>2557.1866947115382</v>
      </c>
      <c r="I18" s="33">
        <f>$C$15*A18+$C$16</f>
        <v>2726.1208299999994</v>
      </c>
      <c r="J18" s="113">
        <f>((($N$2-(130*$D$2*(((B18+B17)*0.01)/2))*((I18-I17)/(A18-A17))))/((I18+I17)/2))/$D$2</f>
        <v>1.9870024384285154</v>
      </c>
      <c r="K18" s="67">
        <f>$N$2/H18/$D$2</f>
        <v>2.1131673820311896</v>
      </c>
      <c r="L18" s="67">
        <f>J18/($D$4/$D$2)</f>
        <v>3.761305137956751</v>
      </c>
      <c r="M18" s="107">
        <f>(((S18/60)*$J$1)/$D$2)</f>
        <v>1.4996336996336996</v>
      </c>
      <c r="N18" s="19">
        <f>K18-M18</f>
        <v>0.61353368239748995</v>
      </c>
      <c r="O18" s="67">
        <f>N18/($D$4/$D$2)</f>
        <v>1.1613913235739726</v>
      </c>
      <c r="P18" s="67"/>
      <c r="Q18" s="30"/>
      <c r="R18" s="108">
        <v>120</v>
      </c>
      <c r="S18" s="117">
        <v>46</v>
      </c>
      <c r="T18" s="30"/>
      <c r="U18" s="14">
        <v>410.19</v>
      </c>
      <c r="V18" s="15"/>
      <c r="W18" s="110"/>
      <c r="X18" s="96">
        <f>AVERAGE(X13:X17)</f>
        <v>8.9600000000000013E-2</v>
      </c>
      <c r="Y18" s="30" t="s">
        <v>107</v>
      </c>
      <c r="Z18" s="96">
        <f>AVERAGE(Z13:Z17)</f>
        <v>56.7804</v>
      </c>
      <c r="AA18" s="30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5"/>
      <c r="AY18" s="95"/>
      <c r="AZ18" s="95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2"/>
      <c r="BO18" s="40"/>
    </row>
    <row r="19" spans="1:67" ht="14.1" customHeight="1" thickBot="1">
      <c r="A19" s="63"/>
      <c r="B19" s="98"/>
      <c r="C19" s="65"/>
      <c r="D19" s="99"/>
      <c r="E19" s="66"/>
      <c r="F19" s="63"/>
      <c r="G19" s="66"/>
      <c r="H19" s="66"/>
      <c r="I19" s="33"/>
      <c r="J19" s="113"/>
      <c r="K19" s="67"/>
      <c r="L19" s="67"/>
      <c r="M19" s="107"/>
      <c r="O19" s="67"/>
      <c r="P19" s="67"/>
      <c r="Q19" s="30"/>
      <c r="R19" s="108"/>
      <c r="S19" s="117"/>
      <c r="T19" s="41">
        <v>100</v>
      </c>
      <c r="U19" s="14">
        <v>423.24</v>
      </c>
      <c r="V19" s="15"/>
      <c r="W19" s="110"/>
      <c r="Y19" s="30"/>
      <c r="Z19" s="96"/>
      <c r="AA19" s="30"/>
      <c r="AB19" s="96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30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40"/>
    </row>
    <row r="20" spans="1:67" ht="14.1" customHeight="1" thickBot="1">
      <c r="A20" s="119" t="s">
        <v>112</v>
      </c>
      <c r="B20" s="120">
        <f>AVERAGE(B14:B19)</f>
        <v>105.4</v>
      </c>
      <c r="C20" s="121"/>
      <c r="D20" s="122">
        <f>AVERAGE(D14:D18)</f>
        <v>425.45199999999994</v>
      </c>
      <c r="E20" s="122">
        <f>AVERAGE(E14:E18)</f>
        <v>384.59699999999998</v>
      </c>
      <c r="F20" s="122"/>
      <c r="G20" s="122">
        <f>AVERAGE(G14:G18)</f>
        <v>2746.9840725000004</v>
      </c>
      <c r="H20" s="122">
        <f>AVERAGE(H14:H18)</f>
        <v>2607.1093607985094</v>
      </c>
      <c r="I20" s="122"/>
      <c r="J20" s="122">
        <f t="shared" ref="J20:O20" si="2">AVERAGE(J14:J18)</f>
        <v>1.9862859574759624</v>
      </c>
      <c r="K20" s="123">
        <f t="shared" si="2"/>
        <v>2.0714309779136544</v>
      </c>
      <c r="L20" s="122">
        <f t="shared" si="2"/>
        <v>3.7599488721384677</v>
      </c>
      <c r="M20" s="122">
        <f t="shared" si="2"/>
        <v>1.4996336996336996</v>
      </c>
      <c r="N20" s="123">
        <f t="shared" si="2"/>
        <v>0.57179727827995486</v>
      </c>
      <c r="O20" s="122">
        <f t="shared" si="2"/>
        <v>1.0823862110431195</v>
      </c>
      <c r="P20" s="124"/>
      <c r="Q20" s="30"/>
      <c r="R20" s="108"/>
      <c r="S20" s="117"/>
      <c r="T20" s="41"/>
      <c r="U20" s="14">
        <v>416.68</v>
      </c>
      <c r="V20" s="15"/>
      <c r="W20" s="110"/>
      <c r="X20" s="69">
        <v>3.7999999999999999E-2</v>
      </c>
      <c r="Y20" s="70">
        <v>210</v>
      </c>
      <c r="Z20" s="71">
        <v>266.29000000000002</v>
      </c>
      <c r="AA20" s="40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4"/>
      <c r="AY20" s="74"/>
      <c r="AZ20" s="74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40"/>
    </row>
    <row r="21" spans="1:67" ht="14.1" customHeight="1" thickBot="1">
      <c r="A21" s="70"/>
      <c r="B21" s="118"/>
      <c r="C21" s="36"/>
      <c r="D21" s="99"/>
      <c r="E21" s="33"/>
      <c r="F21" s="125" t="s">
        <v>113</v>
      </c>
      <c r="G21" s="33"/>
      <c r="H21" s="33"/>
      <c r="I21" s="126" t="s">
        <v>114</v>
      </c>
      <c r="J21" s="127">
        <f>J20-((B18-B15)*0.25*$D$2*10)/(30*$D$2)</f>
        <v>2.2362859574759621</v>
      </c>
      <c r="K21" s="74"/>
      <c r="L21" s="128" t="s">
        <v>33</v>
      </c>
      <c r="M21" s="129">
        <f>J21-M20</f>
        <v>0.73665225784226251</v>
      </c>
      <c r="N21" s="19"/>
      <c r="O21" s="74"/>
      <c r="P21" s="130">
        <f>$M$20-(((B18-B14)*1.3)/(A18-A14))</f>
        <v>1.7163003663003664</v>
      </c>
      <c r="Q21" s="30"/>
      <c r="R21" s="131"/>
      <c r="S21" s="117"/>
      <c r="T21" s="41">
        <v>110</v>
      </c>
      <c r="U21" s="14">
        <v>434.05</v>
      </c>
      <c r="V21" s="15"/>
      <c r="W21" s="110"/>
      <c r="X21" s="69">
        <v>3.5999999999999997E-2</v>
      </c>
      <c r="Y21" s="70">
        <v>220</v>
      </c>
      <c r="Z21" s="71">
        <v>251.24</v>
      </c>
      <c r="AA21" s="40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4"/>
      <c r="AY21" s="74"/>
      <c r="AZ21" s="74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40"/>
    </row>
    <row r="22" spans="1:67" ht="14.1" customHeight="1" thickBot="1">
      <c r="A22" s="63"/>
      <c r="B22" s="98"/>
      <c r="C22" s="65"/>
      <c r="D22" s="99"/>
      <c r="E22" s="66"/>
      <c r="F22" s="63"/>
      <c r="G22" s="66"/>
      <c r="H22" s="66"/>
      <c r="I22" s="33"/>
      <c r="J22" s="132"/>
      <c r="K22" s="67"/>
      <c r="L22" s="133"/>
      <c r="M22" s="134"/>
      <c r="N22" s="101"/>
      <c r="O22" s="133"/>
      <c r="P22" s="133"/>
      <c r="Q22" s="30"/>
      <c r="R22" s="102" t="s">
        <v>25</v>
      </c>
      <c r="S22" s="103" t="s">
        <v>109</v>
      </c>
      <c r="T22" s="30"/>
      <c r="U22" s="14">
        <v>409.72</v>
      </c>
      <c r="V22" s="15"/>
      <c r="W22" s="110"/>
      <c r="X22" s="69">
        <v>4.7E-2</v>
      </c>
      <c r="Y22" s="70">
        <v>230</v>
      </c>
      <c r="Z22" s="71">
        <v>254.72</v>
      </c>
      <c r="AA22" s="40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4"/>
      <c r="AY22" s="74"/>
      <c r="AZ22" s="74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40"/>
    </row>
    <row r="23" spans="1:67" ht="14.1" customHeight="1">
      <c r="A23" s="63">
        <v>210</v>
      </c>
      <c r="B23" s="75">
        <v>97</v>
      </c>
      <c r="C23" s="65"/>
      <c r="D23" s="104">
        <f>AVERAGE(U31:U32)</f>
        <v>155.755</v>
      </c>
      <c r="E23" s="78">
        <f>D23-$E$5</f>
        <v>114.89999999999999</v>
      </c>
      <c r="F23" s="78"/>
      <c r="G23" s="78">
        <f t="shared" si="0"/>
        <v>820.67324999999994</v>
      </c>
      <c r="H23" s="78">
        <f t="shared" si="1"/>
        <v>846.0548969072164</v>
      </c>
      <c r="I23" s="33">
        <f>$C$24*A23+$C$25</f>
        <v>932.44317142857153</v>
      </c>
      <c r="J23" s="105" t="s">
        <v>110</v>
      </c>
      <c r="K23" s="106" t="s">
        <v>111</v>
      </c>
      <c r="L23" s="67"/>
      <c r="M23" s="19">
        <f>(((S23/60)*$J$1)/$D$2)</f>
        <v>4.987912087912088</v>
      </c>
      <c r="N23" s="101"/>
      <c r="O23" s="133"/>
      <c r="P23" s="133"/>
      <c r="Q23" s="30"/>
      <c r="R23" s="131">
        <v>210</v>
      </c>
      <c r="S23" s="117">
        <v>153</v>
      </c>
      <c r="T23" s="13">
        <v>115</v>
      </c>
      <c r="U23" s="14">
        <v>430.52</v>
      </c>
      <c r="V23" s="15"/>
      <c r="W23" s="110"/>
      <c r="X23" s="69">
        <v>3.5999999999999997E-2</v>
      </c>
      <c r="Y23" s="70">
        <v>235</v>
      </c>
      <c r="Z23" s="71">
        <v>270.41000000000003</v>
      </c>
      <c r="AA23" s="40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4"/>
      <c r="AY23" s="74"/>
      <c r="AZ23" s="74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40"/>
    </row>
    <row r="24" spans="1:67" ht="14.1" customHeight="1">
      <c r="A24" s="63">
        <v>220</v>
      </c>
      <c r="B24" s="75">
        <v>88</v>
      </c>
      <c r="C24" s="65">
        <f>SLOPE(G24:G27,A24:A27)</f>
        <v>-2.4090632142857213</v>
      </c>
      <c r="D24" s="104">
        <f>AVERAGE(U33:U34)</f>
        <v>163.285</v>
      </c>
      <c r="E24" s="66">
        <f>D24-$E$5</f>
        <v>122.42999999999999</v>
      </c>
      <c r="F24" s="111">
        <v>180</v>
      </c>
      <c r="G24" s="112">
        <f t="shared" si="0"/>
        <v>874.45627500000001</v>
      </c>
      <c r="H24" s="112">
        <f t="shared" si="1"/>
        <v>993.7003125</v>
      </c>
      <c r="I24" s="33">
        <f>$C$24*A24+$C$25</f>
        <v>908.35253928571433</v>
      </c>
      <c r="J24" s="113">
        <f>((($N$2-(130*$D$2*(((B24+B23)*0.01)/2))*((I24-I23)/(A24-A23))))/((I24+I23)/2))/$D$2</f>
        <v>6.1858611810184989</v>
      </c>
      <c r="K24" s="114">
        <f>$N$2/H24/$D$2</f>
        <v>5.4380213481401833</v>
      </c>
      <c r="L24" s="114">
        <f>J24/($D$4/$D$2)</f>
        <v>11.709553543000924</v>
      </c>
      <c r="M24" s="107">
        <f>(((S24/60)*$J$1)/$D$2)</f>
        <v>7.4981684981684982</v>
      </c>
      <c r="N24" s="19">
        <f>K24-M24</f>
        <v>-2.0601471500283148</v>
      </c>
      <c r="O24" s="74">
        <f>N24/($D$4/$D$2)</f>
        <v>-3.8997647463768983</v>
      </c>
      <c r="P24" s="74"/>
      <c r="Q24" s="30"/>
      <c r="R24" s="131">
        <v>220</v>
      </c>
      <c r="S24" s="117">
        <v>230</v>
      </c>
      <c r="U24" s="14">
        <v>440.61</v>
      </c>
      <c r="V24" s="15"/>
      <c r="W24" s="110"/>
      <c r="X24" s="69">
        <v>4.4999999999999998E-2</v>
      </c>
      <c r="Y24" s="70">
        <v>240</v>
      </c>
      <c r="Z24" s="71">
        <v>268.2</v>
      </c>
      <c r="AA24" s="40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4"/>
      <c r="AY24" s="74"/>
      <c r="AZ24" s="74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40"/>
    </row>
    <row r="25" spans="1:67" ht="14.1" customHeight="1">
      <c r="A25" s="63">
        <v>230</v>
      </c>
      <c r="B25" s="75">
        <v>103</v>
      </c>
      <c r="C25" s="65">
        <f>INTERCEPT(G24:G27,A24:A27)</f>
        <v>1438.346446428573</v>
      </c>
      <c r="D25" s="104">
        <f>AVERAGE(U35:U36)</f>
        <v>174.81</v>
      </c>
      <c r="E25" s="66">
        <f>D25-$E$5</f>
        <v>133.95499999999998</v>
      </c>
      <c r="F25" s="111">
        <v>180</v>
      </c>
      <c r="G25" s="112">
        <f t="shared" si="0"/>
        <v>956.77358749999985</v>
      </c>
      <c r="H25" s="112">
        <f t="shared" si="1"/>
        <v>928.90639563106777</v>
      </c>
      <c r="I25" s="33">
        <f>$C$24*A25+$C$25</f>
        <v>884.26190714285713</v>
      </c>
      <c r="J25" s="113">
        <f>((($N$2-(130*$D$2*(((B25+B24)*0.01)/2))*((I25-I24)/(A25-A24))))/((I25+I24)/2))/$D$2</f>
        <v>6.362604878526934</v>
      </c>
      <c r="K25" s="114">
        <f>$N$2/H25/$D$2</f>
        <v>5.8173391188220167</v>
      </c>
      <c r="L25" s="114">
        <f>J25/($D$4/$D$2)</f>
        <v>12.044121314375033</v>
      </c>
      <c r="M25" s="107">
        <f>(((S25/60)*$J$1)/$D$2)</f>
        <v>7.9871794871794863</v>
      </c>
      <c r="N25" s="19">
        <f>K25-M25</f>
        <v>-2.1698403683574696</v>
      </c>
      <c r="O25" s="114">
        <f>N25/($D$4/$D$2)</f>
        <v>-4.1074090138025445</v>
      </c>
      <c r="P25" s="74"/>
      <c r="Q25" s="30"/>
      <c r="R25" s="131">
        <v>230</v>
      </c>
      <c r="S25" s="117">
        <v>245</v>
      </c>
      <c r="T25" s="13">
        <v>120</v>
      </c>
      <c r="U25" s="14">
        <v>429.52</v>
      </c>
      <c r="V25" s="15"/>
      <c r="W25" s="110"/>
      <c r="X25" s="96">
        <f>AVERAGE(X20:X24)</f>
        <v>4.0400000000000005E-2</v>
      </c>
      <c r="Y25" s="57" t="s">
        <v>107</v>
      </c>
      <c r="Z25" s="96">
        <f>AVERAGE(Z20:Z24)</f>
        <v>262.17200000000003</v>
      </c>
      <c r="AA25" s="30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5"/>
      <c r="AY25" s="95"/>
      <c r="AZ25" s="95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40"/>
    </row>
    <row r="26" spans="1:67" ht="14.1" customHeight="1">
      <c r="A26" s="63">
        <v>235</v>
      </c>
      <c r="B26" s="75">
        <v>98</v>
      </c>
      <c r="C26" s="65"/>
      <c r="D26" s="104">
        <f>AVERAGE(U37:U38)</f>
        <v>161.64999999999998</v>
      </c>
      <c r="E26" s="66">
        <f>D26-$E$5</f>
        <v>120.79499999999997</v>
      </c>
      <c r="F26" s="111">
        <v>180</v>
      </c>
      <c r="G26" s="112">
        <f t="shared" si="0"/>
        <v>862.77828749999981</v>
      </c>
      <c r="H26" s="112">
        <f t="shared" si="1"/>
        <v>880.38600765306103</v>
      </c>
      <c r="I26" s="33">
        <f>$C$24*A26+$C$25</f>
        <v>872.21659107142852</v>
      </c>
      <c r="J26" s="113">
        <f>((($N$2-(130*$D$2*(((B26+B25)*0.01)/2))*((I26-I25)/(A26-A25))))/((I26+I25)/2))/$D$2</f>
        <v>6.5113323365913001</v>
      </c>
      <c r="K26" s="114">
        <f>$N$2/H26/$D$2</f>
        <v>6.1379479751546278</v>
      </c>
      <c r="L26" s="114">
        <f>J26/($D$4/$D$2)</f>
        <v>12.325655620198621</v>
      </c>
      <c r="M26" s="107">
        <f>(((S26/60)*$J$1)/$D$2)</f>
        <v>7.4981684981684982</v>
      </c>
      <c r="N26" s="19">
        <f>K26-M26</f>
        <v>-1.3602205230138704</v>
      </c>
      <c r="O26" s="114">
        <f>N26/($D$4/$D$2)</f>
        <v>-2.5748355125384768</v>
      </c>
      <c r="P26" s="74"/>
      <c r="Q26" s="30"/>
      <c r="R26" s="131">
        <v>235</v>
      </c>
      <c r="S26" s="117">
        <v>230</v>
      </c>
      <c r="U26" s="14">
        <v>396.88</v>
      </c>
      <c r="V26" s="15"/>
      <c r="W26" s="11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</row>
    <row r="27" spans="1:67" ht="14.1" customHeight="1">
      <c r="A27" s="63">
        <v>240</v>
      </c>
      <c r="B27" s="118">
        <v>102</v>
      </c>
      <c r="C27" s="65"/>
      <c r="D27" s="104">
        <f>AVERAGE(U39:U40)</f>
        <v>157.19999999999999</v>
      </c>
      <c r="E27" s="66">
        <f>D27-$E$5</f>
        <v>116.34499999999998</v>
      </c>
      <c r="F27" s="111">
        <v>180</v>
      </c>
      <c r="G27" s="112">
        <f t="shared" si="0"/>
        <v>830.9941624999999</v>
      </c>
      <c r="H27" s="112">
        <f t="shared" si="1"/>
        <v>814.70015931372541</v>
      </c>
      <c r="I27" s="33">
        <f>$C$24*A27+$C$25</f>
        <v>860.17127499999992</v>
      </c>
      <c r="J27" s="113">
        <f>((($N$2-(130*$D$2*(((B27+B26)*0.01)/2))*((I27-I26)/(A27-A26))))/((I27+I26)/2))/$D$2</f>
        <v>6.6000713152651445</v>
      </c>
      <c r="K27" s="114">
        <f>$N$2/H27/$D$2</f>
        <v>6.6328249126408805</v>
      </c>
      <c r="L27" s="114">
        <f>J27/($D$4/$D$2)</f>
        <v>12.493634466106299</v>
      </c>
      <c r="M27" s="107">
        <f>(((S27/60)*$J$1)/$D$2)</f>
        <v>7.4981684981684982</v>
      </c>
      <c r="N27" s="19">
        <f>K27-M27</f>
        <v>-0.8653435855276177</v>
      </c>
      <c r="O27" s="114">
        <f>N27/($D$4/$D$2)</f>
        <v>-1.6380560040566057</v>
      </c>
      <c r="P27" s="74"/>
      <c r="Q27" s="30"/>
      <c r="R27" s="131">
        <v>240</v>
      </c>
      <c r="S27" s="117">
        <v>230</v>
      </c>
      <c r="T27" s="13">
        <v>150</v>
      </c>
      <c r="U27" s="14">
        <v>247.3</v>
      </c>
      <c r="V27" s="15"/>
      <c r="W27" s="11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</row>
    <row r="28" spans="1:67" ht="14.1" customHeight="1" thickBot="1">
      <c r="A28" s="63"/>
      <c r="B28" s="118"/>
      <c r="C28" s="65"/>
      <c r="D28" s="99"/>
      <c r="E28" s="66"/>
      <c r="F28" s="135"/>
      <c r="G28" s="112"/>
      <c r="H28" s="112"/>
      <c r="I28" s="33"/>
      <c r="J28" s="113"/>
      <c r="K28" s="114"/>
      <c r="L28" s="114"/>
      <c r="M28" s="107"/>
      <c r="N28" s="107"/>
      <c r="O28" s="114"/>
      <c r="P28" s="74"/>
      <c r="Q28" s="30"/>
      <c r="R28" s="108"/>
      <c r="S28" s="117"/>
      <c r="U28" s="14">
        <v>258.07</v>
      </c>
      <c r="V28" s="15"/>
      <c r="W28" s="110"/>
      <c r="X28" s="69"/>
      <c r="Y28" s="13" t="s">
        <v>115</v>
      </c>
    </row>
    <row r="29" spans="1:67" ht="14.1" customHeight="1" thickBot="1">
      <c r="A29" s="119" t="s">
        <v>112</v>
      </c>
      <c r="B29" s="122">
        <f>AVERAGE(B23:B28)</f>
        <v>97.6</v>
      </c>
      <c r="C29" s="121"/>
      <c r="D29" s="122">
        <f>AVERAGE(D23:D28)</f>
        <v>162.54000000000002</v>
      </c>
      <c r="E29" s="122">
        <f>AVERAGE(E23:E28)</f>
        <v>121.68499999999999</v>
      </c>
      <c r="F29" s="122">
        <f>AVERAGE(F24:F28)</f>
        <v>180</v>
      </c>
      <c r="G29" s="122">
        <f>AVERAGE(G23:G28)</f>
        <v>869.13511249999988</v>
      </c>
      <c r="H29" s="122">
        <f>AVERAGE(H23:H28)</f>
        <v>892.74955440101405</v>
      </c>
      <c r="I29" s="122"/>
      <c r="J29" s="122">
        <f t="shared" ref="J29:O29" si="3">AVERAGE(J23:J28)</f>
        <v>6.4149674278504696</v>
      </c>
      <c r="K29" s="123">
        <f t="shared" si="3"/>
        <v>6.0065333386894268</v>
      </c>
      <c r="L29" s="122">
        <f t="shared" si="3"/>
        <v>12.143241235920218</v>
      </c>
      <c r="M29" s="122">
        <f t="shared" si="3"/>
        <v>7.0939194139194131</v>
      </c>
      <c r="N29" s="123">
        <f t="shared" si="3"/>
        <v>-1.6138879067318181</v>
      </c>
      <c r="O29" s="122">
        <f t="shared" si="3"/>
        <v>-3.0550163191936313</v>
      </c>
      <c r="P29" s="122"/>
      <c r="Q29" s="136"/>
      <c r="R29" s="137"/>
      <c r="S29" s="138"/>
      <c r="T29" s="13">
        <v>180</v>
      </c>
      <c r="U29" s="14">
        <v>180.89</v>
      </c>
      <c r="V29" s="15"/>
      <c r="W29" s="110"/>
      <c r="X29" s="69"/>
      <c r="Y29" s="13" t="s">
        <v>116</v>
      </c>
    </row>
    <row r="30" spans="1:67" ht="14.1" customHeight="1">
      <c r="A30" s="70"/>
      <c r="B30" s="139"/>
      <c r="C30" s="36"/>
      <c r="D30" s="99"/>
      <c r="E30" s="33"/>
      <c r="F30" s="125" t="s">
        <v>117</v>
      </c>
      <c r="G30" s="33"/>
      <c r="H30" s="33"/>
      <c r="I30" s="140" t="s">
        <v>114</v>
      </c>
      <c r="J30" s="141">
        <f>J29-((B27-B24)*0.25*$D$2*10)/(20*$D$2)</f>
        <v>4.6649674278504696</v>
      </c>
      <c r="K30" s="74"/>
      <c r="L30" s="142" t="s">
        <v>33</v>
      </c>
      <c r="M30" s="143">
        <f>J30-M29</f>
        <v>-2.4289519860689435</v>
      </c>
      <c r="N30" s="19">
        <f>AVERAGE(J24:J25)-M29</f>
        <v>-0.81968638414669659</v>
      </c>
      <c r="O30" s="74"/>
      <c r="P30" s="130">
        <f>$M$29-(((B27-B23)*1.3)/(A27-A23))</f>
        <v>6.8772527472527463</v>
      </c>
      <c r="Q30" s="30"/>
      <c r="R30" s="63"/>
      <c r="S30" s="144"/>
      <c r="U30" s="14">
        <v>206.17</v>
      </c>
      <c r="V30" s="15"/>
      <c r="W30" s="110"/>
      <c r="X30" s="69"/>
      <c r="Y30" s="13" t="s">
        <v>118</v>
      </c>
    </row>
    <row r="31" spans="1:67" ht="14.1" customHeight="1">
      <c r="A31" s="145"/>
      <c r="B31" s="139"/>
      <c r="C31" s="146"/>
      <c r="D31" s="147"/>
      <c r="E31" s="148"/>
      <c r="F31" s="145"/>
      <c r="G31" s="148"/>
      <c r="H31" s="148"/>
      <c r="I31" s="148"/>
      <c r="J31" s="149"/>
      <c r="K31" s="150"/>
      <c r="L31" s="133"/>
      <c r="M31" s="134"/>
      <c r="N31" s="101"/>
      <c r="O31" s="150"/>
      <c r="P31" s="150"/>
      <c r="Q31" s="96"/>
      <c r="R31" s="151"/>
      <c r="S31" s="101" t="s">
        <v>32</v>
      </c>
      <c r="T31" s="13">
        <v>210</v>
      </c>
      <c r="U31" s="14">
        <v>153.69</v>
      </c>
      <c r="V31" s="15"/>
      <c r="W31" s="110"/>
      <c r="X31" s="69"/>
      <c r="Y31" s="13" t="s">
        <v>119</v>
      </c>
    </row>
    <row r="32" spans="1:67" ht="14.1" customHeight="1">
      <c r="A32" s="145"/>
      <c r="B32" s="148"/>
      <c r="C32" s="146"/>
      <c r="D32" s="147"/>
      <c r="E32" s="148"/>
      <c r="F32" s="148"/>
      <c r="G32" s="148"/>
      <c r="H32" s="148"/>
      <c r="I32" s="148"/>
      <c r="J32" s="152"/>
      <c r="K32" s="153"/>
      <c r="L32" s="58"/>
      <c r="M32" s="124"/>
      <c r="N32" s="101"/>
      <c r="O32" s="150"/>
      <c r="P32" s="150"/>
      <c r="Q32" s="96"/>
      <c r="R32" s="145"/>
      <c r="S32" s="58"/>
      <c r="U32" s="14">
        <v>157.82</v>
      </c>
      <c r="V32" s="15"/>
      <c r="W32" s="110"/>
      <c r="X32" s="69"/>
      <c r="Y32" s="13" t="s">
        <v>120</v>
      </c>
    </row>
    <row r="33" spans="1:99" ht="14.1" customHeight="1">
      <c r="A33" s="145"/>
      <c r="B33" s="148"/>
      <c r="C33" s="146"/>
      <c r="D33" s="147"/>
      <c r="E33" s="148"/>
      <c r="F33" s="145"/>
      <c r="G33" s="148"/>
      <c r="H33" s="148"/>
      <c r="I33" s="148"/>
      <c r="J33" s="149"/>
      <c r="K33" s="150"/>
      <c r="L33" s="150"/>
      <c r="M33" s="124"/>
      <c r="N33" s="124"/>
      <c r="O33" s="150"/>
      <c r="P33" s="150"/>
      <c r="Q33" s="96"/>
      <c r="R33" s="145"/>
      <c r="S33" s="58"/>
      <c r="T33" s="13">
        <v>220</v>
      </c>
      <c r="U33" s="14">
        <v>158.63999999999999</v>
      </c>
      <c r="V33" s="15"/>
      <c r="W33" s="110"/>
      <c r="X33" s="69"/>
      <c r="Y33" s="20" t="s">
        <v>121</v>
      </c>
    </row>
    <row r="34" spans="1:99" ht="14.1" customHeight="1">
      <c r="A34" s="145"/>
      <c r="B34" s="148"/>
      <c r="C34" s="146"/>
      <c r="D34" s="147"/>
      <c r="E34" s="148"/>
      <c r="F34" s="145"/>
      <c r="G34" s="148"/>
      <c r="H34" s="148"/>
      <c r="I34" s="148"/>
      <c r="J34" s="149"/>
      <c r="K34" s="150"/>
      <c r="L34" s="150"/>
      <c r="M34" s="124"/>
      <c r="N34" s="124"/>
      <c r="O34" s="150"/>
      <c r="P34" s="150"/>
      <c r="Q34" s="96"/>
      <c r="R34" s="145"/>
      <c r="S34" s="58"/>
      <c r="U34" s="14">
        <v>167.93</v>
      </c>
      <c r="V34" s="15"/>
      <c r="W34" s="110"/>
    </row>
    <row r="35" spans="1:99" ht="14.1" customHeight="1">
      <c r="A35" s="145"/>
      <c r="B35" s="148"/>
      <c r="C35" s="146"/>
      <c r="D35" s="147"/>
      <c r="E35" s="148"/>
      <c r="F35" s="145"/>
      <c r="G35" s="148"/>
      <c r="H35" s="148"/>
      <c r="I35" s="148"/>
      <c r="J35" s="149"/>
      <c r="K35" s="150"/>
      <c r="L35" s="150"/>
      <c r="M35" s="124"/>
      <c r="N35" s="124"/>
      <c r="O35" s="150"/>
      <c r="P35" s="150"/>
      <c r="Q35" s="96"/>
      <c r="R35" s="145"/>
      <c r="S35" s="58"/>
      <c r="T35" s="13">
        <v>230</v>
      </c>
      <c r="U35" s="14">
        <v>180.11</v>
      </c>
      <c r="V35" s="15"/>
      <c r="W35" s="110"/>
    </row>
    <row r="36" spans="1:99" ht="14.1" customHeight="1">
      <c r="A36" s="145"/>
      <c r="B36" s="139"/>
      <c r="C36" s="146"/>
      <c r="D36" s="147"/>
      <c r="E36" s="148"/>
      <c r="F36" s="145"/>
      <c r="G36" s="148"/>
      <c r="H36" s="148"/>
      <c r="I36" s="148"/>
      <c r="J36" s="149"/>
      <c r="K36" s="150"/>
      <c r="L36" s="150"/>
      <c r="M36" s="124"/>
      <c r="N36" s="124"/>
      <c r="O36" s="150"/>
      <c r="P36" s="150"/>
      <c r="Q36" s="96"/>
      <c r="R36" s="145"/>
      <c r="S36" s="58"/>
      <c r="U36" s="14">
        <v>169.51</v>
      </c>
      <c r="V36" s="15"/>
      <c r="W36" s="110"/>
      <c r="X36"/>
    </row>
    <row r="37" spans="1:99" ht="14.1" customHeight="1">
      <c r="A37" s="145"/>
      <c r="B37" s="139"/>
      <c r="C37" s="146"/>
      <c r="D37" s="147"/>
      <c r="E37" s="148"/>
      <c r="F37" s="145"/>
      <c r="G37" s="148"/>
      <c r="H37" s="148"/>
      <c r="I37" s="148"/>
      <c r="J37" s="149"/>
      <c r="K37" s="150"/>
      <c r="L37" s="150"/>
      <c r="M37" s="124"/>
      <c r="N37" s="124"/>
      <c r="O37" s="150"/>
      <c r="P37" s="150"/>
      <c r="Q37" s="96"/>
      <c r="R37" s="96"/>
      <c r="S37" s="58"/>
      <c r="T37" s="13">
        <v>235</v>
      </c>
      <c r="U37" s="14">
        <v>166.1</v>
      </c>
      <c r="V37" s="15"/>
      <c r="W37" s="15"/>
      <c r="X37" s="6"/>
    </row>
    <row r="38" spans="1:99" s="156" customFormat="1" ht="14.1" customHeight="1">
      <c r="A38" s="154"/>
      <c r="B38" s="139"/>
      <c r="C38" s="155"/>
      <c r="D38" s="139"/>
      <c r="E38" s="139"/>
      <c r="F38" s="139"/>
      <c r="G38" s="139"/>
      <c r="H38" s="139"/>
      <c r="I38" s="139"/>
      <c r="J38" s="124"/>
      <c r="K38" s="124"/>
      <c r="L38" s="124"/>
      <c r="M38" s="124"/>
      <c r="N38" s="124"/>
      <c r="O38" s="124"/>
      <c r="P38" s="124"/>
      <c r="Q38" s="155"/>
      <c r="R38" s="145"/>
      <c r="S38" s="58"/>
      <c r="T38" s="13"/>
      <c r="U38" s="14">
        <v>157.19999999999999</v>
      </c>
      <c r="V38" s="15"/>
      <c r="W38" s="15"/>
      <c r="X38" s="6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</row>
    <row r="39" spans="1:99" s="3" customFormat="1" ht="14.1" customHeight="1">
      <c r="A39" s="157"/>
      <c r="B39" s="158"/>
      <c r="C39" s="159"/>
      <c r="D39" s="160"/>
      <c r="E39" s="160"/>
      <c r="F39" s="161"/>
      <c r="G39" s="160"/>
      <c r="H39" s="148"/>
      <c r="I39" s="162"/>
      <c r="J39" s="163"/>
      <c r="K39" s="150"/>
      <c r="L39" s="155"/>
      <c r="M39" s="134"/>
      <c r="N39" s="155"/>
      <c r="O39" s="155"/>
      <c r="P39" s="155"/>
      <c r="Q39" s="58"/>
      <c r="R39" s="58"/>
      <c r="S39" s="58"/>
      <c r="T39" s="13">
        <v>240</v>
      </c>
      <c r="U39" s="14">
        <v>160.16999999999999</v>
      </c>
      <c r="V39" s="15"/>
      <c r="W39" s="15"/>
      <c r="X39" s="6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</row>
    <row r="40" spans="1:99" ht="14.1" customHeight="1">
      <c r="A40" s="164"/>
      <c r="B40" s="165"/>
      <c r="C40" s="164"/>
      <c r="D40" s="148"/>
      <c r="E40" s="164"/>
      <c r="F40" s="164"/>
      <c r="G40" s="96"/>
      <c r="H40" s="101"/>
      <c r="I40" s="58"/>
      <c r="J40" s="155"/>
      <c r="K40" s="166"/>
      <c r="L40" s="167"/>
      <c r="M40" s="168"/>
      <c r="N40" s="134"/>
      <c r="O40" s="169"/>
      <c r="P40" s="169"/>
      <c r="Q40" s="58"/>
      <c r="R40" s="58"/>
      <c r="S40" s="58"/>
      <c r="U40" s="14">
        <v>154.22999999999999</v>
      </c>
      <c r="V40" s="15"/>
      <c r="W40" s="15"/>
    </row>
    <row r="41" spans="1:99" ht="14.1" customHeight="1">
      <c r="A41" s="164"/>
      <c r="B41" s="170"/>
      <c r="C41" s="164"/>
      <c r="D41" s="171"/>
      <c r="E41" s="164"/>
      <c r="F41" s="164"/>
      <c r="G41" s="124"/>
      <c r="H41" s="58"/>
      <c r="I41" s="58"/>
      <c r="J41" s="170"/>
      <c r="K41" s="170"/>
      <c r="L41" s="96"/>
      <c r="M41" s="172"/>
      <c r="N41" s="160"/>
      <c r="O41" s="58"/>
      <c r="P41" s="58"/>
      <c r="Q41" s="58"/>
      <c r="R41" s="58"/>
      <c r="S41" s="58"/>
      <c r="U41" s="173"/>
      <c r="V41" s="174"/>
      <c r="W41" s="175"/>
    </row>
    <row r="42" spans="1:99" ht="14.1" customHeight="1">
      <c r="A42" s="3"/>
      <c r="B42" s="3"/>
      <c r="C42" s="3"/>
      <c r="D42" s="33"/>
      <c r="E42" s="3"/>
      <c r="F42" s="3"/>
      <c r="G42" s="19"/>
      <c r="H42" s="40"/>
      <c r="I42" s="40"/>
      <c r="J42" s="30"/>
      <c r="K42" s="30"/>
      <c r="L42" s="30"/>
      <c r="M42" s="30"/>
      <c r="N42" s="33"/>
      <c r="O42" s="33"/>
      <c r="P42" s="33"/>
      <c r="Q42" s="40"/>
      <c r="R42" s="40"/>
      <c r="U42" s="173"/>
      <c r="V42" s="174"/>
      <c r="W42" s="175"/>
    </row>
    <row r="43" spans="1:99" ht="14.1" customHeight="1">
      <c r="A43" s="30"/>
      <c r="B43" s="176"/>
      <c r="C43" s="3"/>
      <c r="D43" s="33"/>
      <c r="E43" s="177"/>
      <c r="F43" s="177"/>
      <c r="G43" s="33"/>
      <c r="H43" s="174"/>
      <c r="I43" s="40"/>
      <c r="J43" s="30"/>
      <c r="K43" s="30"/>
      <c r="L43" s="30"/>
      <c r="M43" s="33"/>
      <c r="N43" s="178"/>
      <c r="O43" s="33"/>
      <c r="P43" s="33"/>
      <c r="Q43" s="40"/>
      <c r="R43" s="40"/>
      <c r="U43" s="173"/>
      <c r="V43" s="174"/>
      <c r="W43" s="175"/>
    </row>
    <row r="44" spans="1:99" ht="14.1" customHeight="1">
      <c r="A44" s="3"/>
      <c r="B44" s="30"/>
      <c r="C44" s="3"/>
      <c r="D44" s="41"/>
      <c r="E44" s="42"/>
      <c r="F44" s="42"/>
      <c r="G44" s="19"/>
      <c r="H44" s="19"/>
      <c r="I44" s="30"/>
      <c r="J44" s="179"/>
      <c r="K44" s="179"/>
      <c r="L44" s="180"/>
      <c r="M44" s="39"/>
      <c r="N44" s="179"/>
      <c r="O44" s="180"/>
      <c r="P44" s="180"/>
      <c r="Q44" s="46"/>
      <c r="R44" s="46"/>
      <c r="U44" s="173"/>
      <c r="V44" s="174"/>
      <c r="W44" s="175"/>
    </row>
    <row r="45" spans="1:99" s="1" customFormat="1" ht="14.1" customHeight="1">
      <c r="A45" s="3"/>
      <c r="B45" s="181"/>
      <c r="C45" s="181"/>
      <c r="D45" s="25"/>
      <c r="E45" s="181"/>
      <c r="F45" s="181"/>
      <c r="G45" s="181"/>
      <c r="H45" s="95"/>
      <c r="I45" s="95"/>
      <c r="J45" s="182"/>
      <c r="K45" s="182"/>
      <c r="L45" s="182"/>
      <c r="M45" s="182"/>
      <c r="N45" s="182"/>
      <c r="O45" s="54"/>
      <c r="P45" s="54"/>
      <c r="Q45" s="55"/>
      <c r="R45" s="55"/>
      <c r="S45" s="13"/>
      <c r="T45" s="13"/>
      <c r="U45" s="173"/>
      <c r="V45" s="40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</row>
    <row r="46" spans="1:99" ht="14.1" customHeight="1">
      <c r="A46" s="70"/>
      <c r="B46" s="33"/>
      <c r="C46" s="36"/>
      <c r="D46" s="33"/>
      <c r="E46" s="33"/>
      <c r="F46" s="33"/>
      <c r="G46" s="33"/>
      <c r="H46" s="33"/>
      <c r="I46" s="33"/>
      <c r="J46" s="74"/>
      <c r="K46" s="74"/>
      <c r="L46" s="74"/>
      <c r="M46" s="30"/>
      <c r="N46" s="19"/>
      <c r="O46" s="74"/>
      <c r="P46" s="74"/>
      <c r="Q46" s="30"/>
      <c r="R46" s="30"/>
      <c r="U46" s="173"/>
    </row>
    <row r="47" spans="1:99" ht="14.1" customHeight="1">
      <c r="A47" s="70"/>
      <c r="B47" s="33"/>
      <c r="C47" s="36"/>
      <c r="D47" s="33"/>
      <c r="E47" s="33"/>
      <c r="F47" s="33"/>
      <c r="G47" s="33"/>
      <c r="H47" s="33"/>
      <c r="I47" s="33"/>
      <c r="J47" s="74"/>
      <c r="K47" s="74"/>
      <c r="L47" s="74"/>
      <c r="M47" s="30"/>
      <c r="N47" s="19"/>
      <c r="O47" s="74"/>
      <c r="P47" s="74"/>
      <c r="Q47" s="30"/>
      <c r="R47" s="30"/>
      <c r="T47" s="40"/>
      <c r="U47" s="173"/>
    </row>
    <row r="48" spans="1:99" s="80" customFormat="1" ht="14.1" customHeight="1">
      <c r="A48" s="183"/>
      <c r="B48" s="25"/>
      <c r="C48" s="184"/>
      <c r="D48" s="25"/>
      <c r="E48" s="25"/>
      <c r="F48" s="25"/>
      <c r="G48" s="25"/>
      <c r="H48" s="25"/>
      <c r="I48" s="25"/>
      <c r="J48" s="95"/>
      <c r="K48" s="95"/>
      <c r="L48" s="95"/>
      <c r="M48" s="95"/>
      <c r="N48" s="95"/>
      <c r="O48" s="95"/>
      <c r="P48" s="95"/>
      <c r="Q48" s="95"/>
      <c r="R48" s="95"/>
      <c r="S48" s="13"/>
      <c r="T48" s="40"/>
      <c r="U48" s="17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</row>
    <row r="49" spans="1:99" ht="14.1" customHeight="1">
      <c r="A49" s="30"/>
      <c r="B49" s="176"/>
      <c r="C49" s="185"/>
      <c r="D49" s="33"/>
      <c r="E49" s="40"/>
      <c r="F49" s="40"/>
      <c r="G49" s="40"/>
      <c r="H49" s="40"/>
      <c r="I49" s="40"/>
      <c r="J49" s="40"/>
      <c r="K49" s="40"/>
      <c r="L49" s="40"/>
      <c r="M49" s="30"/>
      <c r="N49" s="40"/>
      <c r="O49" s="40"/>
      <c r="P49" s="40"/>
      <c r="Q49" s="30"/>
      <c r="R49" s="30"/>
      <c r="T49" s="40"/>
      <c r="U49" s="173"/>
    </row>
    <row r="50" spans="1:99" ht="14.1" customHeight="1">
      <c r="A50" s="30"/>
      <c r="B50" s="176"/>
      <c r="C50" s="185"/>
      <c r="D50" s="33"/>
      <c r="E50" s="40"/>
      <c r="F50" s="40"/>
      <c r="G50" s="40"/>
      <c r="H50" s="40"/>
      <c r="I50" s="40"/>
      <c r="J50" s="40"/>
      <c r="K50" s="40"/>
      <c r="L50" s="40"/>
      <c r="M50" s="30"/>
      <c r="N50" s="40"/>
      <c r="O50" s="40"/>
      <c r="P50" s="40"/>
      <c r="Q50" s="30"/>
      <c r="R50" s="30"/>
      <c r="T50" s="40"/>
      <c r="U50" s="173"/>
    </row>
    <row r="51" spans="1:99" ht="14.1" customHeight="1">
      <c r="A51" s="30"/>
      <c r="B51" s="176"/>
      <c r="C51" s="185"/>
      <c r="D51" s="33"/>
      <c r="E51" s="40"/>
      <c r="F51" s="40"/>
      <c r="G51" s="40"/>
      <c r="H51" s="40"/>
      <c r="I51" s="40"/>
      <c r="J51" s="40"/>
      <c r="K51" s="40"/>
      <c r="L51" s="40"/>
      <c r="M51" s="19"/>
      <c r="N51" s="40"/>
      <c r="O51" s="40"/>
      <c r="P51" s="40"/>
      <c r="Q51" s="30"/>
      <c r="R51" s="30"/>
      <c r="T51" s="40"/>
      <c r="U51" s="173"/>
    </row>
    <row r="52" spans="1:99" ht="14.1" customHeight="1">
      <c r="A52" s="30"/>
      <c r="B52" s="176"/>
      <c r="C52" s="185"/>
      <c r="D52" s="33"/>
      <c r="E52" s="40"/>
      <c r="F52" s="40"/>
      <c r="G52" s="40"/>
      <c r="H52" s="40"/>
      <c r="I52" s="40"/>
      <c r="J52" s="40"/>
      <c r="K52" s="40"/>
      <c r="L52" s="40"/>
      <c r="M52" s="19"/>
      <c r="N52" s="40"/>
      <c r="O52" s="40"/>
      <c r="P52" s="40"/>
      <c r="Q52" s="30"/>
      <c r="R52" s="30"/>
      <c r="U52" s="173"/>
    </row>
    <row r="53" spans="1:99" ht="14.1" customHeight="1">
      <c r="A53" s="30"/>
      <c r="B53" s="176"/>
      <c r="C53" s="186"/>
      <c r="D53" s="33"/>
      <c r="E53" s="33"/>
      <c r="F53" s="33"/>
      <c r="G53" s="33"/>
      <c r="H53" s="33"/>
      <c r="I53" s="33"/>
      <c r="J53" s="187"/>
      <c r="K53" s="188"/>
      <c r="L53" s="40"/>
      <c r="M53" s="19"/>
      <c r="N53" s="40"/>
      <c r="O53" s="40"/>
      <c r="P53" s="40"/>
      <c r="Q53" s="30"/>
      <c r="R53" s="30"/>
      <c r="U53" s="173"/>
    </row>
    <row r="54" spans="1:99" ht="14.1" customHeight="1">
      <c r="A54" s="70"/>
      <c r="B54" s="189"/>
      <c r="C54" s="36"/>
      <c r="D54" s="33"/>
      <c r="E54" s="33"/>
      <c r="F54" s="33"/>
      <c r="G54" s="33"/>
      <c r="H54" s="33"/>
      <c r="I54" s="33"/>
      <c r="J54" s="132"/>
      <c r="K54" s="74"/>
      <c r="L54" s="74"/>
      <c r="M54" s="19"/>
      <c r="N54" s="19"/>
      <c r="O54" s="74"/>
      <c r="P54" s="74"/>
      <c r="Q54" s="30"/>
      <c r="R54" s="30"/>
      <c r="U54" s="173"/>
    </row>
    <row r="55" spans="1:99" ht="14.1" customHeight="1">
      <c r="A55" s="70"/>
      <c r="B55" s="189"/>
      <c r="C55" s="36"/>
      <c r="D55" s="33"/>
      <c r="E55" s="33"/>
      <c r="F55" s="33"/>
      <c r="G55" s="33"/>
      <c r="H55" s="33"/>
      <c r="I55" s="33"/>
      <c r="J55" s="132"/>
      <c r="K55" s="74"/>
      <c r="L55" s="74"/>
      <c r="M55" s="19"/>
      <c r="N55" s="19"/>
      <c r="O55" s="74"/>
      <c r="P55" s="74"/>
      <c r="Q55" s="30"/>
      <c r="R55" s="30"/>
      <c r="U55" s="173"/>
    </row>
    <row r="56" spans="1:99" s="30" customFormat="1" ht="14.1" customHeight="1">
      <c r="A56" s="70"/>
      <c r="B56" s="189"/>
      <c r="C56" s="36"/>
      <c r="D56" s="33"/>
      <c r="E56" s="33"/>
      <c r="F56" s="33"/>
      <c r="G56" s="33"/>
      <c r="H56" s="33"/>
      <c r="I56" s="33"/>
      <c r="J56" s="132"/>
      <c r="K56" s="74"/>
      <c r="L56" s="74"/>
      <c r="M56" s="19"/>
      <c r="N56" s="19"/>
      <c r="O56" s="74"/>
      <c r="P56" s="74"/>
      <c r="S56" s="13"/>
      <c r="T56" s="13"/>
      <c r="U56" s="17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</row>
    <row r="57" spans="1:99" ht="14.1" customHeight="1">
      <c r="A57" s="70"/>
      <c r="B57" s="189"/>
      <c r="C57" s="36"/>
      <c r="D57" s="33"/>
      <c r="E57" s="33"/>
      <c r="F57" s="33"/>
      <c r="G57" s="33"/>
      <c r="H57" s="33"/>
      <c r="I57" s="33"/>
      <c r="J57" s="132"/>
      <c r="K57" s="74"/>
      <c r="L57" s="74"/>
      <c r="M57" s="19"/>
      <c r="N57" s="19"/>
      <c r="O57" s="74"/>
      <c r="P57" s="74"/>
      <c r="Q57" s="30"/>
      <c r="R57" s="30"/>
      <c r="U57" s="173"/>
    </row>
    <row r="58" spans="1:99" ht="14.1" customHeight="1">
      <c r="A58" s="183"/>
      <c r="B58" s="25"/>
      <c r="C58" s="184"/>
      <c r="D58" s="25"/>
      <c r="E58" s="25"/>
      <c r="F58" s="25"/>
      <c r="G58" s="25"/>
      <c r="H58" s="25"/>
      <c r="I58" s="25"/>
      <c r="J58" s="95"/>
      <c r="K58" s="95"/>
      <c r="L58" s="95"/>
      <c r="M58" s="95"/>
      <c r="N58" s="95"/>
      <c r="O58" s="95"/>
      <c r="P58" s="95"/>
      <c r="Q58" s="95"/>
      <c r="R58" s="95"/>
      <c r="U58" s="173"/>
    </row>
    <row r="59" spans="1:99" s="115" customFormat="1" ht="14.1" customHeight="1">
      <c r="A59" s="40"/>
      <c r="B59" s="40"/>
      <c r="C59" s="40"/>
      <c r="D59" s="19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13"/>
      <c r="T59" s="13"/>
      <c r="U59" s="17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</row>
    <row r="60" spans="1:99" s="30" customFormat="1" ht="14.1" customHeight="1">
      <c r="A60" s="191"/>
      <c r="B60" s="40"/>
      <c r="C60" s="40"/>
      <c r="D60" s="19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13"/>
      <c r="T60" s="13"/>
      <c r="U60" s="17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</row>
    <row r="61" spans="1:99" ht="14.1" customHeight="1">
      <c r="A61" s="40"/>
      <c r="B61" s="40"/>
      <c r="C61" s="40"/>
      <c r="D61" s="19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U61" s="173"/>
    </row>
    <row r="62" spans="1:99" ht="14.1" customHeight="1">
      <c r="A62" s="40"/>
      <c r="B62" s="40"/>
      <c r="C62" s="40"/>
      <c r="D62" s="19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U62" s="173"/>
    </row>
    <row r="63" spans="1:99" ht="14.1" customHeight="1">
      <c r="A63" s="40"/>
      <c r="B63" s="40"/>
      <c r="C63" s="40"/>
      <c r="D63" s="19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U63" s="173"/>
    </row>
    <row r="64" spans="1:99" s="156" customFormat="1" ht="14.1" customHeight="1">
      <c r="A64" s="30"/>
      <c r="B64" s="189"/>
      <c r="C64" s="36"/>
      <c r="D64" s="33"/>
      <c r="E64" s="189"/>
      <c r="F64" s="189"/>
      <c r="G64" s="19"/>
      <c r="H64" s="30"/>
      <c r="I64" s="30"/>
      <c r="J64" s="30"/>
      <c r="K64" s="30"/>
      <c r="L64" s="30"/>
      <c r="M64" s="30"/>
      <c r="N64" s="19"/>
      <c r="O64" s="30"/>
      <c r="P64" s="30"/>
      <c r="Q64" s="40"/>
      <c r="R64" s="40"/>
      <c r="S64" s="13"/>
      <c r="T64" s="13"/>
      <c r="U64" s="17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</row>
    <row r="65" spans="1:21" s="13" customFormat="1" ht="14.1" customHeight="1">
      <c r="A65" s="30"/>
      <c r="B65" s="189"/>
      <c r="C65" s="36"/>
      <c r="D65" s="33"/>
      <c r="E65" s="189"/>
      <c r="F65" s="189"/>
      <c r="G65" s="19"/>
      <c r="H65" s="30"/>
      <c r="I65" s="30"/>
      <c r="J65" s="30"/>
      <c r="K65" s="30"/>
      <c r="L65" s="30"/>
      <c r="M65" s="30"/>
      <c r="N65" s="19"/>
      <c r="O65" s="30"/>
      <c r="P65" s="30"/>
      <c r="Q65" s="40"/>
      <c r="R65" s="40"/>
      <c r="U65" s="173"/>
    </row>
    <row r="66" spans="1:21" s="13" customFormat="1" ht="14.1" customHeight="1">
      <c r="A66" s="12"/>
      <c r="B66" s="192"/>
      <c r="C66" s="65"/>
      <c r="D66" s="66"/>
      <c r="E66" s="192"/>
      <c r="F66" s="192"/>
      <c r="G66" s="68"/>
      <c r="H66" s="12"/>
      <c r="I66" s="12"/>
      <c r="J66" s="12"/>
      <c r="K66" s="12"/>
      <c r="L66" s="12"/>
      <c r="M66" s="12"/>
      <c r="N66" s="68"/>
      <c r="O66" s="12"/>
      <c r="P66" s="12"/>
      <c r="U66" s="173"/>
    </row>
    <row r="67" spans="1:21" ht="14.1" customHeight="1">
      <c r="C67" s="65"/>
      <c r="U67" s="173"/>
    </row>
    <row r="68" spans="1:21" ht="14.1" customHeight="1">
      <c r="A68" s="13"/>
      <c r="B68" s="13"/>
      <c r="C68" s="13"/>
      <c r="D68" s="97"/>
      <c r="E68" s="13"/>
      <c r="F68" s="13"/>
      <c r="G68" s="13"/>
      <c r="H68" s="13"/>
      <c r="I68" s="13"/>
      <c r="J68" s="13"/>
      <c r="M68" s="13"/>
      <c r="N68" s="13"/>
      <c r="O68" s="13"/>
      <c r="P68" s="13"/>
      <c r="U68" s="173"/>
    </row>
    <row r="69" spans="1:21" ht="14.1" customHeight="1">
      <c r="A69" s="13"/>
      <c r="B69" s="13"/>
      <c r="C69" s="13"/>
      <c r="D69" s="97"/>
      <c r="E69" s="13"/>
      <c r="F69" s="13"/>
      <c r="G69" s="13"/>
      <c r="H69" s="13"/>
      <c r="I69" s="13"/>
      <c r="J69" s="13"/>
      <c r="M69" s="13"/>
      <c r="N69" s="13"/>
      <c r="O69" s="13"/>
      <c r="P69" s="13"/>
      <c r="U69" s="173"/>
    </row>
    <row r="70" spans="1:21" ht="14.1" customHeight="1">
      <c r="C70" s="65"/>
      <c r="U70" s="173"/>
    </row>
    <row r="71" spans="1:21" ht="14.1" customHeight="1">
      <c r="C71" s="65"/>
      <c r="Q71" s="13"/>
      <c r="R71" s="13"/>
    </row>
    <row r="72" spans="1:21" ht="14.1" customHeight="1">
      <c r="C72" s="65"/>
      <c r="Q72" s="13"/>
      <c r="R72" s="13"/>
    </row>
    <row r="73" spans="1:21" ht="14.1" customHeight="1">
      <c r="C73" s="65"/>
    </row>
    <row r="74" spans="1:21" ht="14.1" customHeight="1">
      <c r="C74" s="65"/>
    </row>
  </sheetData>
  <pageMargins left="0.75" right="0.5" top="1" bottom="0.5" header="0.5" footer="0.5"/>
  <pageSetup scale="70" orientation="landscape" r:id="rId1"/>
  <headerFooter alignWithMargins="0">
    <oddHeader>&amp;R&amp;D</oddHeader>
  </headerFooter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U74"/>
  <sheetViews>
    <sheetView zoomScale="87" zoomScaleNormal="87" workbookViewId="0">
      <selection activeCell="AB11" sqref="AB11:CQ11"/>
    </sheetView>
  </sheetViews>
  <sheetFormatPr defaultColWidth="13.7109375" defaultRowHeight="14.1" customHeight="1"/>
  <cols>
    <col min="1" max="1" width="6.28515625" style="12" customWidth="1"/>
    <col min="2" max="2" width="16.5703125" style="192" customWidth="1"/>
    <col min="3" max="3" width="8.28515625" style="12" customWidth="1"/>
    <col min="4" max="4" width="11.140625" style="66" customWidth="1"/>
    <col min="5" max="5" width="12.85546875" style="192" customWidth="1"/>
    <col min="6" max="6" width="9.28515625" style="192" customWidth="1"/>
    <col min="7" max="7" width="9.140625" style="68" customWidth="1"/>
    <col min="8" max="8" width="10.85546875" style="12" customWidth="1"/>
    <col min="9" max="9" width="13.140625" style="12" customWidth="1"/>
    <col min="10" max="10" width="12.28515625" style="12" customWidth="1"/>
    <col min="11" max="11" width="10.140625" style="12" customWidth="1"/>
    <col min="12" max="12" width="14.42578125" style="12" customWidth="1"/>
    <col min="13" max="13" width="8.85546875" style="12" customWidth="1"/>
    <col min="14" max="14" width="17.140625" style="68" customWidth="1"/>
    <col min="15" max="15" width="15.7109375" style="12" customWidth="1"/>
    <col min="16" max="16" width="10.85546875" style="12" customWidth="1"/>
    <col min="17" max="17" width="6.140625" style="12" customWidth="1"/>
    <col min="18" max="18" width="7.28515625" style="12" customWidth="1"/>
    <col min="19" max="19" width="12" style="13" customWidth="1"/>
    <col min="20" max="20" width="10.42578125" style="13" customWidth="1"/>
    <col min="21" max="21" width="13.7109375" style="13" customWidth="1"/>
    <col min="22" max="22" width="2.5703125" style="13" customWidth="1"/>
    <col min="23" max="29" width="13.7109375" style="13" customWidth="1"/>
    <col min="30" max="31" width="25" style="13" customWidth="1"/>
    <col min="32" max="34" width="13.7109375" style="13" customWidth="1"/>
    <col min="35" max="35" width="19.85546875" style="13" customWidth="1"/>
    <col min="36" max="36" width="19.5703125" style="13" customWidth="1"/>
    <col min="37" max="37" width="27.42578125" style="13" customWidth="1"/>
    <col min="38" max="38" width="31.42578125" style="13" customWidth="1"/>
    <col min="39" max="39" width="31.28515625" style="13" customWidth="1"/>
    <col min="40" max="45" width="27.42578125" style="13" customWidth="1"/>
    <col min="46" max="46" width="31.28515625" style="13" customWidth="1"/>
    <col min="47" max="47" width="35.42578125" style="13" customWidth="1"/>
    <col min="48" max="50" width="13.7109375" style="13" customWidth="1"/>
    <col min="51" max="52" width="17.28515625" style="13" customWidth="1"/>
    <col min="53" max="60" width="17.5703125" style="13" customWidth="1"/>
    <col min="61" max="65" width="20.42578125" style="13" customWidth="1"/>
    <col min="66" max="68" width="13.7109375" style="13" customWidth="1"/>
    <col min="69" max="69" width="18.7109375" style="13" customWidth="1"/>
    <col min="70" max="72" width="13.7109375" style="13" customWidth="1"/>
    <col min="73" max="73" width="17.28515625" style="13" customWidth="1"/>
    <col min="74" max="74" width="16.85546875" style="13" customWidth="1"/>
    <col min="75" max="75" width="13.7109375" style="13" customWidth="1"/>
    <col min="76" max="76" width="17" style="13" customWidth="1"/>
    <col min="77" max="81" width="17.85546875" style="13" customWidth="1"/>
    <col min="82" max="92" width="13.7109375" style="13" customWidth="1"/>
    <col min="93" max="93" width="26.140625" style="13" customWidth="1"/>
    <col min="94" max="94" width="25.7109375" style="13" customWidth="1"/>
    <col min="95" max="95" width="22.85546875" style="13" customWidth="1"/>
    <col min="96" max="99" width="13.7109375" style="13" customWidth="1"/>
    <col min="100" max="16384" width="13.7109375" style="12"/>
  </cols>
  <sheetData>
    <row r="1" spans="1:99" ht="14.1" customHeight="1">
      <c r="A1" s="1" t="s">
        <v>0</v>
      </c>
      <c r="B1" s="2" t="s">
        <v>166</v>
      </c>
      <c r="C1" s="3" t="s">
        <v>1</v>
      </c>
      <c r="D1" s="4" t="s">
        <v>185</v>
      </c>
      <c r="E1" s="1" t="s">
        <v>2</v>
      </c>
      <c r="F1" s="1"/>
      <c r="G1" s="5">
        <v>43</v>
      </c>
      <c r="H1" s="6"/>
      <c r="I1" s="6" t="s">
        <v>3</v>
      </c>
      <c r="J1" s="5">
        <v>178</v>
      </c>
      <c r="K1" s="7"/>
      <c r="L1" s="7"/>
      <c r="M1" s="8" t="s">
        <v>4</v>
      </c>
      <c r="N1" s="9">
        <f>((AVERAGE(W7:W8))*20)</f>
        <v>7782486</v>
      </c>
      <c r="O1" s="10">
        <f>(O3*20)</f>
        <v>7932084.9250499997</v>
      </c>
      <c r="P1" s="10"/>
      <c r="Q1" s="11" t="s">
        <v>5</v>
      </c>
      <c r="S1" s="13">
        <v>-120</v>
      </c>
      <c r="T1" s="13" t="s">
        <v>6</v>
      </c>
      <c r="U1" s="14">
        <v>37.840000000000003</v>
      </c>
      <c r="V1" s="15"/>
      <c r="W1" s="15" t="s">
        <v>7</v>
      </c>
    </row>
    <row r="2" spans="1:99" ht="14.1" customHeight="1" thickBot="1">
      <c r="A2" s="16" t="s">
        <v>8</v>
      </c>
      <c r="B2" s="17">
        <v>42628</v>
      </c>
      <c r="C2" s="3" t="s">
        <v>9</v>
      </c>
      <c r="D2" s="18">
        <v>82.9</v>
      </c>
      <c r="E2" s="3" t="s">
        <v>10</v>
      </c>
      <c r="F2" s="3"/>
      <c r="G2" s="19">
        <f>D2/(D3/100*D3/100)</f>
        <v>33.9775821732865</v>
      </c>
      <c r="H2" s="13"/>
      <c r="I2" s="20" t="s">
        <v>11</v>
      </c>
      <c r="J2" s="21"/>
      <c r="K2" s="22"/>
      <c r="L2" s="23"/>
      <c r="M2" s="24" t="s">
        <v>12</v>
      </c>
      <c r="N2" s="25">
        <f>(O1*0.068)</f>
        <v>539381.77490339999</v>
      </c>
      <c r="O2" s="13"/>
      <c r="P2" s="13"/>
      <c r="Q2" s="11"/>
      <c r="R2" s="26"/>
      <c r="T2" s="13" t="s">
        <v>6</v>
      </c>
      <c r="U2" s="14">
        <v>39.65</v>
      </c>
      <c r="V2" s="15"/>
      <c r="W2" s="27">
        <v>139968.20000000001</v>
      </c>
    </row>
    <row r="3" spans="1:99" ht="14.1" customHeight="1" thickTop="1" thickBot="1">
      <c r="A3" s="16" t="s">
        <v>13</v>
      </c>
      <c r="B3" s="28" t="s">
        <v>167</v>
      </c>
      <c r="C3" s="3" t="s">
        <v>15</v>
      </c>
      <c r="D3" s="29">
        <v>156.19999999999999</v>
      </c>
      <c r="E3" s="3" t="s">
        <v>16</v>
      </c>
      <c r="F3" s="3"/>
      <c r="G3" s="19">
        <f>SQRT(((D2*D3)/3600))</f>
        <v>1.8965597509408685</v>
      </c>
      <c r="H3" s="13"/>
      <c r="I3" s="20"/>
      <c r="J3" s="30"/>
      <c r="K3" s="30"/>
      <c r="L3" s="30"/>
      <c r="M3" s="31" t="s">
        <v>17</v>
      </c>
      <c r="N3" s="32">
        <f>($O$1/$N$1)*100</f>
        <v>101.92225112965187</v>
      </c>
      <c r="O3" s="33">
        <f>((AVERAGE(W2:W5))*2.85714)</f>
        <v>396604.24625249999</v>
      </c>
      <c r="P3" s="33"/>
      <c r="Q3" s="34" t="s">
        <v>18</v>
      </c>
      <c r="R3" s="13"/>
      <c r="T3" s="13">
        <v>-30</v>
      </c>
      <c r="U3" s="14">
        <v>440.61</v>
      </c>
      <c r="V3" s="15"/>
      <c r="W3" s="27">
        <v>138858.70000000001</v>
      </c>
    </row>
    <row r="4" spans="1:99" ht="14.1" customHeight="1" thickTop="1">
      <c r="B4" s="35"/>
      <c r="C4" s="3" t="s">
        <v>19</v>
      </c>
      <c r="D4" s="19">
        <v>48.186</v>
      </c>
      <c r="E4" s="37" t="s">
        <v>20</v>
      </c>
      <c r="F4" s="37"/>
      <c r="G4" s="38">
        <v>0.40699999999999997</v>
      </c>
      <c r="H4" s="13"/>
      <c r="I4" s="20"/>
      <c r="J4" s="30"/>
      <c r="K4" s="30"/>
      <c r="L4" s="30"/>
      <c r="M4" s="33"/>
      <c r="N4" s="39"/>
      <c r="O4" s="30"/>
      <c r="P4" s="30"/>
      <c r="Q4" s="30"/>
      <c r="R4" s="30"/>
      <c r="U4" s="14">
        <v>464.77</v>
      </c>
      <c r="V4" s="15"/>
      <c r="W4" s="27">
        <v>138550.70000000001</v>
      </c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</row>
    <row r="5" spans="1:99" ht="14.1" customHeight="1" thickBot="1">
      <c r="A5" s="16"/>
      <c r="B5" s="30"/>
      <c r="C5" s="3"/>
      <c r="D5" s="41" t="s">
        <v>21</v>
      </c>
      <c r="E5" s="42">
        <f>AVERAGE(U1:U2)</f>
        <v>38.745000000000005</v>
      </c>
      <c r="F5" s="42"/>
      <c r="G5" s="19"/>
      <c r="H5" s="30"/>
      <c r="I5" s="30"/>
      <c r="J5" s="43" t="s">
        <v>22</v>
      </c>
      <c r="K5" s="43"/>
      <c r="L5" s="44" t="s">
        <v>23</v>
      </c>
      <c r="M5" s="45"/>
      <c r="N5" s="43" t="s">
        <v>22</v>
      </c>
      <c r="O5" s="44" t="s">
        <v>23</v>
      </c>
      <c r="P5" s="44" t="s">
        <v>24</v>
      </c>
      <c r="Q5" s="46"/>
      <c r="R5" s="46"/>
      <c r="T5" s="13">
        <v>-20</v>
      </c>
      <c r="U5" s="14">
        <v>446.83</v>
      </c>
      <c r="V5" s="15"/>
      <c r="W5" s="27">
        <v>137868.9</v>
      </c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</row>
    <row r="6" spans="1:99" s="1" customFormat="1" ht="14.1" customHeight="1">
      <c r="A6" s="47" t="s">
        <v>25</v>
      </c>
      <c r="B6" s="48" t="s">
        <v>26</v>
      </c>
      <c r="C6" s="48"/>
      <c r="D6" s="49" t="s">
        <v>27</v>
      </c>
      <c r="E6" s="48" t="s">
        <v>28</v>
      </c>
      <c r="F6" s="48"/>
      <c r="G6" s="48" t="s">
        <v>29</v>
      </c>
      <c r="H6" s="50" t="s">
        <v>30</v>
      </c>
      <c r="I6" s="50"/>
      <c r="J6" s="51" t="s">
        <v>31</v>
      </c>
      <c r="K6" s="52"/>
      <c r="L6" s="52" t="s">
        <v>31</v>
      </c>
      <c r="M6" s="52" t="s">
        <v>32</v>
      </c>
      <c r="N6" s="52" t="s">
        <v>33</v>
      </c>
      <c r="O6" s="53" t="s">
        <v>34</v>
      </c>
      <c r="P6" s="54"/>
      <c r="Q6" s="55"/>
      <c r="R6" s="55"/>
      <c r="S6" s="13"/>
      <c r="T6" s="13"/>
      <c r="U6" s="14">
        <v>446.54</v>
      </c>
      <c r="V6" s="15"/>
      <c r="W6" s="56" t="s">
        <v>35</v>
      </c>
      <c r="X6" s="13" t="s">
        <v>36</v>
      </c>
      <c r="Y6" s="57" t="s">
        <v>37</v>
      </c>
      <c r="Z6" s="58" t="s">
        <v>38</v>
      </c>
      <c r="AA6" s="40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60"/>
      <c r="AY6" s="60"/>
      <c r="AZ6" s="60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60"/>
      <c r="BO6" s="60"/>
      <c r="BP6" s="60"/>
      <c r="BQ6" s="59"/>
      <c r="BR6" s="59"/>
      <c r="BS6" s="59"/>
      <c r="BT6" s="59"/>
      <c r="BU6" s="59"/>
      <c r="BV6" s="59"/>
      <c r="BW6" s="59"/>
      <c r="BX6" s="59"/>
      <c r="BY6" s="59"/>
      <c r="BZ6" s="61"/>
      <c r="CA6" s="61"/>
      <c r="CB6" s="61"/>
      <c r="CC6" s="61"/>
      <c r="CD6" s="40"/>
      <c r="CE6" s="61"/>
      <c r="CF6" s="61"/>
      <c r="CG6" s="33"/>
      <c r="CH6" s="40"/>
      <c r="CI6" s="30"/>
      <c r="CJ6" s="30"/>
      <c r="CK6" s="30"/>
      <c r="CL6" s="30"/>
      <c r="CM6" s="30"/>
      <c r="CN6" s="30"/>
      <c r="CO6" s="30"/>
      <c r="CP6" s="62"/>
      <c r="CQ6" s="62"/>
      <c r="CR6" s="13"/>
      <c r="CS6" s="13"/>
      <c r="CT6" s="13"/>
      <c r="CU6" s="13"/>
    </row>
    <row r="7" spans="1:99" ht="14.1" customHeight="1">
      <c r="A7" s="63">
        <v>-30</v>
      </c>
      <c r="B7" s="64">
        <v>101</v>
      </c>
      <c r="C7" s="65"/>
      <c r="D7" s="42">
        <f>AVERAGE(U3:U4)</f>
        <v>452.69</v>
      </c>
      <c r="E7" s="66">
        <f>D7-$E$5</f>
        <v>413.94499999999999</v>
      </c>
      <c r="F7" s="66"/>
      <c r="G7" s="66">
        <f>($E7*7.1425)</f>
        <v>2956.6021624999998</v>
      </c>
      <c r="H7" s="66">
        <f>($G7/($B7*0.01))</f>
        <v>2927.3288737623761</v>
      </c>
      <c r="I7" s="66"/>
      <c r="J7" s="67">
        <f>$N$2/$H7/$D$2</f>
        <v>2.2226456047914476</v>
      </c>
      <c r="K7" s="67"/>
      <c r="L7" s="67">
        <f>J7/($D$4/$D$2)</f>
        <v>3.8238766578925625</v>
      </c>
      <c r="N7" s="68">
        <f>J7-M7</f>
        <v>2.2226456047914476</v>
      </c>
      <c r="O7" s="67">
        <f>N7/($D$4/$D$2)</f>
        <v>3.8238766578925625</v>
      </c>
      <c r="P7" s="67"/>
      <c r="Q7" s="30"/>
      <c r="R7" s="30"/>
      <c r="T7" s="13">
        <v>-10</v>
      </c>
      <c r="U7" s="14">
        <v>466.37</v>
      </c>
      <c r="V7" s="15"/>
      <c r="W7" s="27">
        <v>386768.3</v>
      </c>
      <c r="X7" s="69">
        <v>0.629</v>
      </c>
      <c r="Y7" s="70">
        <v>-30</v>
      </c>
      <c r="Z7" s="71">
        <v>18.574000000000002</v>
      </c>
      <c r="AA7" s="40"/>
      <c r="AB7" s="72"/>
      <c r="AC7" s="72"/>
      <c r="AD7" s="72"/>
      <c r="AE7" s="72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19"/>
      <c r="AY7" s="74"/>
      <c r="AZ7" s="74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</row>
    <row r="8" spans="1:99" ht="14.1" customHeight="1">
      <c r="A8" s="63">
        <v>-20</v>
      </c>
      <c r="B8" s="64">
        <v>98</v>
      </c>
      <c r="C8" s="65"/>
      <c r="D8" s="66">
        <f>AVERAGE(U5:U6)</f>
        <v>446.685</v>
      </c>
      <c r="E8" s="66">
        <f>D8-$E$5</f>
        <v>407.94</v>
      </c>
      <c r="F8" s="66"/>
      <c r="G8" s="66">
        <f>($E8*7.1425)</f>
        <v>2913.7114499999998</v>
      </c>
      <c r="H8" s="66">
        <f>($G8/($B8*0.01))</f>
        <v>2973.1749489795916</v>
      </c>
      <c r="I8" s="66"/>
      <c r="J8" s="67">
        <f>$N$2/H8/$D$2</f>
        <v>2.1883726207501102</v>
      </c>
      <c r="K8" s="67"/>
      <c r="L8" s="67">
        <f>J8/($D$4/$D$2)</f>
        <v>3.7649128431532843</v>
      </c>
      <c r="N8" s="68">
        <f>J8-M8</f>
        <v>2.1883726207501102</v>
      </c>
      <c r="O8" s="67">
        <f>N8/($D$4/$D$2)</f>
        <v>3.7649128431532843</v>
      </c>
      <c r="P8" s="67"/>
      <c r="Q8" s="30"/>
      <c r="R8" s="30"/>
      <c r="U8" s="14">
        <v>436.34</v>
      </c>
      <c r="V8" s="15"/>
      <c r="W8" s="27">
        <v>391480.3</v>
      </c>
      <c r="X8" s="69">
        <v>0.752</v>
      </c>
      <c r="Y8" s="70">
        <v>-20</v>
      </c>
      <c r="Z8" s="71">
        <v>17.510999999999999</v>
      </c>
      <c r="AA8" s="40"/>
      <c r="AB8" s="72"/>
      <c r="AC8" s="72"/>
      <c r="AD8" s="72"/>
      <c r="AE8" s="72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19"/>
      <c r="AY8" s="74"/>
      <c r="AZ8" s="74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</row>
    <row r="9" spans="1:99" ht="14.1" customHeight="1" thickBot="1">
      <c r="A9" s="63">
        <v>-10</v>
      </c>
      <c r="B9" s="75">
        <v>97</v>
      </c>
      <c r="C9" s="65"/>
      <c r="D9" s="66">
        <f>AVERAGE(U7:U8)</f>
        <v>451.35500000000002</v>
      </c>
      <c r="E9" s="66">
        <f>D9-$E$5</f>
        <v>412.61</v>
      </c>
      <c r="F9" s="66"/>
      <c r="G9" s="66">
        <f>($E9*7.1425)</f>
        <v>2947.0669250000001</v>
      </c>
      <c r="H9" s="66">
        <f>($G9/($B9*0.01))</f>
        <v>3038.213324742268</v>
      </c>
      <c r="I9" s="66"/>
      <c r="J9" s="67">
        <f>$N$2/H9/$D$2</f>
        <v>2.1415266011970977</v>
      </c>
      <c r="K9" s="67"/>
      <c r="L9" s="67">
        <f>J9/($D$4/$D$2)</f>
        <v>3.68431816791681</v>
      </c>
      <c r="N9" s="68">
        <f>J9-M9</f>
        <v>2.1415266011970977</v>
      </c>
      <c r="O9" s="67">
        <f>N9/($D$4/$D$2)</f>
        <v>3.68431816791681</v>
      </c>
      <c r="P9" s="67"/>
      <c r="Q9" s="30"/>
      <c r="R9" s="30"/>
      <c r="T9" s="13">
        <v>-5</v>
      </c>
      <c r="U9" s="14">
        <v>476.56</v>
      </c>
      <c r="V9" s="15"/>
      <c r="W9" s="76">
        <v>395339.8</v>
      </c>
      <c r="X9" s="69">
        <v>0.73599999999999999</v>
      </c>
      <c r="Y9" s="70">
        <v>-10</v>
      </c>
      <c r="Z9" s="71">
        <v>16.684999999999999</v>
      </c>
      <c r="AA9" s="40"/>
      <c r="AB9" s="72"/>
      <c r="AC9" s="72"/>
      <c r="AD9" s="72"/>
      <c r="AE9" s="72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19"/>
      <c r="AY9" s="74"/>
      <c r="AZ9" s="74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</row>
    <row r="10" spans="1:99" s="80" customFormat="1" ht="14.1" customHeight="1">
      <c r="A10" s="77">
        <v>0</v>
      </c>
      <c r="B10" s="75">
        <v>98</v>
      </c>
      <c r="C10" s="65"/>
      <c r="D10" s="66">
        <f>AVERAGE(U11:U12)</f>
        <v>500.31</v>
      </c>
      <c r="E10" s="66">
        <f>D10-$E$5</f>
        <v>461.565</v>
      </c>
      <c r="F10" s="66"/>
      <c r="G10" s="78">
        <f>($E10*7.1425)</f>
        <v>3296.7280125000002</v>
      </c>
      <c r="H10" s="78">
        <f>($G10/($B10*0.01))</f>
        <v>3364.0081760204084</v>
      </c>
      <c r="I10" s="78"/>
      <c r="J10" s="79">
        <f>$N$2/H10/$D$2</f>
        <v>1.9341256960748754</v>
      </c>
      <c r="K10" s="79"/>
      <c r="L10" s="67">
        <f>J10/($D$4/$D$2)</f>
        <v>3.3275021833023533</v>
      </c>
      <c r="N10" s="81">
        <f>J10-M10</f>
        <v>1.9341256960748754</v>
      </c>
      <c r="O10" s="67">
        <f>N10/($D$4/$D$2)</f>
        <v>3.3275021833023533</v>
      </c>
      <c r="P10" s="67"/>
      <c r="Q10" s="30"/>
      <c r="R10" s="30"/>
      <c r="S10" s="13"/>
      <c r="T10" s="13" t="s">
        <v>39</v>
      </c>
      <c r="U10" s="14">
        <v>442.74</v>
      </c>
      <c r="V10" s="15"/>
      <c r="W10" s="15"/>
      <c r="X10" s="69">
        <v>0.69899999999999995</v>
      </c>
      <c r="Y10" s="70">
        <v>0</v>
      </c>
      <c r="Z10" s="82">
        <v>15.635999999999999</v>
      </c>
      <c r="AA10" s="30"/>
      <c r="AB10" s="83" t="s">
        <v>40</v>
      </c>
      <c r="AC10" s="83" t="s">
        <v>41</v>
      </c>
      <c r="AD10" s="83" t="s">
        <v>42</v>
      </c>
      <c r="AE10" s="83" t="s">
        <v>43</v>
      </c>
      <c r="AF10" s="83" t="s">
        <v>44</v>
      </c>
      <c r="AG10" s="83" t="s">
        <v>45</v>
      </c>
      <c r="AH10" s="83" t="s">
        <v>46</v>
      </c>
      <c r="AI10" s="83" t="s">
        <v>47</v>
      </c>
      <c r="AJ10" s="83" t="s">
        <v>48</v>
      </c>
      <c r="AK10" s="83" t="s">
        <v>49</v>
      </c>
      <c r="AL10" s="83" t="s">
        <v>50</v>
      </c>
      <c r="AM10" s="83" t="s">
        <v>51</v>
      </c>
      <c r="AN10" s="83" t="s">
        <v>52</v>
      </c>
      <c r="AO10" s="83" t="s">
        <v>53</v>
      </c>
      <c r="AP10" s="83" t="s">
        <v>54</v>
      </c>
      <c r="AQ10" s="83" t="s">
        <v>55</v>
      </c>
      <c r="AR10" s="83" t="s">
        <v>56</v>
      </c>
      <c r="AS10" s="83" t="s">
        <v>57</v>
      </c>
      <c r="AT10" s="83" t="s">
        <v>58</v>
      </c>
      <c r="AU10" s="83" t="s">
        <v>59</v>
      </c>
      <c r="AV10" s="84" t="s">
        <v>60</v>
      </c>
      <c r="AW10" s="84" t="s">
        <v>61</v>
      </c>
      <c r="AX10" s="85" t="s">
        <v>62</v>
      </c>
      <c r="AY10" s="85" t="s">
        <v>63</v>
      </c>
      <c r="AZ10" s="85" t="s">
        <v>64</v>
      </c>
      <c r="BA10" s="86" t="s">
        <v>65</v>
      </c>
      <c r="BB10" s="86" t="s">
        <v>66</v>
      </c>
      <c r="BC10" s="86" t="s">
        <v>67</v>
      </c>
      <c r="BD10" s="86" t="s">
        <v>68</v>
      </c>
      <c r="BE10" s="86" t="s">
        <v>69</v>
      </c>
      <c r="BF10" s="86" t="s">
        <v>70</v>
      </c>
      <c r="BG10" s="86" t="s">
        <v>71</v>
      </c>
      <c r="BH10" s="86" t="s">
        <v>72</v>
      </c>
      <c r="BI10" s="86" t="s">
        <v>73</v>
      </c>
      <c r="BJ10" s="86" t="s">
        <v>74</v>
      </c>
      <c r="BK10" s="86" t="s">
        <v>75</v>
      </c>
      <c r="BL10" s="86" t="s">
        <v>76</v>
      </c>
      <c r="BM10" s="86" t="s">
        <v>77</v>
      </c>
      <c r="BN10" s="87" t="s">
        <v>78</v>
      </c>
      <c r="BO10" s="87" t="s">
        <v>79</v>
      </c>
      <c r="BP10" s="87" t="s">
        <v>80</v>
      </c>
      <c r="BQ10" s="88" t="s">
        <v>81</v>
      </c>
      <c r="BR10" s="88" t="s">
        <v>82</v>
      </c>
      <c r="BS10" s="88" t="s">
        <v>83</v>
      </c>
      <c r="BT10" s="88" t="s">
        <v>84</v>
      </c>
      <c r="BU10" s="88" t="s">
        <v>85</v>
      </c>
      <c r="BV10" s="88" t="s">
        <v>86</v>
      </c>
      <c r="BW10" s="88" t="s">
        <v>87</v>
      </c>
      <c r="BX10" s="88" t="s">
        <v>88</v>
      </c>
      <c r="BY10" s="88" t="s">
        <v>89</v>
      </c>
      <c r="BZ10" s="88" t="s">
        <v>90</v>
      </c>
      <c r="CA10" s="88" t="s">
        <v>91</v>
      </c>
      <c r="CB10" s="88" t="s">
        <v>92</v>
      </c>
      <c r="CC10" s="88" t="s">
        <v>93</v>
      </c>
      <c r="CD10" s="40"/>
      <c r="CE10" s="89" t="s">
        <v>94</v>
      </c>
      <c r="CF10" s="89" t="s">
        <v>95</v>
      </c>
      <c r="CG10" s="90" t="s">
        <v>96</v>
      </c>
      <c r="CH10" s="40"/>
      <c r="CI10" s="91" t="s">
        <v>97</v>
      </c>
      <c r="CJ10" s="91" t="s">
        <v>98</v>
      </c>
      <c r="CK10" s="91" t="s">
        <v>99</v>
      </c>
      <c r="CL10" s="91" t="s">
        <v>100</v>
      </c>
      <c r="CM10" s="91" t="s">
        <v>101</v>
      </c>
      <c r="CN10" s="91" t="s">
        <v>102</v>
      </c>
      <c r="CO10" s="91" t="s">
        <v>103</v>
      </c>
      <c r="CP10" s="92" t="s">
        <v>104</v>
      </c>
      <c r="CQ10" s="92" t="s">
        <v>105</v>
      </c>
      <c r="CR10" s="13"/>
      <c r="CS10" s="13"/>
      <c r="CT10" s="13"/>
      <c r="CU10" s="13"/>
    </row>
    <row r="11" spans="1:99" s="49" customFormat="1" ht="14.1" customHeight="1">
      <c r="A11" s="93" t="s">
        <v>106</v>
      </c>
      <c r="B11" s="49">
        <f>AVERAGE(B7:B10)</f>
        <v>98.5</v>
      </c>
      <c r="E11" s="50">
        <f>AVERAGE(E7:E10)</f>
        <v>424.01499999999999</v>
      </c>
      <c r="G11" s="50">
        <f>AVERAGE(G7:G10)</f>
        <v>3028.5271375000002</v>
      </c>
      <c r="H11" s="50">
        <f>AVERAGE(H7:H10)</f>
        <v>3075.6813308761612</v>
      </c>
      <c r="J11" s="94">
        <f>AVERAGE(J7:J10)</f>
        <v>2.1216676307033828</v>
      </c>
      <c r="K11" s="50" t="s">
        <v>39</v>
      </c>
      <c r="L11" s="50">
        <f>AVERAGE(L7:L10)</f>
        <v>3.6501524630662527</v>
      </c>
      <c r="M11" s="50"/>
      <c r="N11" s="94">
        <f>AVERAGE(N7:N10)</f>
        <v>2.1216676307033828</v>
      </c>
      <c r="O11" s="50">
        <f>AVERAGE(O7:O10)</f>
        <v>3.6501524630662527</v>
      </c>
      <c r="P11" s="95"/>
      <c r="Q11" s="95"/>
      <c r="R11" s="95"/>
      <c r="S11" s="6"/>
      <c r="T11" s="13">
        <v>0</v>
      </c>
      <c r="U11" s="14">
        <v>492.25</v>
      </c>
      <c r="V11" s="15"/>
      <c r="W11" s="15"/>
      <c r="X11" s="96">
        <f>AVERAGE(X7:X10)</f>
        <v>0.70399999999999996</v>
      </c>
      <c r="Y11" s="70" t="s">
        <v>107</v>
      </c>
      <c r="Z11" s="96">
        <f>AVERAGE(Z7:Z10)</f>
        <v>17.101499999999998</v>
      </c>
      <c r="AA11" s="30"/>
      <c r="AB11" s="72">
        <f>J11</f>
        <v>2.1216676307033828</v>
      </c>
      <c r="AC11" s="73">
        <f>AB11/($D$4/$D$2)</f>
        <v>3.6501524630662527</v>
      </c>
      <c r="AD11" s="73">
        <f>AB11/Z11</f>
        <v>0.12406324770946309</v>
      </c>
      <c r="AE11" s="73">
        <f>AC11/Z11</f>
        <v>0.21344048551684081</v>
      </c>
      <c r="AF11" s="72">
        <f>N20</f>
        <v>0.18701566607562814</v>
      </c>
      <c r="AG11" s="72">
        <f>AF11/($D$4/$D$2)</f>
        <v>0.3217448785470795</v>
      </c>
      <c r="AH11" s="72">
        <f>AF11/Z18</f>
        <v>3.1789274496195489E-3</v>
      </c>
      <c r="AI11" s="72">
        <f>AG11/Z18</f>
        <v>5.4690799313796669E-3</v>
      </c>
      <c r="AJ11" s="73">
        <f>((AB11-AF11)/AB11)*100</f>
        <v>91.185440010996061</v>
      </c>
      <c r="AK11" s="73">
        <f>((AC11-AG11)/AC11)*100</f>
        <v>91.185440010996061</v>
      </c>
      <c r="AL11" s="73">
        <f>((AD11-AH11)/AD11)*100</f>
        <v>97.43765578581008</v>
      </c>
      <c r="AM11" s="73">
        <f>((AE11-AI11)/AE11)*100</f>
        <v>97.43765578581008</v>
      </c>
      <c r="AN11" s="72">
        <f>N29</f>
        <v>-0.71228666281211361</v>
      </c>
      <c r="AO11" s="72">
        <f>AN11/($D$4/$D$2)</f>
        <v>-1.2254298831014034</v>
      </c>
      <c r="AP11" s="72">
        <f>AN11/Z25</f>
        <v>-4.3646620758858385E-3</v>
      </c>
      <c r="AQ11" s="72">
        <f>AO11/Z25</f>
        <v>-7.5090376061705899E-3</v>
      </c>
      <c r="AR11" s="73">
        <f>((AB11-AN11)/AB11)*100</f>
        <v>133.57201912799007</v>
      </c>
      <c r="AS11" s="73">
        <f>((AC11-AO11)/AC11)*100</f>
        <v>133.57201912799007</v>
      </c>
      <c r="AT11" s="73">
        <f>((AD11-AP11)/AD11)*100</f>
        <v>103.51809432403962</v>
      </c>
      <c r="AU11" s="73">
        <f>((AE11-AQ11)/AE11)*100</f>
        <v>103.51809432403962</v>
      </c>
      <c r="AV11" s="72">
        <f>J11</f>
        <v>2.1216676307033828</v>
      </c>
      <c r="AW11" s="72">
        <f>AV11/($D$4/$D$2)</f>
        <v>3.6501524630662527</v>
      </c>
      <c r="AX11" s="95">
        <f>M20</f>
        <v>1.9038198632891032</v>
      </c>
      <c r="AY11" s="95">
        <f>AX11/($D$4/$D$2)</f>
        <v>3.2753635219081616</v>
      </c>
      <c r="AZ11" s="95">
        <f>AX11/Z11</f>
        <v>0.11132472960202927</v>
      </c>
      <c r="BA11" s="73">
        <f>AY11/Z11</f>
        <v>0.19152492599527304</v>
      </c>
      <c r="BB11" s="72">
        <f>P21</f>
        <v>1.60048652995577</v>
      </c>
      <c r="BC11" s="73">
        <f>BB11/($D$4/$D$2)</f>
        <v>2.7535037839483119</v>
      </c>
      <c r="BD11" s="73">
        <f>BB11/Z18</f>
        <v>2.7205370916708368E-2</v>
      </c>
      <c r="BE11" s="73">
        <f>BC11/Z18</f>
        <v>4.6804574959430627E-2</v>
      </c>
      <c r="BF11" s="72">
        <f>K20</f>
        <v>2.1910365748010001</v>
      </c>
      <c r="BG11" s="73">
        <f>BF11/($D$4/$D$2)</f>
        <v>3.7694959542398814</v>
      </c>
      <c r="BH11" s="73">
        <f>BF11/Z18</f>
        <v>3.7243651598356617E-2</v>
      </c>
      <c r="BI11" s="73">
        <f>BG11/Z18</f>
        <v>6.4074600869625284E-2</v>
      </c>
      <c r="BJ11" s="72">
        <f>J21</f>
        <v>2.3359561488183851</v>
      </c>
      <c r="BK11" s="73">
        <f>BJ11/($D$4/$D$2)</f>
        <v>4.0188180122243837</v>
      </c>
      <c r="BL11" s="73">
        <f>BJ11/Z18</f>
        <v>3.9707021761392784E-2</v>
      </c>
      <c r="BM11" s="73">
        <f>BK11/Z18</f>
        <v>6.8312624082087381E-2</v>
      </c>
      <c r="BN11" s="95">
        <f>M29</f>
        <v>5.3106554081222361</v>
      </c>
      <c r="BO11" s="95">
        <f>BN11/($D$4/$D$2)</f>
        <v>9.1365403505859248</v>
      </c>
      <c r="BP11" s="95">
        <f>BN11/Z25</f>
        <v>3.2541977083239797E-2</v>
      </c>
      <c r="BQ11" s="73">
        <f>BO11/Z25</f>
        <v>5.5985761428642741E-2</v>
      </c>
      <c r="BR11" s="72">
        <f>P30</f>
        <v>5.1806554081222362</v>
      </c>
      <c r="BS11" s="73">
        <f>BR11/($D$4/$D$2)</f>
        <v>8.9128861771745616</v>
      </c>
      <c r="BT11" s="73">
        <f>BR11/Z25</f>
        <v>3.17453791691008E-2</v>
      </c>
      <c r="BU11" s="73">
        <f>BS11/Z25</f>
        <v>5.4615281059196788E-2</v>
      </c>
      <c r="BV11" s="72">
        <f>K29</f>
        <v>4.673519529387324</v>
      </c>
      <c r="BW11" s="73">
        <f>BV11/($D$4/$D$2)</f>
        <v>8.0404011328230016</v>
      </c>
      <c r="BX11" s="73">
        <f>BV11/Z25</f>
        <v>2.8637814683060182E-2</v>
      </c>
      <c r="BY11" s="73">
        <f>BW11/Z25</f>
        <v>4.9268975163443515E-2</v>
      </c>
      <c r="BZ11" s="72">
        <f>J30</f>
        <v>5.1352840208392276</v>
      </c>
      <c r="CA11" s="73">
        <f>BZ11/($D$4/$D$2)</f>
        <v>8.8348284839491136</v>
      </c>
      <c r="CB11" s="73">
        <f>BZ11/Z25</f>
        <v>3.1467357996245129E-2</v>
      </c>
      <c r="CC11" s="73">
        <f>CA11/Z25</f>
        <v>5.4136968785305301E-2</v>
      </c>
      <c r="CD11" s="13"/>
      <c r="CE11" s="97">
        <f>B11</f>
        <v>98.5</v>
      </c>
      <c r="CF11" s="13">
        <f>Z11</f>
        <v>17.101499999999998</v>
      </c>
      <c r="CG11" s="40">
        <f>((CE11/18)*CF11)/22.5</f>
        <v>4.159253703703703</v>
      </c>
      <c r="CH11" s="40"/>
      <c r="CI11" s="40">
        <f>X28</f>
        <v>0</v>
      </c>
      <c r="CJ11" s="40">
        <f>X29</f>
        <v>0</v>
      </c>
      <c r="CK11" s="40">
        <f>X30</f>
        <v>0</v>
      </c>
      <c r="CL11" s="40">
        <f>X31</f>
        <v>0</v>
      </c>
      <c r="CM11" s="40">
        <f>X32</f>
        <v>0</v>
      </c>
      <c r="CN11" s="40">
        <f>X33</f>
        <v>0</v>
      </c>
      <c r="CO11" s="13">
        <f>X11</f>
        <v>0.70399999999999996</v>
      </c>
      <c r="CP11" s="13">
        <f>X18</f>
        <v>0.1368</v>
      </c>
      <c r="CQ11" s="13">
        <f>X25</f>
        <v>5.2600000000000001E-2</v>
      </c>
      <c r="CR11" s="13"/>
      <c r="CS11" s="13"/>
      <c r="CT11" s="13"/>
      <c r="CU11" s="13"/>
    </row>
    <row r="12" spans="1:99" ht="14.1" customHeight="1" thickBot="1">
      <c r="B12" s="98"/>
      <c r="C12" s="65"/>
      <c r="D12" s="99"/>
      <c r="E12" s="13"/>
      <c r="F12" s="13"/>
      <c r="G12" s="13"/>
      <c r="H12" s="13"/>
      <c r="I12" s="13"/>
      <c r="J12" s="6" t="s">
        <v>108</v>
      </c>
      <c r="K12" s="13"/>
      <c r="L12" s="13"/>
      <c r="M12" s="12" t="s">
        <v>39</v>
      </c>
      <c r="N12" s="13"/>
      <c r="O12" s="13"/>
      <c r="P12" s="13"/>
      <c r="Q12" s="30"/>
      <c r="R12" s="30"/>
      <c r="U12" s="14">
        <v>508.37</v>
      </c>
      <c r="V12" s="15"/>
      <c r="W12" s="15"/>
      <c r="Y12" s="70"/>
      <c r="Z12" s="96"/>
      <c r="AA12" s="30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30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40"/>
      <c r="CG12" s="40"/>
      <c r="CH12" s="40"/>
      <c r="CI12" s="40"/>
      <c r="CJ12" s="40"/>
      <c r="CK12" s="40"/>
      <c r="CL12" s="40"/>
      <c r="CM12" s="40"/>
      <c r="CN12" s="40"/>
    </row>
    <row r="13" spans="1:99" ht="14.1" customHeight="1" thickBot="1">
      <c r="B13" s="98"/>
      <c r="C13" s="65"/>
      <c r="D13" s="99"/>
      <c r="E13" s="13"/>
      <c r="F13" s="13"/>
      <c r="G13" s="13"/>
      <c r="H13" s="13"/>
      <c r="I13" s="13"/>
      <c r="J13" s="6"/>
      <c r="K13" s="13"/>
      <c r="L13" s="13"/>
      <c r="M13" s="100" t="s">
        <v>32</v>
      </c>
      <c r="N13" s="101"/>
      <c r="O13" s="101"/>
      <c r="P13" s="101"/>
      <c r="Q13" s="30"/>
      <c r="R13" s="102" t="s">
        <v>25</v>
      </c>
      <c r="S13" s="103" t="s">
        <v>109</v>
      </c>
      <c r="T13" s="13">
        <v>30</v>
      </c>
      <c r="U13" s="14">
        <v>516.34</v>
      </c>
      <c r="V13" s="15"/>
      <c r="W13" s="15"/>
      <c r="X13" s="69">
        <v>0.14199999999999999</v>
      </c>
      <c r="Y13" s="30">
        <v>90</v>
      </c>
      <c r="Z13" s="71">
        <v>48.99</v>
      </c>
      <c r="AA13" s="40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19"/>
      <c r="AY13" s="74"/>
      <c r="AZ13" s="74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40"/>
      <c r="CG13" s="40"/>
      <c r="CH13" s="40"/>
      <c r="CI13" s="40"/>
      <c r="CJ13" s="40"/>
      <c r="CK13" s="40"/>
      <c r="CL13" s="40"/>
      <c r="CM13" s="40"/>
      <c r="CN13" s="40"/>
    </row>
    <row r="14" spans="1:99" ht="14.1" customHeight="1">
      <c r="A14" s="12">
        <v>90</v>
      </c>
      <c r="B14" s="75">
        <v>99</v>
      </c>
      <c r="C14" s="65"/>
      <c r="D14" s="104">
        <f>AVERAGE(U17:U18)</f>
        <v>515.58500000000004</v>
      </c>
      <c r="E14" s="78">
        <f>D14-$E$5</f>
        <v>476.84000000000003</v>
      </c>
      <c r="F14" s="78"/>
      <c r="G14" s="78">
        <f t="shared" ref="G14:G27" si="0">($E14*7.1425)</f>
        <v>3405.8297000000002</v>
      </c>
      <c r="H14" s="78">
        <f t="shared" ref="H14:H27" si="1">($G14/($B14*0.01))</f>
        <v>3440.2320202020205</v>
      </c>
      <c r="I14" s="33">
        <f>$C$15*A14+$C$16</f>
        <v>3582.7984021428574</v>
      </c>
      <c r="J14" s="105" t="s">
        <v>110</v>
      </c>
      <c r="K14" s="106" t="s">
        <v>111</v>
      </c>
      <c r="L14" s="13"/>
      <c r="M14" s="107">
        <f>(((S14/60)*$J$1)/$D$2)</f>
        <v>1.5030156815440288</v>
      </c>
      <c r="N14" s="101"/>
      <c r="O14" s="101"/>
      <c r="P14" s="101"/>
      <c r="Q14" s="30"/>
      <c r="R14" s="108">
        <v>90</v>
      </c>
      <c r="S14" s="109">
        <v>42</v>
      </c>
      <c r="U14" s="14">
        <v>511.43</v>
      </c>
      <c r="V14" s="15"/>
      <c r="W14" s="110"/>
      <c r="X14" s="69">
        <v>0.14399999999999999</v>
      </c>
      <c r="Y14" s="30">
        <v>100</v>
      </c>
      <c r="Z14" s="71">
        <v>85.125</v>
      </c>
      <c r="AA14" s="40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19"/>
      <c r="AY14" s="74"/>
      <c r="AZ14" s="74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40"/>
      <c r="CG14" s="40"/>
      <c r="CH14" s="40"/>
      <c r="CI14" s="40"/>
      <c r="CJ14" s="40"/>
      <c r="CK14" s="40"/>
      <c r="CL14" s="40"/>
      <c r="CM14" s="40"/>
      <c r="CN14" s="40"/>
    </row>
    <row r="15" spans="1:99" s="115" customFormat="1" ht="14.1" customHeight="1">
      <c r="A15" s="12">
        <v>100</v>
      </c>
      <c r="B15" s="75">
        <v>101</v>
      </c>
      <c r="C15" s="65">
        <f>SLOPE(G15:G18,A15:A18)</f>
        <v>-17.842169071428554</v>
      </c>
      <c r="D15" s="104">
        <f>AVERAGE(U19:U20)</f>
        <v>518.82999999999993</v>
      </c>
      <c r="E15" s="66">
        <f>D15-$E$5</f>
        <v>480.08499999999992</v>
      </c>
      <c r="F15" s="111">
        <v>180</v>
      </c>
      <c r="G15" s="112">
        <f t="shared" si="0"/>
        <v>3429.0071124999995</v>
      </c>
      <c r="H15" s="78">
        <f t="shared" si="1"/>
        <v>3395.0565470297024</v>
      </c>
      <c r="I15" s="33">
        <f>$C$15*A15+$C$16</f>
        <v>3404.376711428572</v>
      </c>
      <c r="J15" s="113">
        <f>((($N$2-(130*$D$2*(((B15+B14)*0.01)/2))*((I15-I14)/(A15-A14))))/((I15+I14)/2))/$D$2</f>
        <v>2.5263132785064784</v>
      </c>
      <c r="K15" s="114">
        <f>$N$2/H15/$D$2</f>
        <v>1.9164377867989959</v>
      </c>
      <c r="L15" s="114">
        <f>J15/($D$4/$D$2)</f>
        <v>4.3463116006347713</v>
      </c>
      <c r="M15" s="107">
        <f>(((S15/60)*$J$1)/$D$2)</f>
        <v>2.5050261359067152</v>
      </c>
      <c r="N15" s="19">
        <f>K15-M15</f>
        <v>-0.58858834910771929</v>
      </c>
      <c r="O15" s="74">
        <f>N15/($D$4/$D$2)</f>
        <v>-1.0126172361480499</v>
      </c>
      <c r="P15" s="74"/>
      <c r="Q15" s="30"/>
      <c r="R15" s="108">
        <v>100</v>
      </c>
      <c r="S15" s="109">
        <v>70</v>
      </c>
      <c r="T15" s="13">
        <v>60</v>
      </c>
      <c r="U15" s="14">
        <v>486.08</v>
      </c>
      <c r="V15" s="15"/>
      <c r="W15" s="110"/>
      <c r="X15" s="69">
        <v>0.13200000000000001</v>
      </c>
      <c r="Y15" s="30">
        <v>110</v>
      </c>
      <c r="Z15" s="71">
        <v>59.392000000000003</v>
      </c>
      <c r="AA15" s="40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19"/>
      <c r="AY15" s="74"/>
      <c r="AZ15" s="74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40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40"/>
      <c r="CH15" s="40"/>
      <c r="CI15" s="40"/>
      <c r="CJ15" s="40"/>
      <c r="CK15" s="40"/>
      <c r="CL15" s="40"/>
      <c r="CM15" s="40"/>
      <c r="CN15" s="40"/>
      <c r="CO15" s="13"/>
      <c r="CP15" s="13"/>
      <c r="CQ15" s="13"/>
      <c r="CR15" s="13"/>
      <c r="CS15" s="13"/>
      <c r="CT15" s="13"/>
      <c r="CU15" s="13"/>
    </row>
    <row r="16" spans="1:99" ht="14.1" customHeight="1">
      <c r="A16" s="12">
        <v>110</v>
      </c>
      <c r="B16" s="75">
        <v>111</v>
      </c>
      <c r="C16" s="65">
        <f>INTERCEPT(G15:G18,A15:A18)</f>
        <v>5188.5936185714272</v>
      </c>
      <c r="D16" s="104">
        <f>AVERAGE(U21:U22)</f>
        <v>491.12</v>
      </c>
      <c r="E16" s="66">
        <f>D16-$E$5</f>
        <v>452.375</v>
      </c>
      <c r="F16" s="116">
        <v>210</v>
      </c>
      <c r="G16" s="66">
        <f t="shared" si="0"/>
        <v>3231.0884375000001</v>
      </c>
      <c r="H16" s="78">
        <f t="shared" si="1"/>
        <v>2910.890484234234</v>
      </c>
      <c r="I16" s="33">
        <f>$C$15*A16+$C$16</f>
        <v>3225.9550207142865</v>
      </c>
      <c r="J16" s="113">
        <f>((($N$2-(130*$D$2*(((B16+B15)*0.01)/2))*((I16-I15)/(A16-A15))))/((I16+I15)/2))/$D$2</f>
        <v>2.7042585243898425</v>
      </c>
      <c r="K16" s="67">
        <f>$N$2/H16/$D$2</f>
        <v>2.2351973357591577</v>
      </c>
      <c r="L16" s="67">
        <f>J16/($D$4/$D$2)</f>
        <v>4.652451576638815</v>
      </c>
      <c r="M16" s="107">
        <f>(((S16/60)*$J$1)/$D$2)</f>
        <v>2.0040209087253715</v>
      </c>
      <c r="N16" s="19">
        <f>K16-M16</f>
        <v>0.23117642703378616</v>
      </c>
      <c r="O16" s="67">
        <f>N16/($D$4/$D$2)</f>
        <v>0.39771979000333862</v>
      </c>
      <c r="P16" s="67"/>
      <c r="Q16" s="30"/>
      <c r="R16" s="108">
        <v>110</v>
      </c>
      <c r="S16" s="109">
        <v>56</v>
      </c>
      <c r="U16" s="14">
        <v>454.53</v>
      </c>
      <c r="V16" s="15"/>
      <c r="W16" s="110"/>
      <c r="X16" s="69">
        <v>0.13800000000000001</v>
      </c>
      <c r="Y16" s="30">
        <v>115</v>
      </c>
      <c r="Z16" s="71">
        <v>54.546999999999997</v>
      </c>
      <c r="AA16" s="40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19"/>
      <c r="AY16" s="74"/>
      <c r="AZ16" s="74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40"/>
    </row>
    <row r="17" spans="1:67" ht="14.1" customHeight="1">
      <c r="A17" s="12">
        <v>115</v>
      </c>
      <c r="B17" s="75">
        <v>112</v>
      </c>
      <c r="C17" s="65"/>
      <c r="D17" s="104">
        <f>AVERAGE(U23:U24)</f>
        <v>462.68</v>
      </c>
      <c r="E17" s="66">
        <f>D17-$E$5</f>
        <v>423.935</v>
      </c>
      <c r="F17" s="116">
        <v>220</v>
      </c>
      <c r="G17" s="66">
        <f t="shared" si="0"/>
        <v>3027.9557374999999</v>
      </c>
      <c r="H17" s="78">
        <f t="shared" si="1"/>
        <v>2703.5319084821426</v>
      </c>
      <c r="I17" s="33">
        <f>$C$15*A17+$C$16</f>
        <v>3136.7441753571434</v>
      </c>
      <c r="J17" s="113">
        <f>((($N$2-(130*$D$2*(((B17+B16)*0.01)/2))*((I17-I16)/(A17-A16))))/((I17+I16)/2))/$D$2</f>
        <v>2.8581068448323825</v>
      </c>
      <c r="K17" s="67">
        <f>$N$2/H17/$D$2</f>
        <v>2.4066350519605937</v>
      </c>
      <c r="L17" s="67">
        <f>J17/($D$4/$D$2)</f>
        <v>4.9171347992488386</v>
      </c>
      <c r="M17" s="107">
        <f>(((S17/60)*$J$1)/$D$2)</f>
        <v>2.0040209087253715</v>
      </c>
      <c r="N17" s="19">
        <f>K17-M17</f>
        <v>0.40261414323522215</v>
      </c>
      <c r="O17" s="67">
        <f>N17/($D$4/$D$2)</f>
        <v>0.69266410314614035</v>
      </c>
      <c r="P17" s="67"/>
      <c r="Q17" s="30"/>
      <c r="R17" s="108">
        <v>115</v>
      </c>
      <c r="S17" s="117">
        <v>56</v>
      </c>
      <c r="T17" s="40">
        <v>90</v>
      </c>
      <c r="U17" s="14">
        <v>533.88</v>
      </c>
      <c r="V17" s="15"/>
      <c r="W17" s="110"/>
      <c r="X17" s="69">
        <v>0.128</v>
      </c>
      <c r="Y17" s="30">
        <v>120</v>
      </c>
      <c r="Z17" s="71">
        <v>46.094999999999999</v>
      </c>
      <c r="AA17" s="40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19"/>
      <c r="AY17" s="74"/>
      <c r="AZ17" s="74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40"/>
    </row>
    <row r="18" spans="1:67" ht="14.1" customHeight="1">
      <c r="A18" s="12">
        <v>120</v>
      </c>
      <c r="B18" s="118">
        <v>106</v>
      </c>
      <c r="C18" s="65"/>
      <c r="D18" s="104">
        <f>AVERAGE(U25:U26)</f>
        <v>476.48500000000001</v>
      </c>
      <c r="E18" s="66">
        <f>D18-$E$5</f>
        <v>437.74</v>
      </c>
      <c r="F18" s="116">
        <v>225</v>
      </c>
      <c r="G18" s="66">
        <f t="shared" si="0"/>
        <v>3126.5579499999999</v>
      </c>
      <c r="H18" s="78">
        <f t="shared" si="1"/>
        <v>2949.5829716981129</v>
      </c>
      <c r="I18" s="33">
        <f>$C$15*A18+$C$16</f>
        <v>3047.5333300000007</v>
      </c>
      <c r="J18" s="113">
        <f>((($N$2-(130*$D$2*(((B18+B17)*0.01)/2))*((I18-I17)/(A18-A17))))/((I18+I17)/2))/$D$2</f>
        <v>2.9218126142115013</v>
      </c>
      <c r="K18" s="67">
        <f>$N$2/H18/$D$2</f>
        <v>2.2058761246852523</v>
      </c>
      <c r="L18" s="67">
        <f>J18/($D$4/$D$2)</f>
        <v>5.0267352699566983</v>
      </c>
      <c r="M18" s="107">
        <f>(((S18/60)*$J$1)/$D$2)</f>
        <v>1.5030156815440288</v>
      </c>
      <c r="N18" s="19">
        <f>K18-M18</f>
        <v>0.70286044314122353</v>
      </c>
      <c r="O18" s="67">
        <f>N18/($D$4/$D$2)</f>
        <v>1.209212857186889</v>
      </c>
      <c r="P18" s="67"/>
      <c r="Q18" s="30"/>
      <c r="R18" s="108">
        <v>120</v>
      </c>
      <c r="S18" s="117">
        <v>42</v>
      </c>
      <c r="T18" s="30"/>
      <c r="U18" s="14">
        <v>497.29</v>
      </c>
      <c r="V18" s="15"/>
      <c r="W18" s="110"/>
      <c r="X18" s="96">
        <f>AVERAGE(X13:X17)</f>
        <v>0.1368</v>
      </c>
      <c r="Y18" s="30" t="s">
        <v>107</v>
      </c>
      <c r="Z18" s="96">
        <f>AVERAGE(Z13:Z17)</f>
        <v>58.829799999999999</v>
      </c>
      <c r="AA18" s="30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5"/>
      <c r="AY18" s="95"/>
      <c r="AZ18" s="95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2"/>
      <c r="BO18" s="40"/>
    </row>
    <row r="19" spans="1:67" ht="14.1" customHeight="1" thickBot="1">
      <c r="A19" s="63"/>
      <c r="B19" s="98"/>
      <c r="C19" s="65"/>
      <c r="D19" s="99"/>
      <c r="E19" s="66"/>
      <c r="F19" s="63"/>
      <c r="G19" s="66"/>
      <c r="H19" s="66"/>
      <c r="I19" s="33"/>
      <c r="J19" s="113"/>
      <c r="K19" s="67"/>
      <c r="L19" s="67"/>
      <c r="M19" s="107"/>
      <c r="O19" s="67"/>
      <c r="P19" s="67"/>
      <c r="Q19" s="30"/>
      <c r="R19" s="108"/>
      <c r="S19" s="117"/>
      <c r="T19" s="41">
        <v>100</v>
      </c>
      <c r="U19" s="14">
        <v>512.87</v>
      </c>
      <c r="V19" s="15"/>
      <c r="W19" s="110"/>
      <c r="Y19" s="30"/>
      <c r="Z19" s="96"/>
      <c r="AA19" s="30"/>
      <c r="AB19" s="96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30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40"/>
    </row>
    <row r="20" spans="1:67" ht="14.1" customHeight="1" thickBot="1">
      <c r="A20" s="119" t="s">
        <v>112</v>
      </c>
      <c r="B20" s="120">
        <f>AVERAGE(B14:B19)</f>
        <v>105.8</v>
      </c>
      <c r="C20" s="121"/>
      <c r="D20" s="122">
        <f>AVERAGE(D14:D18)</f>
        <v>492.93999999999994</v>
      </c>
      <c r="E20" s="122">
        <f>AVERAGE(E14:E18)</f>
        <v>454.19499999999999</v>
      </c>
      <c r="F20" s="122"/>
      <c r="G20" s="122">
        <f>AVERAGE(G14:G18)</f>
        <v>3244.0877875000001</v>
      </c>
      <c r="H20" s="122">
        <f>AVERAGE(H14:H18)</f>
        <v>3079.8587863292423</v>
      </c>
      <c r="I20" s="122"/>
      <c r="J20" s="122">
        <f t="shared" ref="J20:O20" si="2">AVERAGE(J14:J18)</f>
        <v>2.7526228154850516</v>
      </c>
      <c r="K20" s="123">
        <f t="shared" si="2"/>
        <v>2.1910365748010001</v>
      </c>
      <c r="L20" s="122">
        <f t="shared" si="2"/>
        <v>4.7356583116197806</v>
      </c>
      <c r="M20" s="122">
        <f t="shared" si="2"/>
        <v>1.9038198632891032</v>
      </c>
      <c r="N20" s="123">
        <f t="shared" si="2"/>
        <v>0.18701566607562814</v>
      </c>
      <c r="O20" s="122">
        <f t="shared" si="2"/>
        <v>0.32174487854707956</v>
      </c>
      <c r="P20" s="124"/>
      <c r="Q20" s="30"/>
      <c r="R20" s="108"/>
      <c r="S20" s="117"/>
      <c r="T20" s="41"/>
      <c r="U20" s="14">
        <v>524.79</v>
      </c>
      <c r="V20" s="15"/>
      <c r="W20" s="110"/>
      <c r="X20" s="69">
        <v>5.8000000000000003E-2</v>
      </c>
      <c r="Y20" s="70">
        <v>210</v>
      </c>
      <c r="Z20" s="199">
        <v>152.59</v>
      </c>
      <c r="AA20" s="40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4"/>
      <c r="AY20" s="74"/>
      <c r="AZ20" s="74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40"/>
    </row>
    <row r="21" spans="1:67" ht="14.1" customHeight="1" thickBot="1">
      <c r="A21" s="70"/>
      <c r="B21" s="118"/>
      <c r="C21" s="36"/>
      <c r="D21" s="99"/>
      <c r="E21" s="33"/>
      <c r="F21" s="125" t="s">
        <v>113</v>
      </c>
      <c r="G21" s="33"/>
      <c r="H21" s="33"/>
      <c r="I21" s="126" t="s">
        <v>114</v>
      </c>
      <c r="J21" s="127">
        <f>J20-((B18-B15)*0.25*$D$2*10)/(30*$D$2)</f>
        <v>2.3359561488183851</v>
      </c>
      <c r="K21" s="74"/>
      <c r="L21" s="128" t="s">
        <v>33</v>
      </c>
      <c r="M21" s="129">
        <f>J21-M20</f>
        <v>0.43213628552928185</v>
      </c>
      <c r="N21" s="19"/>
      <c r="O21" s="74"/>
      <c r="P21" s="130">
        <f>$M$20-(((B18-B14)*1.3)/(A18-A14))</f>
        <v>1.60048652995577</v>
      </c>
      <c r="Q21" s="30"/>
      <c r="R21" s="131"/>
      <c r="S21" s="117"/>
      <c r="T21" s="41">
        <v>110</v>
      </c>
      <c r="U21" s="14">
        <v>503.69</v>
      </c>
      <c r="V21" s="15"/>
      <c r="W21" s="110"/>
      <c r="X21" s="69">
        <v>5.6000000000000001E-2</v>
      </c>
      <c r="Y21" s="70">
        <v>220</v>
      </c>
      <c r="Z21" s="199">
        <v>169.6</v>
      </c>
      <c r="AA21" s="40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4"/>
      <c r="AY21" s="74"/>
      <c r="AZ21" s="74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40"/>
    </row>
    <row r="22" spans="1:67" ht="14.1" customHeight="1" thickBot="1">
      <c r="A22" s="63"/>
      <c r="B22" s="98"/>
      <c r="C22" s="65"/>
      <c r="D22" s="99"/>
      <c r="E22" s="66"/>
      <c r="F22" s="63"/>
      <c r="G22" s="66"/>
      <c r="H22" s="66"/>
      <c r="I22" s="33"/>
      <c r="J22" s="132"/>
      <c r="K22" s="67"/>
      <c r="L22" s="133"/>
      <c r="M22" s="134"/>
      <c r="N22" s="101"/>
      <c r="O22" s="133"/>
      <c r="P22" s="133"/>
      <c r="Q22" s="30"/>
      <c r="R22" s="102" t="s">
        <v>25</v>
      </c>
      <c r="S22" s="103" t="s">
        <v>109</v>
      </c>
      <c r="T22" s="30"/>
      <c r="U22" s="14">
        <v>478.55</v>
      </c>
      <c r="V22" s="15"/>
      <c r="W22" s="110"/>
      <c r="X22" s="69">
        <v>5.8000000000000003E-2</v>
      </c>
      <c r="Y22" s="70">
        <v>230</v>
      </c>
      <c r="Z22" s="71">
        <v>169.6</v>
      </c>
      <c r="AA22" s="40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4"/>
      <c r="AY22" s="74"/>
      <c r="AZ22" s="74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40"/>
    </row>
    <row r="23" spans="1:67" ht="14.1" customHeight="1">
      <c r="A23" s="63">
        <v>210</v>
      </c>
      <c r="B23" s="75">
        <v>95</v>
      </c>
      <c r="C23" s="65"/>
      <c r="D23" s="104">
        <f>AVERAGE(U31:U32)</f>
        <v>281.34500000000003</v>
      </c>
      <c r="E23" s="78">
        <f>D23-$E$5</f>
        <v>242.60000000000002</v>
      </c>
      <c r="F23" s="78"/>
      <c r="G23" s="78">
        <f t="shared" si="0"/>
        <v>1732.7705000000001</v>
      </c>
      <c r="H23" s="78">
        <f t="shared" si="1"/>
        <v>1823.9689473684209</v>
      </c>
      <c r="I23" s="33">
        <f>$C$24*A23+$C$25</f>
        <v>1578.6210649999998</v>
      </c>
      <c r="J23" s="105" t="s">
        <v>110</v>
      </c>
      <c r="K23" s="106" t="s">
        <v>111</v>
      </c>
      <c r="L23" s="67"/>
      <c r="M23" s="19">
        <f>(((S23/60)*$J$1)/$D$2)</f>
        <v>5.0100522718134304</v>
      </c>
      <c r="N23" s="101"/>
      <c r="O23" s="133"/>
      <c r="P23" s="133"/>
      <c r="Q23" s="30"/>
      <c r="R23" s="131">
        <v>210</v>
      </c>
      <c r="S23" s="117">
        <v>140</v>
      </c>
      <c r="T23" s="13">
        <v>115</v>
      </c>
      <c r="U23" s="14">
        <v>474.94</v>
      </c>
      <c r="V23" s="15"/>
      <c r="W23" s="110"/>
      <c r="X23" s="69">
        <v>4.1000000000000002E-2</v>
      </c>
      <c r="Y23" s="70">
        <v>235</v>
      </c>
      <c r="Z23" s="71">
        <v>159.85</v>
      </c>
      <c r="AA23" s="40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4"/>
      <c r="AY23" s="74"/>
      <c r="AZ23" s="74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40"/>
    </row>
    <row r="24" spans="1:67" ht="14.1" customHeight="1">
      <c r="A24" s="63">
        <v>220</v>
      </c>
      <c r="B24" s="75">
        <v>93</v>
      </c>
      <c r="C24" s="65">
        <f>SLOPE(G24:G27,A24:A27)</f>
        <v>-11.350860999999997</v>
      </c>
      <c r="D24" s="104">
        <f>AVERAGE(U33:U34)</f>
        <v>241.1</v>
      </c>
      <c r="E24" s="66">
        <f>D24-$E$5</f>
        <v>202.35499999999999</v>
      </c>
      <c r="F24" s="111">
        <v>180</v>
      </c>
      <c r="G24" s="112">
        <f t="shared" si="0"/>
        <v>1445.3205874999999</v>
      </c>
      <c r="H24" s="112">
        <f t="shared" si="1"/>
        <v>1554.1081586021503</v>
      </c>
      <c r="I24" s="33">
        <f>$C$24*A24+$C$25</f>
        <v>1465.112455</v>
      </c>
      <c r="J24" s="113">
        <f>((($N$2-(130*$D$2*(((B24+B23)*0.01)/2))*((I24-I23)/(A24-A23))))/((I24+I23)/2))/$D$2</f>
        <v>5.1867154712328709</v>
      </c>
      <c r="K24" s="114">
        <f>$N$2/H24/$D$2</f>
        <v>4.1865906301523239</v>
      </c>
      <c r="L24" s="114">
        <f>J24/($D$4/$D$2)</f>
        <v>8.9233120110655584</v>
      </c>
      <c r="M24" s="107">
        <f>(((S24/60)*$J$1)/$D$2)</f>
        <v>5.0100522718134304</v>
      </c>
      <c r="N24" s="19">
        <f>K24-M24</f>
        <v>-0.82346164166110647</v>
      </c>
      <c r="O24" s="74">
        <f>N24/($D$4/$D$2)</f>
        <v>-1.4166971753975373</v>
      </c>
      <c r="P24" s="74"/>
      <c r="Q24" s="30"/>
      <c r="R24" s="131">
        <v>220</v>
      </c>
      <c r="S24" s="117">
        <v>140</v>
      </c>
      <c r="U24" s="14">
        <v>450.42</v>
      </c>
      <c r="V24" s="15"/>
      <c r="W24" s="110"/>
      <c r="X24" s="69">
        <v>0.05</v>
      </c>
      <c r="Y24" s="70">
        <v>240</v>
      </c>
      <c r="Z24" s="71">
        <v>164.33</v>
      </c>
      <c r="AA24" s="40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4"/>
      <c r="AY24" s="74"/>
      <c r="AZ24" s="74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40"/>
    </row>
    <row r="25" spans="1:67" ht="14.1" customHeight="1">
      <c r="A25" s="63">
        <v>230</v>
      </c>
      <c r="B25" s="75">
        <v>95</v>
      </c>
      <c r="C25" s="65">
        <f>INTERCEPT(G24:G27,A24:A27)</f>
        <v>3962.3018749999992</v>
      </c>
      <c r="D25" s="104">
        <f>AVERAGE(U35:U36)</f>
        <v>230.87</v>
      </c>
      <c r="E25" s="66">
        <f>D25-$E$5</f>
        <v>192.125</v>
      </c>
      <c r="F25" s="111">
        <v>180</v>
      </c>
      <c r="G25" s="112">
        <f t="shared" si="0"/>
        <v>1372.2528125000001</v>
      </c>
      <c r="H25" s="112">
        <f t="shared" si="1"/>
        <v>1444.4766447368422</v>
      </c>
      <c r="I25" s="33">
        <f>$C$24*A25+$C$25</f>
        <v>1351.6038450000001</v>
      </c>
      <c r="J25" s="113">
        <f>((($N$2-(130*$D$2*(((B25+B24)*0.01)/2))*((I25-I24)/(A25-A24))))/((I25+I24)/2))/$D$2</f>
        <v>5.6047461146492052</v>
      </c>
      <c r="K25" s="114">
        <f>$N$2/H25/$D$2</f>
        <v>4.5043405019763378</v>
      </c>
      <c r="L25" s="114">
        <f>J25/($D$4/$D$2)</f>
        <v>9.6424989188647974</v>
      </c>
      <c r="M25" s="107">
        <f>(((S25/60)*$J$1)/$D$2)</f>
        <v>5.5110574989947736</v>
      </c>
      <c r="N25" s="19">
        <f>K25-M25</f>
        <v>-1.0067169970184358</v>
      </c>
      <c r="O25" s="114">
        <f>N25/($D$4/$D$2)</f>
        <v>-1.7319727525179167</v>
      </c>
      <c r="P25" s="74"/>
      <c r="Q25" s="30"/>
      <c r="R25" s="131">
        <v>230</v>
      </c>
      <c r="S25" s="117">
        <v>154</v>
      </c>
      <c r="T25" s="13">
        <v>120</v>
      </c>
      <c r="U25" s="14">
        <v>466.51</v>
      </c>
      <c r="V25" s="15"/>
      <c r="W25" s="110"/>
      <c r="X25" s="96">
        <f>AVERAGE(X20:X24)</f>
        <v>5.2600000000000001E-2</v>
      </c>
      <c r="Y25" s="57" t="s">
        <v>107</v>
      </c>
      <c r="Z25" s="96">
        <f>AVERAGE(Z20:Z24)</f>
        <v>163.19400000000002</v>
      </c>
      <c r="AA25" s="30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5"/>
      <c r="AY25" s="95"/>
      <c r="AZ25" s="95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40"/>
    </row>
    <row r="26" spans="1:67" ht="14.1" customHeight="1">
      <c r="A26" s="63">
        <v>235</v>
      </c>
      <c r="B26" s="75">
        <v>96</v>
      </c>
      <c r="C26" s="65"/>
      <c r="D26" s="104">
        <f>AVERAGE(U37:U38)</f>
        <v>225.33499999999998</v>
      </c>
      <c r="E26" s="66">
        <f>D26-$E$5</f>
        <v>186.58999999999997</v>
      </c>
      <c r="F26" s="111">
        <v>180</v>
      </c>
      <c r="G26" s="112">
        <f t="shared" si="0"/>
        <v>1332.7190749999997</v>
      </c>
      <c r="H26" s="112">
        <f t="shared" si="1"/>
        <v>1388.2490364583332</v>
      </c>
      <c r="I26" s="33">
        <f>$C$24*A26+$C$25</f>
        <v>1294.8495400000002</v>
      </c>
      <c r="J26" s="113">
        <f>((($N$2-(130*$D$2*(((B26+B25)*0.01)/2))*((I26-I25)/(A26-A25))))/((I26+I25)/2))/$D$2</f>
        <v>5.9820619498250043</v>
      </c>
      <c r="K26" s="114">
        <f>$N$2/H26/$D$2</f>
        <v>4.686777720837501</v>
      </c>
      <c r="L26" s="114">
        <f>J26/($D$4/$D$2)</f>
        <v>10.291639389874504</v>
      </c>
      <c r="M26" s="107">
        <f>(((S26/60)*$J$1)/$D$2)</f>
        <v>5.5110574989947736</v>
      </c>
      <c r="N26" s="19">
        <f>K26-M26</f>
        <v>-0.8242797781572726</v>
      </c>
      <c r="O26" s="114">
        <f>N26/($D$4/$D$2)</f>
        <v>-1.4181047111035965</v>
      </c>
      <c r="P26" s="74"/>
      <c r="Q26" s="30"/>
      <c r="R26" s="131">
        <v>235</v>
      </c>
      <c r="S26" s="117">
        <v>154</v>
      </c>
      <c r="U26" s="14">
        <v>486.46</v>
      </c>
      <c r="V26" s="15"/>
      <c r="W26" s="11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</row>
    <row r="27" spans="1:67" ht="14.1" customHeight="1">
      <c r="A27" s="63">
        <v>240</v>
      </c>
      <c r="B27" s="118">
        <v>98</v>
      </c>
      <c r="C27" s="65"/>
      <c r="D27" s="104">
        <f>AVERAGE(U39:U40)</f>
        <v>206.66500000000002</v>
      </c>
      <c r="E27" s="66">
        <f>D27-$E$5</f>
        <v>167.92000000000002</v>
      </c>
      <c r="F27" s="111">
        <v>180</v>
      </c>
      <c r="G27" s="112">
        <f t="shared" si="0"/>
        <v>1199.3686</v>
      </c>
      <c r="H27" s="112">
        <f t="shared" si="1"/>
        <v>1223.8455102040816</v>
      </c>
      <c r="I27" s="33">
        <f>$C$24*A27+$C$25</f>
        <v>1238.0952350000002</v>
      </c>
      <c r="J27" s="113">
        <f>((($N$2-(130*$D$2*(((B27+B26)*0.01)/2))*((I27-I26)/(A27-A26))))/((I27+I26)/2))/$D$2</f>
        <v>6.2676125476498328</v>
      </c>
      <c r="K27" s="114">
        <f>$N$2/H27/$D$2</f>
        <v>5.316369264583134</v>
      </c>
      <c r="L27" s="114">
        <f>J27/($D$4/$D$2)</f>
        <v>10.78290541236399</v>
      </c>
      <c r="M27" s="107">
        <f>(((S27/60)*$J$1)/$D$2)</f>
        <v>5.5110574989947736</v>
      </c>
      <c r="N27" s="19">
        <f>K27-M27</f>
        <v>-0.19468823441163963</v>
      </c>
      <c r="O27" s="114">
        <f>N27/($D$4/$D$2)</f>
        <v>-0.33494489338656303</v>
      </c>
      <c r="P27" s="74"/>
      <c r="Q27" s="30"/>
      <c r="R27" s="131">
        <v>240</v>
      </c>
      <c r="S27" s="117">
        <v>154</v>
      </c>
      <c r="T27" s="13">
        <v>150</v>
      </c>
      <c r="U27" s="14">
        <v>419.16</v>
      </c>
      <c r="V27" s="15"/>
      <c r="W27" s="11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</row>
    <row r="28" spans="1:67" ht="14.1" customHeight="1" thickBot="1">
      <c r="A28" s="63"/>
      <c r="B28" s="118"/>
      <c r="C28" s="65"/>
      <c r="D28" s="99"/>
      <c r="E28" s="66"/>
      <c r="F28" s="135"/>
      <c r="G28" s="112"/>
      <c r="H28" s="112"/>
      <c r="I28" s="33"/>
      <c r="J28" s="113"/>
      <c r="K28" s="114"/>
      <c r="L28" s="114"/>
      <c r="M28" s="107"/>
      <c r="N28" s="107"/>
      <c r="O28" s="114"/>
      <c r="P28" s="74"/>
      <c r="Q28" s="30"/>
      <c r="R28" s="108"/>
      <c r="S28" s="117"/>
      <c r="U28" s="14">
        <v>408.14</v>
      </c>
      <c r="V28" s="15"/>
      <c r="W28" s="110"/>
      <c r="X28" s="69"/>
      <c r="Y28" s="13" t="s">
        <v>115</v>
      </c>
    </row>
    <row r="29" spans="1:67" ht="14.1" customHeight="1" thickBot="1">
      <c r="A29" s="119" t="s">
        <v>112</v>
      </c>
      <c r="B29" s="122">
        <f>AVERAGE(B23:B28)</f>
        <v>95.4</v>
      </c>
      <c r="C29" s="121"/>
      <c r="D29" s="122">
        <f>AVERAGE(D23:D28)</f>
        <v>237.06300000000002</v>
      </c>
      <c r="E29" s="122">
        <f>AVERAGE(E23:E28)</f>
        <v>198.31800000000004</v>
      </c>
      <c r="F29" s="122">
        <f>AVERAGE(F24:F28)</f>
        <v>180</v>
      </c>
      <c r="G29" s="122">
        <f>AVERAGE(G23:G28)</f>
        <v>1416.4863149999999</v>
      </c>
      <c r="H29" s="122">
        <f>AVERAGE(H23:H28)</f>
        <v>1486.9296594739658</v>
      </c>
      <c r="I29" s="122"/>
      <c r="J29" s="122">
        <f t="shared" ref="J29:O29" si="3">AVERAGE(J23:J28)</f>
        <v>5.7602840208392276</v>
      </c>
      <c r="K29" s="123">
        <f t="shared" si="3"/>
        <v>4.673519529387324</v>
      </c>
      <c r="L29" s="122">
        <f t="shared" si="3"/>
        <v>9.9100889330422124</v>
      </c>
      <c r="M29" s="122">
        <f t="shared" si="3"/>
        <v>5.3106554081222361</v>
      </c>
      <c r="N29" s="123">
        <f t="shared" si="3"/>
        <v>-0.71228666281211361</v>
      </c>
      <c r="O29" s="122">
        <f t="shared" si="3"/>
        <v>-1.2254298831014032</v>
      </c>
      <c r="P29" s="122"/>
      <c r="Q29" s="136"/>
      <c r="R29" s="137"/>
      <c r="S29" s="138"/>
      <c r="T29" s="13">
        <v>180</v>
      </c>
      <c r="U29" s="14">
        <v>354.82</v>
      </c>
      <c r="V29" s="15"/>
      <c r="W29" s="110"/>
      <c r="X29" s="69"/>
      <c r="Y29" s="13" t="s">
        <v>116</v>
      </c>
    </row>
    <row r="30" spans="1:67" ht="14.1" customHeight="1">
      <c r="A30" s="70"/>
      <c r="B30" s="139"/>
      <c r="C30" s="36"/>
      <c r="D30" s="99"/>
      <c r="E30" s="33"/>
      <c r="F30" s="125" t="s">
        <v>117</v>
      </c>
      <c r="G30" s="33"/>
      <c r="H30" s="33"/>
      <c r="I30" s="140" t="s">
        <v>114</v>
      </c>
      <c r="J30" s="141">
        <f>J29-((B27-B24)*0.25*$D$2*10)/(20*$D$2)</f>
        <v>5.1352840208392276</v>
      </c>
      <c r="K30" s="74"/>
      <c r="L30" s="142" t="s">
        <v>33</v>
      </c>
      <c r="M30" s="143">
        <f>J30-M29</f>
        <v>-0.1753713872830085</v>
      </c>
      <c r="N30" s="19">
        <f>AVERAGE(J24:J25)-M29</f>
        <v>8.5075384818801503E-2</v>
      </c>
      <c r="O30" s="74"/>
      <c r="P30" s="130">
        <f>$M$29-(((B27-B23)*1.3)/(A27-A23))</f>
        <v>5.1806554081222362</v>
      </c>
      <c r="Q30" s="30"/>
      <c r="R30" s="63"/>
      <c r="S30" s="144"/>
      <c r="U30" s="14">
        <v>343.76</v>
      </c>
      <c r="V30" s="15"/>
      <c r="W30" s="110"/>
      <c r="X30" s="69"/>
      <c r="Y30" s="13" t="s">
        <v>118</v>
      </c>
    </row>
    <row r="31" spans="1:67" ht="14.1" customHeight="1">
      <c r="A31" s="145"/>
      <c r="B31" s="139"/>
      <c r="C31" s="146"/>
      <c r="D31" s="147"/>
      <c r="E31" s="148"/>
      <c r="F31" s="145"/>
      <c r="G31" s="148"/>
      <c r="H31" s="148"/>
      <c r="I31" s="148"/>
      <c r="J31" s="149"/>
      <c r="K31" s="150"/>
      <c r="L31" s="133"/>
      <c r="M31" s="134"/>
      <c r="N31" s="101"/>
      <c r="O31" s="150"/>
      <c r="P31" s="150"/>
      <c r="Q31" s="96"/>
      <c r="R31" s="151"/>
      <c r="S31" s="101" t="s">
        <v>32</v>
      </c>
      <c r="T31" s="13">
        <v>210</v>
      </c>
      <c r="U31" s="14">
        <v>284.72000000000003</v>
      </c>
      <c r="V31" s="15"/>
      <c r="W31" s="110"/>
      <c r="X31" s="69"/>
      <c r="Y31" s="13" t="s">
        <v>119</v>
      </c>
    </row>
    <row r="32" spans="1:67" ht="14.1" customHeight="1">
      <c r="A32" s="145"/>
      <c r="B32" s="148"/>
      <c r="C32" s="146"/>
      <c r="D32" s="147"/>
      <c r="E32" s="148"/>
      <c r="F32" s="148"/>
      <c r="G32" s="148"/>
      <c r="H32" s="148"/>
      <c r="I32" s="148"/>
      <c r="J32" s="152"/>
      <c r="K32" s="153"/>
      <c r="L32" s="58"/>
      <c r="M32" s="124"/>
      <c r="N32" s="101"/>
      <c r="O32" s="150"/>
      <c r="P32" s="150"/>
      <c r="Q32" s="96"/>
      <c r="R32" s="145"/>
      <c r="S32" s="58"/>
      <c r="U32" s="14">
        <v>277.97000000000003</v>
      </c>
      <c r="V32" s="15"/>
      <c r="W32" s="110"/>
      <c r="X32" s="69"/>
      <c r="Y32" s="13" t="s">
        <v>120</v>
      </c>
    </row>
    <row r="33" spans="1:99" ht="14.1" customHeight="1">
      <c r="A33" s="145"/>
      <c r="B33" s="148"/>
      <c r="C33" s="146"/>
      <c r="D33" s="147"/>
      <c r="E33" s="148"/>
      <c r="F33" s="145"/>
      <c r="G33" s="148"/>
      <c r="H33" s="148"/>
      <c r="I33" s="148"/>
      <c r="J33" s="149"/>
      <c r="K33" s="150"/>
      <c r="L33" s="150"/>
      <c r="M33" s="124"/>
      <c r="N33" s="124"/>
      <c r="O33" s="150"/>
      <c r="P33" s="150"/>
      <c r="Q33" s="96"/>
      <c r="R33" s="145"/>
      <c r="S33" s="58"/>
      <c r="T33" s="13">
        <v>220</v>
      </c>
      <c r="U33" s="14">
        <v>234.45</v>
      </c>
      <c r="V33" s="15"/>
      <c r="W33" s="110"/>
      <c r="X33" s="69"/>
      <c r="Y33" s="20" t="s">
        <v>121</v>
      </c>
    </row>
    <row r="34" spans="1:99" ht="14.1" customHeight="1">
      <c r="A34" s="145"/>
      <c r="B34" s="148"/>
      <c r="C34" s="146"/>
      <c r="D34" s="147"/>
      <c r="E34" s="148"/>
      <c r="F34" s="145"/>
      <c r="G34" s="148"/>
      <c r="H34" s="148"/>
      <c r="I34" s="148"/>
      <c r="J34" s="149"/>
      <c r="K34" s="150"/>
      <c r="L34" s="150"/>
      <c r="M34" s="124"/>
      <c r="N34" s="124"/>
      <c r="O34" s="150"/>
      <c r="P34" s="150"/>
      <c r="Q34" s="96"/>
      <c r="R34" s="145"/>
      <c r="S34" s="58"/>
      <c r="U34" s="14">
        <v>247.75</v>
      </c>
      <c r="V34" s="15"/>
      <c r="W34" s="110"/>
    </row>
    <row r="35" spans="1:99" ht="14.1" customHeight="1">
      <c r="A35" s="145"/>
      <c r="B35" s="148"/>
      <c r="C35" s="146"/>
      <c r="D35" s="147"/>
      <c r="E35" s="148"/>
      <c r="F35" s="145"/>
      <c r="G35" s="148"/>
      <c r="H35" s="148"/>
      <c r="I35" s="148"/>
      <c r="J35" s="149"/>
      <c r="K35" s="150"/>
      <c r="L35" s="150"/>
      <c r="M35" s="124"/>
      <c r="N35" s="124"/>
      <c r="O35" s="150"/>
      <c r="P35" s="150"/>
      <c r="Q35" s="96"/>
      <c r="R35" s="145"/>
      <c r="S35" s="58"/>
      <c r="T35" s="13">
        <v>230</v>
      </c>
      <c r="U35" s="14">
        <v>223.95</v>
      </c>
      <c r="V35" s="15"/>
      <c r="W35" s="110"/>
    </row>
    <row r="36" spans="1:99" ht="14.1" customHeight="1">
      <c r="A36" s="145"/>
      <c r="B36" s="139"/>
      <c r="C36" s="146"/>
      <c r="D36" s="147"/>
      <c r="E36" s="148"/>
      <c r="F36" s="145"/>
      <c r="G36" s="148"/>
      <c r="H36" s="148"/>
      <c r="I36" s="148"/>
      <c r="J36" s="149"/>
      <c r="K36" s="150"/>
      <c r="L36" s="150"/>
      <c r="M36" s="124"/>
      <c r="N36" s="124"/>
      <c r="O36" s="150"/>
      <c r="P36" s="150"/>
      <c r="Q36" s="96"/>
      <c r="R36" s="145"/>
      <c r="S36" s="58"/>
      <c r="U36" s="14">
        <v>237.79</v>
      </c>
      <c r="V36" s="15"/>
      <c r="W36" s="110"/>
      <c r="X36"/>
    </row>
    <row r="37" spans="1:99" ht="14.1" customHeight="1">
      <c r="A37" s="145"/>
      <c r="B37" s="139"/>
      <c r="C37" s="146"/>
      <c r="D37" s="147"/>
      <c r="E37" s="148"/>
      <c r="F37" s="145"/>
      <c r="G37" s="148"/>
      <c r="H37" s="148"/>
      <c r="I37" s="148"/>
      <c r="J37" s="149"/>
      <c r="K37" s="150"/>
      <c r="L37" s="150"/>
      <c r="M37" s="124"/>
      <c r="N37" s="124"/>
      <c r="O37" s="150"/>
      <c r="P37" s="150"/>
      <c r="Q37" s="96"/>
      <c r="R37" s="96"/>
      <c r="S37" s="58"/>
      <c r="T37" s="13">
        <v>235</v>
      </c>
      <c r="U37" s="14">
        <v>224.73</v>
      </c>
      <c r="V37" s="15"/>
      <c r="W37" s="15"/>
      <c r="X37" s="6"/>
    </row>
    <row r="38" spans="1:99" s="156" customFormat="1" ht="14.1" customHeight="1">
      <c r="A38" s="154"/>
      <c r="B38" s="139"/>
      <c r="C38" s="155"/>
      <c r="D38" s="139"/>
      <c r="E38" s="139"/>
      <c r="F38" s="139"/>
      <c r="G38" s="139"/>
      <c r="H38" s="139"/>
      <c r="I38" s="139"/>
      <c r="J38" s="124"/>
      <c r="K38" s="124"/>
      <c r="L38" s="124"/>
      <c r="M38" s="124"/>
      <c r="N38" s="124"/>
      <c r="O38" s="124"/>
      <c r="P38" s="124"/>
      <c r="Q38" s="155"/>
      <c r="R38" s="145"/>
      <c r="S38" s="58"/>
      <c r="T38" s="13"/>
      <c r="U38" s="14">
        <v>225.94</v>
      </c>
      <c r="V38" s="15"/>
      <c r="W38" s="15"/>
      <c r="X38" s="6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</row>
    <row r="39" spans="1:99" s="3" customFormat="1" ht="14.1" customHeight="1">
      <c r="A39" s="157"/>
      <c r="B39" s="158"/>
      <c r="C39" s="159"/>
      <c r="D39" s="160"/>
      <c r="E39" s="160"/>
      <c r="F39" s="161"/>
      <c r="G39" s="160"/>
      <c r="H39" s="148"/>
      <c r="I39" s="162"/>
      <c r="J39" s="163"/>
      <c r="K39" s="150"/>
      <c r="L39" s="155"/>
      <c r="M39" s="134"/>
      <c r="N39" s="155"/>
      <c r="O39" s="155"/>
      <c r="P39" s="155"/>
      <c r="Q39" s="58"/>
      <c r="R39" s="58"/>
      <c r="S39" s="58"/>
      <c r="T39" s="13">
        <v>240</v>
      </c>
      <c r="U39" s="14">
        <v>191.83</v>
      </c>
      <c r="V39" s="15"/>
      <c r="W39" s="15"/>
      <c r="X39" s="6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</row>
    <row r="40" spans="1:99" ht="14.1" customHeight="1">
      <c r="A40" s="164"/>
      <c r="B40" s="165"/>
      <c r="C40" s="164"/>
      <c r="D40" s="148"/>
      <c r="E40" s="164"/>
      <c r="F40" s="164"/>
      <c r="G40" s="96"/>
      <c r="H40" s="101"/>
      <c r="I40" s="58"/>
      <c r="J40" s="155"/>
      <c r="K40" s="166"/>
      <c r="L40" s="167"/>
      <c r="M40" s="168"/>
      <c r="N40" s="134"/>
      <c r="O40" s="169"/>
      <c r="P40" s="169"/>
      <c r="Q40" s="58"/>
      <c r="R40" s="58"/>
      <c r="S40" s="58"/>
      <c r="U40" s="14">
        <v>221.5</v>
      </c>
      <c r="V40" s="15"/>
      <c r="W40" s="15"/>
    </row>
    <row r="41" spans="1:99" ht="14.1" customHeight="1">
      <c r="A41" s="164"/>
      <c r="B41" s="170"/>
      <c r="C41" s="164"/>
      <c r="D41" s="171"/>
      <c r="E41" s="164"/>
      <c r="F41" s="164"/>
      <c r="G41" s="124"/>
      <c r="H41" s="58"/>
      <c r="I41" s="58"/>
      <c r="J41" s="170"/>
      <c r="K41" s="170"/>
      <c r="L41" s="96"/>
      <c r="M41" s="172"/>
      <c r="N41" s="160"/>
      <c r="O41" s="58"/>
      <c r="P41" s="58"/>
      <c r="Q41" s="58"/>
      <c r="R41" s="58"/>
      <c r="S41" s="58"/>
      <c r="U41" s="173"/>
      <c r="V41" s="174"/>
      <c r="W41" s="175"/>
    </row>
    <row r="42" spans="1:99" ht="14.1" customHeight="1">
      <c r="A42" s="3"/>
      <c r="B42" s="3"/>
      <c r="C42" s="3"/>
      <c r="D42" s="33"/>
      <c r="E42" s="3"/>
      <c r="F42" s="3"/>
      <c r="G42" s="19"/>
      <c r="H42" s="40"/>
      <c r="I42" s="40"/>
      <c r="J42" s="30"/>
      <c r="K42" s="30"/>
      <c r="L42" s="30"/>
      <c r="M42" s="30"/>
      <c r="N42" s="33"/>
      <c r="O42" s="33"/>
      <c r="P42" s="33"/>
      <c r="Q42" s="40"/>
      <c r="R42" s="40"/>
      <c r="U42" s="173"/>
      <c r="V42" s="174"/>
      <c r="W42" s="175"/>
    </row>
    <row r="43" spans="1:99" ht="14.1" customHeight="1">
      <c r="A43" s="30"/>
      <c r="B43" s="176"/>
      <c r="C43" s="3"/>
      <c r="D43" s="33"/>
      <c r="E43" s="177"/>
      <c r="F43" s="177"/>
      <c r="G43" s="33"/>
      <c r="H43" s="174"/>
      <c r="I43" s="40"/>
      <c r="J43" s="30"/>
      <c r="K43" s="30"/>
      <c r="L43" s="30"/>
      <c r="M43" s="33"/>
      <c r="N43" s="178"/>
      <c r="O43" s="33"/>
      <c r="P43" s="33"/>
      <c r="Q43" s="40"/>
      <c r="R43" s="40"/>
      <c r="U43" s="173"/>
      <c r="V43" s="174"/>
      <c r="W43" s="175"/>
    </row>
    <row r="44" spans="1:99" ht="14.1" customHeight="1">
      <c r="A44" s="3"/>
      <c r="B44" s="30"/>
      <c r="C44" s="3"/>
      <c r="D44" s="41"/>
      <c r="E44" s="42"/>
      <c r="F44" s="42"/>
      <c r="G44" s="19"/>
      <c r="H44" s="19"/>
      <c r="I44" s="30"/>
      <c r="J44" s="179"/>
      <c r="K44" s="179"/>
      <c r="L44" s="180"/>
      <c r="M44" s="39"/>
      <c r="N44" s="179"/>
      <c r="O44" s="180"/>
      <c r="P44" s="180"/>
      <c r="Q44" s="46"/>
      <c r="R44" s="46"/>
      <c r="U44" s="173"/>
      <c r="V44" s="174"/>
      <c r="W44" s="175"/>
    </row>
    <row r="45" spans="1:99" s="1" customFormat="1" ht="14.1" customHeight="1">
      <c r="A45" s="3"/>
      <c r="B45" s="181"/>
      <c r="C45" s="181"/>
      <c r="D45" s="25"/>
      <c r="E45" s="181"/>
      <c r="F45" s="181"/>
      <c r="G45" s="181"/>
      <c r="H45" s="95"/>
      <c r="I45" s="95"/>
      <c r="J45" s="182"/>
      <c r="K45" s="182"/>
      <c r="L45" s="182"/>
      <c r="M45" s="182"/>
      <c r="N45" s="182"/>
      <c r="O45" s="54"/>
      <c r="P45" s="54"/>
      <c r="Q45" s="55"/>
      <c r="R45" s="55"/>
      <c r="S45" s="13"/>
      <c r="T45" s="13"/>
      <c r="U45" s="173"/>
      <c r="V45" s="40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</row>
    <row r="46" spans="1:99" ht="14.1" customHeight="1">
      <c r="A46" s="70"/>
      <c r="B46" s="33"/>
      <c r="C46" s="36"/>
      <c r="D46" s="33"/>
      <c r="E46" s="33"/>
      <c r="F46" s="33"/>
      <c r="G46" s="33"/>
      <c r="H46" s="33"/>
      <c r="I46" s="33"/>
      <c r="J46" s="74"/>
      <c r="K46" s="74"/>
      <c r="L46" s="74"/>
      <c r="M46" s="30"/>
      <c r="N46" s="19"/>
      <c r="O46" s="74"/>
      <c r="P46" s="74"/>
      <c r="Q46" s="30"/>
      <c r="R46" s="30"/>
      <c r="U46" s="173"/>
    </row>
    <row r="47" spans="1:99" ht="14.1" customHeight="1">
      <c r="A47" s="70"/>
      <c r="B47" s="33"/>
      <c r="C47" s="36"/>
      <c r="D47" s="33"/>
      <c r="E47" s="33"/>
      <c r="F47" s="33"/>
      <c r="G47" s="33"/>
      <c r="H47" s="33"/>
      <c r="I47" s="33"/>
      <c r="J47" s="74"/>
      <c r="K47" s="74"/>
      <c r="L47" s="74"/>
      <c r="M47" s="30"/>
      <c r="N47" s="19"/>
      <c r="O47" s="74"/>
      <c r="P47" s="74"/>
      <c r="Q47" s="30"/>
      <c r="R47" s="30"/>
      <c r="T47" s="40"/>
      <c r="U47" s="173"/>
    </row>
    <row r="48" spans="1:99" s="80" customFormat="1" ht="14.1" customHeight="1">
      <c r="A48" s="183"/>
      <c r="B48" s="25"/>
      <c r="C48" s="184"/>
      <c r="D48" s="25"/>
      <c r="E48" s="25"/>
      <c r="F48" s="25"/>
      <c r="G48" s="25"/>
      <c r="H48" s="25"/>
      <c r="I48" s="25"/>
      <c r="J48" s="95"/>
      <c r="K48" s="95"/>
      <c r="L48" s="95"/>
      <c r="M48" s="95"/>
      <c r="N48" s="95"/>
      <c r="O48" s="95"/>
      <c r="P48" s="95"/>
      <c r="Q48" s="95"/>
      <c r="R48" s="95"/>
      <c r="S48" s="13"/>
      <c r="T48" s="40"/>
      <c r="U48" s="17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</row>
    <row r="49" spans="1:99" ht="14.1" customHeight="1">
      <c r="A49" s="30"/>
      <c r="B49" s="176"/>
      <c r="C49" s="185"/>
      <c r="D49" s="33"/>
      <c r="E49" s="40"/>
      <c r="F49" s="40"/>
      <c r="G49" s="40"/>
      <c r="H49" s="40"/>
      <c r="I49" s="40"/>
      <c r="J49" s="40"/>
      <c r="K49" s="40"/>
      <c r="L49" s="40"/>
      <c r="M49" s="30"/>
      <c r="N49" s="40"/>
      <c r="O49" s="40"/>
      <c r="P49" s="40"/>
      <c r="Q49" s="30"/>
      <c r="R49" s="30"/>
      <c r="T49" s="40"/>
      <c r="U49" s="173"/>
    </row>
    <row r="50" spans="1:99" ht="14.1" customHeight="1">
      <c r="A50" s="30"/>
      <c r="B50" s="176"/>
      <c r="C50" s="185"/>
      <c r="D50" s="33"/>
      <c r="E50" s="40"/>
      <c r="F50" s="40"/>
      <c r="G50" s="40"/>
      <c r="H50" s="40"/>
      <c r="I50" s="40"/>
      <c r="J50" s="40"/>
      <c r="K50" s="40"/>
      <c r="L50" s="40"/>
      <c r="M50" s="30"/>
      <c r="N50" s="40"/>
      <c r="O50" s="40"/>
      <c r="P50" s="40"/>
      <c r="Q50" s="30"/>
      <c r="R50" s="30"/>
      <c r="T50" s="40"/>
      <c r="U50" s="173"/>
    </row>
    <row r="51" spans="1:99" ht="14.1" customHeight="1">
      <c r="A51" s="30"/>
      <c r="B51" s="176"/>
      <c r="C51" s="185"/>
      <c r="D51" s="33"/>
      <c r="E51" s="40"/>
      <c r="F51" s="40"/>
      <c r="G51" s="40"/>
      <c r="H51" s="40"/>
      <c r="I51" s="40"/>
      <c r="J51" s="40"/>
      <c r="K51" s="40"/>
      <c r="L51" s="40"/>
      <c r="M51" s="19"/>
      <c r="N51" s="40"/>
      <c r="O51" s="40"/>
      <c r="P51" s="40"/>
      <c r="Q51" s="30"/>
      <c r="R51" s="30"/>
      <c r="T51" s="40"/>
      <c r="U51" s="173"/>
    </row>
    <row r="52" spans="1:99" ht="14.1" customHeight="1">
      <c r="A52" s="30"/>
      <c r="B52" s="176"/>
      <c r="C52" s="185"/>
      <c r="D52" s="33"/>
      <c r="E52" s="40"/>
      <c r="F52" s="40"/>
      <c r="G52" s="40"/>
      <c r="H52" s="40"/>
      <c r="I52" s="40"/>
      <c r="J52" s="40"/>
      <c r="K52" s="40"/>
      <c r="L52" s="40"/>
      <c r="M52" s="19"/>
      <c r="N52" s="40"/>
      <c r="O52" s="40"/>
      <c r="P52" s="40"/>
      <c r="Q52" s="30"/>
      <c r="R52" s="30"/>
      <c r="U52" s="173"/>
    </row>
    <row r="53" spans="1:99" ht="14.1" customHeight="1">
      <c r="A53" s="30"/>
      <c r="B53" s="176"/>
      <c r="C53" s="186"/>
      <c r="D53" s="33"/>
      <c r="E53" s="33"/>
      <c r="F53" s="33"/>
      <c r="G53" s="33"/>
      <c r="H53" s="33"/>
      <c r="I53" s="33"/>
      <c r="J53" s="187"/>
      <c r="K53" s="188"/>
      <c r="L53" s="40"/>
      <c r="M53" s="19"/>
      <c r="N53" s="40"/>
      <c r="O53" s="40"/>
      <c r="P53" s="40"/>
      <c r="Q53" s="30"/>
      <c r="R53" s="30"/>
      <c r="U53" s="173"/>
    </row>
    <row r="54" spans="1:99" ht="14.1" customHeight="1">
      <c r="A54" s="70"/>
      <c r="B54" s="189"/>
      <c r="C54" s="36"/>
      <c r="D54" s="33"/>
      <c r="E54" s="33"/>
      <c r="F54" s="33"/>
      <c r="G54" s="33"/>
      <c r="H54" s="33"/>
      <c r="I54" s="33"/>
      <c r="J54" s="132"/>
      <c r="K54" s="74"/>
      <c r="L54" s="74"/>
      <c r="M54" s="19"/>
      <c r="N54" s="19"/>
      <c r="O54" s="74"/>
      <c r="P54" s="74"/>
      <c r="Q54" s="30"/>
      <c r="R54" s="30"/>
      <c r="U54" s="173"/>
    </row>
    <row r="55" spans="1:99" ht="14.1" customHeight="1">
      <c r="A55" s="70"/>
      <c r="B55" s="189"/>
      <c r="C55" s="36"/>
      <c r="D55" s="33"/>
      <c r="E55" s="33"/>
      <c r="F55" s="33"/>
      <c r="G55" s="33"/>
      <c r="H55" s="33"/>
      <c r="I55" s="33"/>
      <c r="J55" s="132"/>
      <c r="K55" s="74"/>
      <c r="L55" s="74"/>
      <c r="M55" s="19"/>
      <c r="N55" s="19"/>
      <c r="O55" s="74"/>
      <c r="P55" s="74"/>
      <c r="Q55" s="30"/>
      <c r="R55" s="30"/>
      <c r="U55" s="173"/>
    </row>
    <row r="56" spans="1:99" s="30" customFormat="1" ht="14.1" customHeight="1">
      <c r="A56" s="70"/>
      <c r="B56" s="189"/>
      <c r="C56" s="36"/>
      <c r="D56" s="33"/>
      <c r="E56" s="33"/>
      <c r="F56" s="33"/>
      <c r="G56" s="33"/>
      <c r="H56" s="33"/>
      <c r="I56" s="33"/>
      <c r="J56" s="132"/>
      <c r="K56" s="74"/>
      <c r="L56" s="74"/>
      <c r="M56" s="19"/>
      <c r="N56" s="19"/>
      <c r="O56" s="74"/>
      <c r="P56" s="74"/>
      <c r="S56" s="13"/>
      <c r="T56" s="13"/>
      <c r="U56" s="17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</row>
    <row r="57" spans="1:99" ht="14.1" customHeight="1">
      <c r="A57" s="70"/>
      <c r="B57" s="189"/>
      <c r="C57" s="36"/>
      <c r="D57" s="33"/>
      <c r="E57" s="33"/>
      <c r="F57" s="33"/>
      <c r="G57" s="33"/>
      <c r="H57" s="33"/>
      <c r="I57" s="33"/>
      <c r="J57" s="132"/>
      <c r="K57" s="74"/>
      <c r="L57" s="74"/>
      <c r="M57" s="19"/>
      <c r="N57" s="19"/>
      <c r="O57" s="74"/>
      <c r="P57" s="74"/>
      <c r="Q57" s="30"/>
      <c r="R57" s="30"/>
      <c r="U57" s="173"/>
    </row>
    <row r="58" spans="1:99" ht="14.1" customHeight="1">
      <c r="A58" s="183"/>
      <c r="B58" s="25"/>
      <c r="C58" s="184"/>
      <c r="D58" s="25"/>
      <c r="E58" s="25"/>
      <c r="F58" s="25"/>
      <c r="G58" s="25"/>
      <c r="H58" s="25"/>
      <c r="I58" s="25"/>
      <c r="J58" s="95"/>
      <c r="K58" s="95"/>
      <c r="L58" s="95"/>
      <c r="M58" s="95"/>
      <c r="N58" s="95"/>
      <c r="O58" s="95"/>
      <c r="P58" s="95"/>
      <c r="Q58" s="95"/>
      <c r="R58" s="95"/>
      <c r="U58" s="173"/>
    </row>
    <row r="59" spans="1:99" s="115" customFormat="1" ht="14.1" customHeight="1">
      <c r="A59" s="40"/>
      <c r="B59" s="40"/>
      <c r="C59" s="40"/>
      <c r="D59" s="19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13"/>
      <c r="T59" s="13"/>
      <c r="U59" s="17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</row>
    <row r="60" spans="1:99" s="30" customFormat="1" ht="14.1" customHeight="1">
      <c r="A60" s="191"/>
      <c r="B60" s="40"/>
      <c r="C60" s="40"/>
      <c r="D60" s="19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13"/>
      <c r="T60" s="13"/>
      <c r="U60" s="17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</row>
    <row r="61" spans="1:99" ht="14.1" customHeight="1">
      <c r="A61" s="40"/>
      <c r="B61" s="40"/>
      <c r="C61" s="40"/>
      <c r="D61" s="19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U61" s="173"/>
    </row>
    <row r="62" spans="1:99" ht="14.1" customHeight="1">
      <c r="A62" s="40"/>
      <c r="B62" s="40"/>
      <c r="C62" s="40"/>
      <c r="D62" s="19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U62" s="173"/>
    </row>
    <row r="63" spans="1:99" ht="14.1" customHeight="1">
      <c r="A63" s="40"/>
      <c r="B63" s="40"/>
      <c r="C63" s="40"/>
      <c r="D63" s="19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U63" s="173"/>
    </row>
    <row r="64" spans="1:99" s="156" customFormat="1" ht="14.1" customHeight="1">
      <c r="A64" s="30"/>
      <c r="B64" s="189"/>
      <c r="C64" s="36"/>
      <c r="D64" s="33"/>
      <c r="E64" s="189"/>
      <c r="F64" s="189"/>
      <c r="G64" s="19"/>
      <c r="H64" s="30"/>
      <c r="I64" s="30"/>
      <c r="J64" s="30"/>
      <c r="K64" s="30"/>
      <c r="L64" s="30"/>
      <c r="M64" s="30"/>
      <c r="N64" s="19"/>
      <c r="O64" s="30"/>
      <c r="P64" s="30"/>
      <c r="Q64" s="40"/>
      <c r="R64" s="40"/>
      <c r="S64" s="13"/>
      <c r="T64" s="13"/>
      <c r="U64" s="17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</row>
    <row r="65" spans="1:21" s="13" customFormat="1" ht="14.1" customHeight="1">
      <c r="A65" s="30"/>
      <c r="B65" s="189"/>
      <c r="C65" s="36"/>
      <c r="D65" s="33"/>
      <c r="E65" s="189"/>
      <c r="F65" s="189"/>
      <c r="G65" s="19"/>
      <c r="H65" s="30"/>
      <c r="I65" s="30"/>
      <c r="J65" s="30"/>
      <c r="K65" s="30"/>
      <c r="L65" s="30"/>
      <c r="M65" s="30"/>
      <c r="N65" s="19"/>
      <c r="O65" s="30"/>
      <c r="P65" s="30"/>
      <c r="Q65" s="40"/>
      <c r="R65" s="40"/>
      <c r="U65" s="173"/>
    </row>
    <row r="66" spans="1:21" s="13" customFormat="1" ht="14.1" customHeight="1">
      <c r="A66" s="12"/>
      <c r="B66" s="192"/>
      <c r="C66" s="65"/>
      <c r="D66" s="66"/>
      <c r="E66" s="192"/>
      <c r="F66" s="192"/>
      <c r="G66" s="68"/>
      <c r="H66" s="12"/>
      <c r="I66" s="12"/>
      <c r="J66" s="12"/>
      <c r="K66" s="12"/>
      <c r="L66" s="12"/>
      <c r="M66" s="12"/>
      <c r="N66" s="68"/>
      <c r="O66" s="12"/>
      <c r="P66" s="12"/>
      <c r="U66" s="173"/>
    </row>
    <row r="67" spans="1:21" ht="14.1" customHeight="1">
      <c r="C67" s="65"/>
      <c r="U67" s="173"/>
    </row>
    <row r="68" spans="1:21" ht="14.1" customHeight="1">
      <c r="A68" s="13"/>
      <c r="B68" s="13"/>
      <c r="C68" s="13"/>
      <c r="D68" s="97"/>
      <c r="E68" s="13"/>
      <c r="F68" s="13"/>
      <c r="G68" s="13"/>
      <c r="H68" s="13"/>
      <c r="I68" s="13"/>
      <c r="J68" s="13"/>
      <c r="M68" s="13"/>
      <c r="N68" s="13"/>
      <c r="O68" s="13"/>
      <c r="P68" s="13"/>
      <c r="U68" s="173"/>
    </row>
    <row r="69" spans="1:21" ht="14.1" customHeight="1">
      <c r="A69" s="13"/>
      <c r="B69" s="13"/>
      <c r="C69" s="13"/>
      <c r="D69" s="97"/>
      <c r="E69" s="13"/>
      <c r="F69" s="13"/>
      <c r="G69" s="13"/>
      <c r="H69" s="13"/>
      <c r="I69" s="13"/>
      <c r="J69" s="13"/>
      <c r="M69" s="13"/>
      <c r="N69" s="13"/>
      <c r="O69" s="13"/>
      <c r="P69" s="13"/>
      <c r="U69" s="173"/>
    </row>
    <row r="70" spans="1:21" ht="14.1" customHeight="1">
      <c r="C70" s="65"/>
      <c r="U70" s="173"/>
    </row>
    <row r="71" spans="1:21" ht="14.1" customHeight="1">
      <c r="C71" s="65"/>
      <c r="Q71" s="13"/>
      <c r="R71" s="13"/>
    </row>
    <row r="72" spans="1:21" ht="14.1" customHeight="1">
      <c r="C72" s="65"/>
      <c r="Q72" s="13"/>
      <c r="R72" s="13"/>
    </row>
    <row r="73" spans="1:21" ht="14.1" customHeight="1">
      <c r="C73" s="65"/>
    </row>
    <row r="74" spans="1:21" ht="14.1" customHeight="1">
      <c r="C74" s="65"/>
    </row>
  </sheetData>
  <pageMargins left="0.75" right="0.5" top="1" bottom="0.5" header="0.5" footer="0.5"/>
  <pageSetup scale="70" orientation="landscape" r:id="rId1"/>
  <headerFooter alignWithMargins="0">
    <oddHeader>&amp;R&amp;D</oddHeader>
  </headerFooter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U74"/>
  <sheetViews>
    <sheetView zoomScale="87" zoomScaleNormal="87" workbookViewId="0">
      <selection activeCell="AB11" sqref="AB11:CQ11"/>
    </sheetView>
  </sheetViews>
  <sheetFormatPr defaultColWidth="13.7109375" defaultRowHeight="14.1" customHeight="1"/>
  <cols>
    <col min="1" max="1" width="6.28515625" style="12" customWidth="1"/>
    <col min="2" max="2" width="16.5703125" style="192" customWidth="1"/>
    <col min="3" max="3" width="8.28515625" style="12" customWidth="1"/>
    <col min="4" max="4" width="11.140625" style="66" customWidth="1"/>
    <col min="5" max="5" width="12.85546875" style="192" customWidth="1"/>
    <col min="6" max="6" width="9.28515625" style="192" customWidth="1"/>
    <col min="7" max="7" width="9.140625" style="68" customWidth="1"/>
    <col min="8" max="8" width="10.85546875" style="12" customWidth="1"/>
    <col min="9" max="9" width="13.140625" style="12" customWidth="1"/>
    <col min="10" max="10" width="12.28515625" style="12" customWidth="1"/>
    <col min="11" max="11" width="10.140625" style="12" customWidth="1"/>
    <col min="12" max="12" width="14.42578125" style="12" customWidth="1"/>
    <col min="13" max="13" width="8.85546875" style="12" customWidth="1"/>
    <col min="14" max="14" width="17.140625" style="68" customWidth="1"/>
    <col min="15" max="15" width="15.7109375" style="12" customWidth="1"/>
    <col min="16" max="16" width="10.85546875" style="12" customWidth="1"/>
    <col min="17" max="17" width="6.140625" style="12" customWidth="1"/>
    <col min="18" max="18" width="7.28515625" style="12" customWidth="1"/>
    <col min="19" max="19" width="12" style="13" customWidth="1"/>
    <col min="20" max="20" width="10.42578125" style="13" customWidth="1"/>
    <col min="21" max="21" width="13.7109375" style="13" customWidth="1"/>
    <col min="22" max="22" width="2.5703125" style="13" customWidth="1"/>
    <col min="23" max="29" width="13.7109375" style="13" customWidth="1"/>
    <col min="30" max="31" width="25" style="13" customWidth="1"/>
    <col min="32" max="34" width="13.7109375" style="13" customWidth="1"/>
    <col min="35" max="35" width="19.85546875" style="13" customWidth="1"/>
    <col min="36" max="36" width="19.5703125" style="13" customWidth="1"/>
    <col min="37" max="37" width="27.42578125" style="13" customWidth="1"/>
    <col min="38" max="38" width="31.42578125" style="13" customWidth="1"/>
    <col min="39" max="39" width="31.28515625" style="13" customWidth="1"/>
    <col min="40" max="45" width="27.42578125" style="13" customWidth="1"/>
    <col min="46" max="46" width="31.28515625" style="13" customWidth="1"/>
    <col min="47" max="47" width="35.42578125" style="13" customWidth="1"/>
    <col min="48" max="50" width="13.7109375" style="13" customWidth="1"/>
    <col min="51" max="52" width="17.28515625" style="13" customWidth="1"/>
    <col min="53" max="60" width="17.5703125" style="13" customWidth="1"/>
    <col min="61" max="65" width="20.42578125" style="13" customWidth="1"/>
    <col min="66" max="68" width="13.7109375" style="13" customWidth="1"/>
    <col min="69" max="69" width="18.7109375" style="13" customWidth="1"/>
    <col min="70" max="72" width="13.7109375" style="13" customWidth="1"/>
    <col min="73" max="73" width="17.28515625" style="13" customWidth="1"/>
    <col min="74" max="74" width="16.85546875" style="13" customWidth="1"/>
    <col min="75" max="75" width="13.7109375" style="13" customWidth="1"/>
    <col min="76" max="76" width="17" style="13" customWidth="1"/>
    <col min="77" max="81" width="17.85546875" style="13" customWidth="1"/>
    <col min="82" max="92" width="13.7109375" style="13" customWidth="1"/>
    <col min="93" max="93" width="26.140625" style="13" customWidth="1"/>
    <col min="94" max="94" width="25.7109375" style="13" customWidth="1"/>
    <col min="95" max="95" width="22.85546875" style="13" customWidth="1"/>
    <col min="96" max="99" width="13.7109375" style="13" customWidth="1"/>
    <col min="100" max="16384" width="13.7109375" style="12"/>
  </cols>
  <sheetData>
    <row r="1" spans="1:99" ht="14.1" customHeight="1">
      <c r="A1" s="1" t="s">
        <v>0</v>
      </c>
      <c r="B1" s="2" t="s">
        <v>168</v>
      </c>
      <c r="C1" s="3" t="s">
        <v>1</v>
      </c>
      <c r="D1" s="4" t="s">
        <v>185</v>
      </c>
      <c r="E1" s="1" t="s">
        <v>2</v>
      </c>
      <c r="F1" s="1"/>
      <c r="G1" s="5">
        <v>43</v>
      </c>
      <c r="H1" s="6"/>
      <c r="I1" s="6" t="s">
        <v>3</v>
      </c>
      <c r="J1" s="5">
        <v>178</v>
      </c>
      <c r="K1" s="7"/>
      <c r="L1" s="7"/>
      <c r="M1" s="8" t="s">
        <v>4</v>
      </c>
      <c r="N1" s="9">
        <f>((AVERAGE(W7:W8))*20)</f>
        <v>8027267</v>
      </c>
      <c r="O1" s="10">
        <f>(O3*20)</f>
        <v>7264735.5923999995</v>
      </c>
      <c r="P1" s="10"/>
      <c r="Q1" s="11" t="s">
        <v>5</v>
      </c>
      <c r="S1" s="13">
        <v>-120</v>
      </c>
      <c r="T1" s="13" t="s">
        <v>6</v>
      </c>
      <c r="U1" s="14">
        <v>38.47</v>
      </c>
      <c r="V1" s="15"/>
      <c r="W1" s="15" t="s">
        <v>7</v>
      </c>
    </row>
    <row r="2" spans="1:99" ht="14.1" customHeight="1" thickBot="1">
      <c r="A2" s="16" t="s">
        <v>8</v>
      </c>
      <c r="B2" s="17">
        <v>42684</v>
      </c>
      <c r="C2" s="3" t="s">
        <v>9</v>
      </c>
      <c r="D2" s="18">
        <v>84.4</v>
      </c>
      <c r="E2" s="3" t="s">
        <v>10</v>
      </c>
      <c r="F2" s="3"/>
      <c r="G2" s="19">
        <f>D2/(D3/100*D3/100)</f>
        <v>34.59237557811074</v>
      </c>
      <c r="H2" s="13"/>
      <c r="I2" s="20" t="s">
        <v>11</v>
      </c>
      <c r="J2" s="21"/>
      <c r="K2" s="22"/>
      <c r="L2" s="23"/>
      <c r="M2" s="24" t="s">
        <v>12</v>
      </c>
      <c r="N2" s="25">
        <f>(O1*0.068)</f>
        <v>494002.02028320002</v>
      </c>
      <c r="O2" s="13"/>
      <c r="P2" s="13"/>
      <c r="Q2" s="11"/>
      <c r="R2" s="26"/>
      <c r="T2" s="13" t="s">
        <v>6</v>
      </c>
      <c r="U2" s="14">
        <v>37.340000000000003</v>
      </c>
      <c r="V2" s="15"/>
      <c r="W2" s="27">
        <v>129268.5</v>
      </c>
    </row>
    <row r="3" spans="1:99" ht="14.1" customHeight="1" thickTop="1" thickBot="1">
      <c r="A3" s="16" t="s">
        <v>13</v>
      </c>
      <c r="B3" s="28" t="s">
        <v>167</v>
      </c>
      <c r="C3" s="3" t="s">
        <v>15</v>
      </c>
      <c r="D3" s="29">
        <v>156.19999999999999</v>
      </c>
      <c r="E3" s="3" t="s">
        <v>16</v>
      </c>
      <c r="F3" s="3"/>
      <c r="G3" s="19">
        <f>SQRT(((D2*D3)/3600))</f>
        <v>1.9136410902314525</v>
      </c>
      <c r="H3" s="13"/>
      <c r="I3" s="20"/>
      <c r="J3" s="30"/>
      <c r="K3" s="30"/>
      <c r="L3" s="30"/>
      <c r="M3" s="31" t="s">
        <v>17</v>
      </c>
      <c r="N3" s="32">
        <f>($O$1/$N$1)*100</f>
        <v>90.500734464170677</v>
      </c>
      <c r="O3" s="33">
        <f>((AVERAGE(W2:W5))*2.85714)</f>
        <v>363236.77961999999</v>
      </c>
      <c r="P3" s="33"/>
      <c r="Q3" s="34" t="s">
        <v>18</v>
      </c>
      <c r="R3" s="13"/>
      <c r="T3" s="13">
        <v>-30</v>
      </c>
      <c r="U3" s="14">
        <v>494.02</v>
      </c>
      <c r="V3" s="15"/>
      <c r="W3" s="27">
        <v>125045.7</v>
      </c>
    </row>
    <row r="4" spans="1:99" ht="14.1" customHeight="1" thickTop="1">
      <c r="B4" s="35"/>
      <c r="C4" s="3" t="s">
        <v>19</v>
      </c>
      <c r="D4" s="19">
        <v>48.186</v>
      </c>
      <c r="E4" s="37" t="s">
        <v>20</v>
      </c>
      <c r="F4" s="37"/>
      <c r="G4" s="38">
        <v>0.40699999999999997</v>
      </c>
      <c r="H4" s="13"/>
      <c r="I4" s="20"/>
      <c r="J4" s="30"/>
      <c r="K4" s="30"/>
      <c r="L4" s="30"/>
      <c r="M4" s="33"/>
      <c r="N4" s="39"/>
      <c r="O4" s="30"/>
      <c r="P4" s="30"/>
      <c r="Q4" s="30"/>
      <c r="R4" s="30"/>
      <c r="U4" s="14">
        <v>468.58</v>
      </c>
      <c r="V4" s="15"/>
      <c r="W4" s="27">
        <v>127454.5</v>
      </c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</row>
    <row r="5" spans="1:99" ht="14.1" customHeight="1" thickBot="1">
      <c r="A5" s="16"/>
      <c r="B5" s="30"/>
      <c r="C5" s="3"/>
      <c r="D5" s="41" t="s">
        <v>21</v>
      </c>
      <c r="E5" s="42">
        <f>AVERAGE(U1:U2)</f>
        <v>37.905000000000001</v>
      </c>
      <c r="F5" s="42"/>
      <c r="G5" s="19"/>
      <c r="H5" s="30"/>
      <c r="I5" s="30"/>
      <c r="J5" s="43" t="s">
        <v>22</v>
      </c>
      <c r="K5" s="43"/>
      <c r="L5" s="44" t="s">
        <v>23</v>
      </c>
      <c r="M5" s="45"/>
      <c r="N5" s="43" t="s">
        <v>22</v>
      </c>
      <c r="O5" s="44" t="s">
        <v>23</v>
      </c>
      <c r="P5" s="44" t="s">
        <v>24</v>
      </c>
      <c r="Q5" s="46"/>
      <c r="R5" s="46"/>
      <c r="T5" s="13">
        <v>-20</v>
      </c>
      <c r="U5" s="14">
        <v>494.73</v>
      </c>
      <c r="V5" s="15"/>
      <c r="W5" s="27">
        <v>126763.3</v>
      </c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</row>
    <row r="6" spans="1:99" s="1" customFormat="1" ht="14.1" customHeight="1">
      <c r="A6" s="47" t="s">
        <v>25</v>
      </c>
      <c r="B6" s="48" t="s">
        <v>26</v>
      </c>
      <c r="C6" s="48"/>
      <c r="D6" s="49" t="s">
        <v>27</v>
      </c>
      <c r="E6" s="48" t="s">
        <v>28</v>
      </c>
      <c r="F6" s="48"/>
      <c r="G6" s="48" t="s">
        <v>29</v>
      </c>
      <c r="H6" s="50" t="s">
        <v>30</v>
      </c>
      <c r="I6" s="50"/>
      <c r="J6" s="51" t="s">
        <v>31</v>
      </c>
      <c r="K6" s="52"/>
      <c r="L6" s="52" t="s">
        <v>31</v>
      </c>
      <c r="M6" s="52" t="s">
        <v>32</v>
      </c>
      <c r="N6" s="52" t="s">
        <v>33</v>
      </c>
      <c r="O6" s="53" t="s">
        <v>34</v>
      </c>
      <c r="P6" s="54"/>
      <c r="Q6" s="55"/>
      <c r="R6" s="55"/>
      <c r="S6" s="13"/>
      <c r="T6" s="13"/>
      <c r="U6" s="14">
        <v>480.97</v>
      </c>
      <c r="V6" s="15"/>
      <c r="W6" s="56" t="s">
        <v>35</v>
      </c>
      <c r="X6" s="13" t="s">
        <v>36</v>
      </c>
      <c r="Y6" s="57" t="s">
        <v>37</v>
      </c>
      <c r="Z6" s="58" t="s">
        <v>38</v>
      </c>
      <c r="AA6" s="40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60"/>
      <c r="AY6" s="60"/>
      <c r="AZ6" s="60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60"/>
      <c r="BO6" s="60"/>
      <c r="BP6" s="60"/>
      <c r="BQ6" s="59"/>
      <c r="BR6" s="59"/>
      <c r="BS6" s="59"/>
      <c r="BT6" s="59"/>
      <c r="BU6" s="59"/>
      <c r="BV6" s="59"/>
      <c r="BW6" s="59"/>
      <c r="BX6" s="59"/>
      <c r="BY6" s="59"/>
      <c r="BZ6" s="61"/>
      <c r="CA6" s="61"/>
      <c r="CB6" s="61"/>
      <c r="CC6" s="61"/>
      <c r="CD6" s="40"/>
      <c r="CE6" s="61"/>
      <c r="CF6" s="61"/>
      <c r="CG6" s="33"/>
      <c r="CH6" s="40"/>
      <c r="CI6" s="30"/>
      <c r="CJ6" s="30"/>
      <c r="CK6" s="30"/>
      <c r="CL6" s="30"/>
      <c r="CM6" s="30"/>
      <c r="CN6" s="30"/>
      <c r="CO6" s="30"/>
      <c r="CP6" s="62"/>
      <c r="CQ6" s="62"/>
      <c r="CR6" s="13"/>
      <c r="CS6" s="13"/>
      <c r="CT6" s="13"/>
      <c r="CU6" s="13"/>
    </row>
    <row r="7" spans="1:99" ht="14.1" customHeight="1">
      <c r="A7" s="63">
        <v>-30</v>
      </c>
      <c r="B7" s="64">
        <v>97</v>
      </c>
      <c r="C7" s="65"/>
      <c r="D7" s="42">
        <f>AVERAGE(U3:U4)</f>
        <v>481.29999999999995</v>
      </c>
      <c r="E7" s="66">
        <f>D7-$E$5</f>
        <v>443.39499999999998</v>
      </c>
      <c r="F7" s="66"/>
      <c r="G7" s="66">
        <f>($E7*7.1425)</f>
        <v>3166.9487875</v>
      </c>
      <c r="H7" s="66">
        <f>($G7/($B7*0.01))</f>
        <v>3264.8956572164948</v>
      </c>
      <c r="I7" s="66"/>
      <c r="J7" s="67">
        <f>$N$2/$H7/$D$2</f>
        <v>1.7927386110449899</v>
      </c>
      <c r="K7" s="67"/>
      <c r="L7" s="67">
        <f>J7/($D$4/$D$2)</f>
        <v>3.1400643085584439</v>
      </c>
      <c r="N7" s="68">
        <f>J7-M7</f>
        <v>1.7927386110449899</v>
      </c>
      <c r="O7" s="67">
        <f>N7/($D$4/$D$2)</f>
        <v>3.1400643085584439</v>
      </c>
      <c r="P7" s="67"/>
      <c r="Q7" s="30"/>
      <c r="R7" s="30"/>
      <c r="T7" s="13">
        <v>-10</v>
      </c>
      <c r="U7" s="14">
        <v>519.72</v>
      </c>
      <c r="V7" s="15"/>
      <c r="W7" s="27">
        <v>397235.7</v>
      </c>
      <c r="X7" s="69">
        <v>0.51</v>
      </c>
      <c r="Y7" s="70">
        <v>-30</v>
      </c>
      <c r="Z7" s="71">
        <v>15.738</v>
      </c>
      <c r="AA7" s="40"/>
      <c r="AB7" s="72"/>
      <c r="AC7" s="72"/>
      <c r="AD7" s="72"/>
      <c r="AE7" s="72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19"/>
      <c r="AY7" s="74"/>
      <c r="AZ7" s="74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</row>
    <row r="8" spans="1:99" ht="14.1" customHeight="1">
      <c r="A8" s="63">
        <v>-20</v>
      </c>
      <c r="B8" s="64">
        <v>96</v>
      </c>
      <c r="C8" s="65"/>
      <c r="D8" s="66">
        <f>AVERAGE(U5:U6)</f>
        <v>487.85</v>
      </c>
      <c r="E8" s="66">
        <f>D8-$E$5</f>
        <v>449.94500000000005</v>
      </c>
      <c r="F8" s="66"/>
      <c r="G8" s="66">
        <f>($E8*7.1425)</f>
        <v>3213.7321625000004</v>
      </c>
      <c r="H8" s="66">
        <f>($G8/($B8*0.01))</f>
        <v>3347.6376692708341</v>
      </c>
      <c r="I8" s="66"/>
      <c r="J8" s="67">
        <f>$N$2/H8/$D$2</f>
        <v>1.7484283199023782</v>
      </c>
      <c r="K8" s="67"/>
      <c r="L8" s="67">
        <f>J8/($D$4/$D$2)</f>
        <v>3.0624527912622077</v>
      </c>
      <c r="N8" s="68">
        <f>J8-M8</f>
        <v>1.7484283199023782</v>
      </c>
      <c r="O8" s="67">
        <f>N8/($D$4/$D$2)</f>
        <v>3.0624527912622077</v>
      </c>
      <c r="P8" s="67"/>
      <c r="Q8" s="30"/>
      <c r="R8" s="30"/>
      <c r="U8" s="14">
        <v>502.17</v>
      </c>
      <c r="V8" s="15"/>
      <c r="W8" s="27">
        <v>405491</v>
      </c>
      <c r="X8" s="69">
        <v>0.65</v>
      </c>
      <c r="Y8" s="70">
        <v>-20</v>
      </c>
      <c r="Z8" s="71">
        <v>15.638</v>
      </c>
      <c r="AA8" s="40"/>
      <c r="AB8" s="72"/>
      <c r="AC8" s="72"/>
      <c r="AD8" s="72"/>
      <c r="AE8" s="72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19"/>
      <c r="AY8" s="74"/>
      <c r="AZ8" s="74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</row>
    <row r="9" spans="1:99" ht="14.1" customHeight="1" thickBot="1">
      <c r="A9" s="63">
        <v>-10</v>
      </c>
      <c r="B9" s="75">
        <v>94</v>
      </c>
      <c r="C9" s="65"/>
      <c r="D9" s="66">
        <f>AVERAGE(U7:U8)</f>
        <v>510.94500000000005</v>
      </c>
      <c r="E9" s="66">
        <f>D9-$E$5</f>
        <v>473.04000000000008</v>
      </c>
      <c r="F9" s="66"/>
      <c r="G9" s="66">
        <f>($E9*7.1425)</f>
        <v>3378.6882000000005</v>
      </c>
      <c r="H9" s="66">
        <f>($G9/($B9*0.01))</f>
        <v>3594.3491489361704</v>
      </c>
      <c r="I9" s="66"/>
      <c r="J9" s="67">
        <f>$N$2/H9/$D$2</f>
        <v>1.6284184599755642</v>
      </c>
      <c r="K9" s="67"/>
      <c r="L9" s="67">
        <f>J9/($D$4/$D$2)</f>
        <v>2.8522499900788119</v>
      </c>
      <c r="N9" s="68">
        <f>J9-M9</f>
        <v>1.6284184599755642</v>
      </c>
      <c r="O9" s="67">
        <f>N9/($D$4/$D$2)</f>
        <v>2.8522499900788119</v>
      </c>
      <c r="P9" s="67"/>
      <c r="Q9" s="30"/>
      <c r="R9" s="30"/>
      <c r="T9" s="13">
        <v>-5</v>
      </c>
      <c r="U9" s="14">
        <v>525.92999999999995</v>
      </c>
      <c r="V9" s="15"/>
      <c r="W9" s="76"/>
      <c r="X9" s="69">
        <v>0.64</v>
      </c>
      <c r="Y9" s="70">
        <v>-10</v>
      </c>
      <c r="Z9" s="71">
        <v>15.071999999999999</v>
      </c>
      <c r="AA9" s="40"/>
      <c r="AB9" s="72"/>
      <c r="AC9" s="72"/>
      <c r="AD9" s="72"/>
      <c r="AE9" s="72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19"/>
      <c r="AY9" s="74"/>
      <c r="AZ9" s="74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</row>
    <row r="10" spans="1:99" s="80" customFormat="1" ht="14.1" customHeight="1">
      <c r="A10" s="77">
        <v>0</v>
      </c>
      <c r="B10" s="75">
        <v>94</v>
      </c>
      <c r="C10" s="65"/>
      <c r="D10" s="66">
        <f>AVERAGE(U11:U12)</f>
        <v>525.15</v>
      </c>
      <c r="E10" s="66">
        <f>D10-$E$5</f>
        <v>487.245</v>
      </c>
      <c r="F10" s="66"/>
      <c r="G10" s="78">
        <f>($E10*7.1425)</f>
        <v>3480.1474125</v>
      </c>
      <c r="H10" s="78">
        <f>($G10/($B10*0.01))</f>
        <v>3702.2844813829784</v>
      </c>
      <c r="I10" s="78"/>
      <c r="J10" s="79">
        <f>$N$2/H10/$D$2</f>
        <v>1.5809440185262875</v>
      </c>
      <c r="K10" s="79"/>
      <c r="L10" s="67">
        <f>J10/($D$4/$D$2)</f>
        <v>2.7690963176777212</v>
      </c>
      <c r="N10" s="81">
        <f>J10-M10</f>
        <v>1.5809440185262875</v>
      </c>
      <c r="O10" s="67">
        <f>N10/($D$4/$D$2)</f>
        <v>2.7690963176777212</v>
      </c>
      <c r="P10" s="67"/>
      <c r="Q10" s="30"/>
      <c r="R10" s="30"/>
      <c r="S10" s="13"/>
      <c r="T10" s="13" t="s">
        <v>39</v>
      </c>
      <c r="U10" s="14">
        <v>521.17999999999995</v>
      </c>
      <c r="V10" s="15"/>
      <c r="W10" s="15"/>
      <c r="X10" s="69">
        <v>0.74</v>
      </c>
      <c r="Y10" s="70">
        <v>0</v>
      </c>
      <c r="Z10" s="82">
        <v>16.012</v>
      </c>
      <c r="AA10" s="30"/>
      <c r="AB10" s="83" t="s">
        <v>40</v>
      </c>
      <c r="AC10" s="83" t="s">
        <v>41</v>
      </c>
      <c r="AD10" s="83" t="s">
        <v>42</v>
      </c>
      <c r="AE10" s="83" t="s">
        <v>43</v>
      </c>
      <c r="AF10" s="83" t="s">
        <v>44</v>
      </c>
      <c r="AG10" s="83" t="s">
        <v>45</v>
      </c>
      <c r="AH10" s="83" t="s">
        <v>46</v>
      </c>
      <c r="AI10" s="83" t="s">
        <v>47</v>
      </c>
      <c r="AJ10" s="83" t="s">
        <v>48</v>
      </c>
      <c r="AK10" s="83" t="s">
        <v>49</v>
      </c>
      <c r="AL10" s="83" t="s">
        <v>50</v>
      </c>
      <c r="AM10" s="83" t="s">
        <v>51</v>
      </c>
      <c r="AN10" s="83" t="s">
        <v>52</v>
      </c>
      <c r="AO10" s="83" t="s">
        <v>53</v>
      </c>
      <c r="AP10" s="83" t="s">
        <v>54</v>
      </c>
      <c r="AQ10" s="83" t="s">
        <v>55</v>
      </c>
      <c r="AR10" s="83" t="s">
        <v>56</v>
      </c>
      <c r="AS10" s="83" t="s">
        <v>57</v>
      </c>
      <c r="AT10" s="83" t="s">
        <v>58</v>
      </c>
      <c r="AU10" s="83" t="s">
        <v>59</v>
      </c>
      <c r="AV10" s="84" t="s">
        <v>60</v>
      </c>
      <c r="AW10" s="84" t="s">
        <v>61</v>
      </c>
      <c r="AX10" s="85" t="s">
        <v>62</v>
      </c>
      <c r="AY10" s="85" t="s">
        <v>63</v>
      </c>
      <c r="AZ10" s="85" t="s">
        <v>64</v>
      </c>
      <c r="BA10" s="86" t="s">
        <v>65</v>
      </c>
      <c r="BB10" s="86" t="s">
        <v>66</v>
      </c>
      <c r="BC10" s="86" t="s">
        <v>67</v>
      </c>
      <c r="BD10" s="86" t="s">
        <v>68</v>
      </c>
      <c r="BE10" s="86" t="s">
        <v>69</v>
      </c>
      <c r="BF10" s="86" t="s">
        <v>70</v>
      </c>
      <c r="BG10" s="86" t="s">
        <v>71</v>
      </c>
      <c r="BH10" s="86" t="s">
        <v>72</v>
      </c>
      <c r="BI10" s="86" t="s">
        <v>73</v>
      </c>
      <c r="BJ10" s="86" t="s">
        <v>74</v>
      </c>
      <c r="BK10" s="86" t="s">
        <v>75</v>
      </c>
      <c r="BL10" s="86" t="s">
        <v>76</v>
      </c>
      <c r="BM10" s="86" t="s">
        <v>77</v>
      </c>
      <c r="BN10" s="87" t="s">
        <v>78</v>
      </c>
      <c r="BO10" s="87" t="s">
        <v>79</v>
      </c>
      <c r="BP10" s="87" t="s">
        <v>80</v>
      </c>
      <c r="BQ10" s="88" t="s">
        <v>81</v>
      </c>
      <c r="BR10" s="88" t="s">
        <v>82</v>
      </c>
      <c r="BS10" s="88" t="s">
        <v>83</v>
      </c>
      <c r="BT10" s="88" t="s">
        <v>84</v>
      </c>
      <c r="BU10" s="88" t="s">
        <v>85</v>
      </c>
      <c r="BV10" s="88" t="s">
        <v>86</v>
      </c>
      <c r="BW10" s="88" t="s">
        <v>87</v>
      </c>
      <c r="BX10" s="88" t="s">
        <v>88</v>
      </c>
      <c r="BY10" s="88" t="s">
        <v>89</v>
      </c>
      <c r="BZ10" s="88" t="s">
        <v>90</v>
      </c>
      <c r="CA10" s="88" t="s">
        <v>91</v>
      </c>
      <c r="CB10" s="88" t="s">
        <v>92</v>
      </c>
      <c r="CC10" s="88" t="s">
        <v>93</v>
      </c>
      <c r="CD10" s="40"/>
      <c r="CE10" s="89" t="s">
        <v>94</v>
      </c>
      <c r="CF10" s="89" t="s">
        <v>95</v>
      </c>
      <c r="CG10" s="90" t="s">
        <v>96</v>
      </c>
      <c r="CH10" s="40"/>
      <c r="CI10" s="91" t="s">
        <v>97</v>
      </c>
      <c r="CJ10" s="91" t="s">
        <v>98</v>
      </c>
      <c r="CK10" s="91" t="s">
        <v>99</v>
      </c>
      <c r="CL10" s="91" t="s">
        <v>100</v>
      </c>
      <c r="CM10" s="91" t="s">
        <v>101</v>
      </c>
      <c r="CN10" s="91" t="s">
        <v>102</v>
      </c>
      <c r="CO10" s="91" t="s">
        <v>103</v>
      </c>
      <c r="CP10" s="92" t="s">
        <v>104</v>
      </c>
      <c r="CQ10" s="92" t="s">
        <v>105</v>
      </c>
      <c r="CR10" s="13"/>
      <c r="CS10" s="13"/>
      <c r="CT10" s="13"/>
      <c r="CU10" s="13"/>
    </row>
    <row r="11" spans="1:99" s="49" customFormat="1" ht="14.1" customHeight="1">
      <c r="A11" s="93" t="s">
        <v>106</v>
      </c>
      <c r="B11" s="49">
        <f>AVERAGE(B7:B10)</f>
        <v>95.25</v>
      </c>
      <c r="E11" s="50">
        <f>AVERAGE(E7:E10)</f>
        <v>463.40625</v>
      </c>
      <c r="G11" s="50">
        <f>AVERAGE(G7:G10)</f>
        <v>3309.8791406250002</v>
      </c>
      <c r="H11" s="50">
        <f>AVERAGE(H7:H10)</f>
        <v>3477.2917392016193</v>
      </c>
      <c r="J11" s="94">
        <f>AVERAGE(J7:J10)</f>
        <v>1.6876323523623051</v>
      </c>
      <c r="K11" s="50" t="s">
        <v>39</v>
      </c>
      <c r="L11" s="50">
        <f>AVERAGE(L7:L10)</f>
        <v>2.9559658518942964</v>
      </c>
      <c r="M11" s="50"/>
      <c r="N11" s="94">
        <f>AVERAGE(N7:N10)</f>
        <v>1.6876323523623051</v>
      </c>
      <c r="O11" s="50">
        <f>AVERAGE(O7:O10)</f>
        <v>2.9559658518942964</v>
      </c>
      <c r="P11" s="95"/>
      <c r="Q11" s="95"/>
      <c r="R11" s="95"/>
      <c r="S11" s="6"/>
      <c r="T11" s="13">
        <v>0</v>
      </c>
      <c r="U11" s="14">
        <v>539.41</v>
      </c>
      <c r="V11" s="15"/>
      <c r="W11" s="15"/>
      <c r="X11" s="96">
        <v>0.63500000000000001</v>
      </c>
      <c r="Y11" s="70" t="s">
        <v>107</v>
      </c>
      <c r="Z11" s="96">
        <f>AVERAGE(Z7:Z10)</f>
        <v>15.614999999999998</v>
      </c>
      <c r="AA11" s="30"/>
      <c r="AB11" s="72">
        <f>J11</f>
        <v>1.6876323523623051</v>
      </c>
      <c r="AC11" s="73">
        <f>AB11/($D$4/$D$2)</f>
        <v>2.9559658518942964</v>
      </c>
      <c r="AD11" s="73">
        <f>AB11/Z11</f>
        <v>0.10807764024094174</v>
      </c>
      <c r="AE11" s="73">
        <f>AC11/Z11</f>
        <v>0.18930296842102445</v>
      </c>
      <c r="AF11" s="72">
        <f>N20</f>
        <v>1.2413074723555184E-2</v>
      </c>
      <c r="AG11" s="72">
        <f>AF11/($D$4/$D$2)</f>
        <v>2.1742072524551896E-2</v>
      </c>
      <c r="AH11" s="72">
        <f>AF11/Z18</f>
        <v>2.750186045444415E-4</v>
      </c>
      <c r="AI11" s="72">
        <f>AG11/Z18</f>
        <v>4.8170776207925257E-4</v>
      </c>
      <c r="AJ11" s="73">
        <f>((AB11-AF11)/AB11)*100</f>
        <v>99.264468075278387</v>
      </c>
      <c r="AK11" s="73">
        <f>((AC11-AG11)/AC11)*100</f>
        <v>99.264468075278373</v>
      </c>
      <c r="AL11" s="73">
        <f>((AD11-AH11)/AD11)*100</f>
        <v>99.745536075795755</v>
      </c>
      <c r="AM11" s="73">
        <f>((AE11-AI11)/AE11)*100</f>
        <v>99.745536075795755</v>
      </c>
      <c r="AN11" s="72">
        <f>N29</f>
        <v>0.10051135338994133</v>
      </c>
      <c r="AO11" s="72">
        <f>AN11/($D$4/$D$2)</f>
        <v>0.17605026825449402</v>
      </c>
      <c r="AP11" s="72">
        <f>AN11/Z25</f>
        <v>5.3376039992959062E-4</v>
      </c>
      <c r="AQ11" s="72">
        <f>AO11/Z25</f>
        <v>9.3490594268163889E-4</v>
      </c>
      <c r="AR11" s="73">
        <f>((AB11-AN11)/AB11)*100</f>
        <v>94.044238767451446</v>
      </c>
      <c r="AS11" s="73">
        <f>((AC11-AO11)/AC11)*100</f>
        <v>94.044238767451432</v>
      </c>
      <c r="AT11" s="73">
        <f>((AD11-AP11)/AD11)*100</f>
        <v>99.506132444472655</v>
      </c>
      <c r="AU11" s="73">
        <f>((AE11-AQ11)/AE11)*100</f>
        <v>99.506132444472641</v>
      </c>
      <c r="AV11" s="72">
        <f>J11</f>
        <v>1.6876323523623051</v>
      </c>
      <c r="AW11" s="72">
        <f>AV11/($D$4/$D$2)</f>
        <v>2.9559658518942964</v>
      </c>
      <c r="AX11" s="95">
        <f>M20</f>
        <v>1.3778830963665087</v>
      </c>
      <c r="AY11" s="95">
        <f>AX11/($D$4/$D$2)</f>
        <v>2.4134257529849616</v>
      </c>
      <c r="AZ11" s="95">
        <f>AX11/Z11</f>
        <v>8.8240992402594226E-2</v>
      </c>
      <c r="BA11" s="73">
        <f>AY11/Z11</f>
        <v>0.15455816541690437</v>
      </c>
      <c r="BB11" s="72">
        <f>P21</f>
        <v>1.7245497630331754</v>
      </c>
      <c r="BC11" s="73">
        <f>BB11/($D$4/$D$2)</f>
        <v>3.0206283982899604</v>
      </c>
      <c r="BD11" s="73">
        <f>BB11/Z18</f>
        <v>3.8208363347465087E-2</v>
      </c>
      <c r="BE11" s="73">
        <f>BC11/Z18</f>
        <v>6.6923709511601995E-2</v>
      </c>
      <c r="BF11" s="72">
        <f>K20</f>
        <v>1.6117416687203954</v>
      </c>
      <c r="BG11" s="73">
        <f>BF11/($D$4/$D$2)</f>
        <v>2.823039821524953</v>
      </c>
      <c r="BH11" s="73">
        <f>BF11/Z18</f>
        <v>3.5709037002450303E-2</v>
      </c>
      <c r="BI11" s="73">
        <f>BG11/Z18</f>
        <v>6.2546024218793961E-2</v>
      </c>
      <c r="BJ11" s="72">
        <f>J21</f>
        <v>1.7366072631322387</v>
      </c>
      <c r="BK11" s="73">
        <f>BJ11/($D$4/$D$2)</f>
        <v>3.0417476654704885</v>
      </c>
      <c r="BL11" s="73">
        <f>BJ11/Z18</f>
        <v>3.8475503997577043E-2</v>
      </c>
      <c r="BM11" s="73">
        <f>BK11/Z18</f>
        <v>6.7391618673380282E-2</v>
      </c>
      <c r="BN11" s="95">
        <f>M29</f>
        <v>4.0492890995260664</v>
      </c>
      <c r="BO11" s="95">
        <f>BN11/($D$4/$D$2)</f>
        <v>7.0925164985680498</v>
      </c>
      <c r="BP11" s="95">
        <f>BN11/Z25</f>
        <v>2.1503542597903793E-2</v>
      </c>
      <c r="BQ11" s="73">
        <f>BO11/Z25</f>
        <v>3.7664446006372809E-2</v>
      </c>
      <c r="BR11" s="72">
        <f>P30</f>
        <v>5.1326224328593995</v>
      </c>
      <c r="BS11" s="73">
        <f>BR11/($D$4/$D$2)</f>
        <v>8.9900247651461704</v>
      </c>
      <c r="BT11" s="73">
        <f>BR11/Z25</f>
        <v>2.7256528840300998E-2</v>
      </c>
      <c r="BU11" s="73">
        <f>BS11/Z25</f>
        <v>4.7741066577873338E-2</v>
      </c>
      <c r="BV11" s="72">
        <f>K29</f>
        <v>3.6770318905147437</v>
      </c>
      <c r="BW11" s="73">
        <f>BV11/($D$4/$D$2)</f>
        <v>6.4404908388213258</v>
      </c>
      <c r="BX11" s="73">
        <f>BV11/Z25</f>
        <v>1.9526689734449647E-2</v>
      </c>
      <c r="BY11" s="73">
        <f>BW11/Z25</f>
        <v>3.4201897098484008E-2</v>
      </c>
      <c r="BZ11" s="72">
        <f>J30</f>
        <v>7.8307590233940108</v>
      </c>
      <c r="CA11" s="73">
        <f>BZ11/($D$4/$D$2)</f>
        <v>13.715935366588939</v>
      </c>
      <c r="CB11" s="73">
        <f>BZ11/Z25</f>
        <v>4.1584845165335581E-2</v>
      </c>
      <c r="CC11" s="73">
        <f>CA11/Z25</f>
        <v>7.2837773045165061E-2</v>
      </c>
      <c r="CD11" s="13"/>
      <c r="CE11" s="97">
        <f>B11</f>
        <v>95.25</v>
      </c>
      <c r="CF11" s="13">
        <f>Z11</f>
        <v>15.614999999999998</v>
      </c>
      <c r="CG11" s="40">
        <f>((CE11/18)*CF11)/22.5</f>
        <v>3.6724166666666664</v>
      </c>
      <c r="CH11" s="40"/>
      <c r="CI11" s="40">
        <f>X28</f>
        <v>0</v>
      </c>
      <c r="CJ11" s="40">
        <f>X29</f>
        <v>0</v>
      </c>
      <c r="CK11" s="40">
        <f>X30</f>
        <v>0</v>
      </c>
      <c r="CL11" s="40">
        <f>X31</f>
        <v>0</v>
      </c>
      <c r="CM11" s="40">
        <f>X32</f>
        <v>0</v>
      </c>
      <c r="CN11" s="40">
        <f>X33</f>
        <v>0</v>
      </c>
      <c r="CO11" s="13">
        <f>X11</f>
        <v>0.63500000000000001</v>
      </c>
      <c r="CP11" s="13">
        <f>X18</f>
        <v>0.10400000000000001</v>
      </c>
      <c r="CQ11" s="13">
        <f>X25</f>
        <v>2.4E-2</v>
      </c>
      <c r="CR11" s="13"/>
      <c r="CS11" s="13"/>
      <c r="CT11" s="13"/>
      <c r="CU11" s="13"/>
    </row>
    <row r="12" spans="1:99" ht="14.1" customHeight="1" thickBot="1">
      <c r="B12" s="98"/>
      <c r="C12" s="65"/>
      <c r="D12" s="99"/>
      <c r="E12" s="13"/>
      <c r="F12" s="13"/>
      <c r="G12" s="13"/>
      <c r="H12" s="13"/>
      <c r="I12" s="13"/>
      <c r="J12" s="6" t="s">
        <v>108</v>
      </c>
      <c r="K12" s="13"/>
      <c r="L12" s="13"/>
      <c r="M12" s="12" t="s">
        <v>39</v>
      </c>
      <c r="N12" s="13"/>
      <c r="O12" s="13"/>
      <c r="P12" s="13"/>
      <c r="Q12" s="30"/>
      <c r="R12" s="30"/>
      <c r="U12" s="14">
        <v>510.89</v>
      </c>
      <c r="V12" s="15"/>
      <c r="W12" s="15"/>
      <c r="Y12" s="70"/>
      <c r="Z12" s="96"/>
      <c r="AA12" s="30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30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40"/>
      <c r="CG12" s="40"/>
      <c r="CH12" s="40"/>
      <c r="CI12" s="40"/>
      <c r="CJ12" s="40"/>
      <c r="CK12" s="40"/>
      <c r="CL12" s="40"/>
      <c r="CM12" s="40"/>
      <c r="CN12" s="40"/>
    </row>
    <row r="13" spans="1:99" ht="14.1" customHeight="1" thickBot="1">
      <c r="B13" s="98"/>
      <c r="C13" s="65"/>
      <c r="D13" s="99"/>
      <c r="E13" s="13"/>
      <c r="F13" s="13"/>
      <c r="G13" s="13"/>
      <c r="H13" s="13"/>
      <c r="I13" s="13"/>
      <c r="J13" s="6"/>
      <c r="K13" s="13"/>
      <c r="L13" s="13"/>
      <c r="M13" s="100" t="s">
        <v>32</v>
      </c>
      <c r="N13" s="101"/>
      <c r="O13" s="101"/>
      <c r="P13" s="101"/>
      <c r="Q13" s="30"/>
      <c r="R13" s="102" t="s">
        <v>25</v>
      </c>
      <c r="S13" s="103" t="s">
        <v>109</v>
      </c>
      <c r="T13" s="13">
        <v>30</v>
      </c>
      <c r="U13" s="14">
        <v>528.07000000000005</v>
      </c>
      <c r="V13" s="15"/>
      <c r="W13" s="15"/>
      <c r="X13" s="69">
        <v>0.13</v>
      </c>
      <c r="Y13" s="30">
        <v>90</v>
      </c>
      <c r="Z13" s="71">
        <v>38.935000000000002</v>
      </c>
      <c r="AA13" s="40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19"/>
      <c r="AY13" s="74"/>
      <c r="AZ13" s="74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40"/>
      <c r="CG13" s="40"/>
      <c r="CH13" s="40"/>
      <c r="CI13" s="40"/>
      <c r="CJ13" s="40"/>
      <c r="CK13" s="40"/>
      <c r="CL13" s="40"/>
      <c r="CM13" s="40"/>
      <c r="CN13" s="40"/>
    </row>
    <row r="14" spans="1:99" ht="14.1" customHeight="1">
      <c r="A14" s="12">
        <v>90</v>
      </c>
      <c r="B14" s="75">
        <v>101</v>
      </c>
      <c r="C14" s="65"/>
      <c r="D14" s="104">
        <f>AVERAGE(U17:U18)</f>
        <v>500.22</v>
      </c>
      <c r="E14" s="78">
        <f>D14-$E$5</f>
        <v>462.31500000000005</v>
      </c>
      <c r="F14" s="78"/>
      <c r="G14" s="78">
        <f t="shared" ref="G14:G27" si="0">($E14*7.1425)</f>
        <v>3302.0848875000006</v>
      </c>
      <c r="H14" s="78">
        <f t="shared" ref="H14:H27" si="1">($G14/($B14*0.01))</f>
        <v>3269.3909777227727</v>
      </c>
      <c r="I14" s="33">
        <f>$C$15*A14+$C$16</f>
        <v>3218.6125307142865</v>
      </c>
      <c r="J14" s="105" t="s">
        <v>110</v>
      </c>
      <c r="K14" s="106" t="s">
        <v>111</v>
      </c>
      <c r="L14" s="13"/>
      <c r="M14" s="107">
        <f>(((S14/60)*$J$1)/$D$2)</f>
        <v>0.49210110584518163</v>
      </c>
      <c r="N14" s="101"/>
      <c r="O14" s="101"/>
      <c r="P14" s="101"/>
      <c r="Q14" s="30"/>
      <c r="R14" s="108">
        <v>90</v>
      </c>
      <c r="S14" s="109">
        <v>14</v>
      </c>
      <c r="U14" s="14">
        <v>491.06</v>
      </c>
      <c r="V14" s="15"/>
      <c r="W14" s="110"/>
      <c r="X14" s="69">
        <v>0.12</v>
      </c>
      <c r="Y14" s="30">
        <v>100</v>
      </c>
      <c r="Z14" s="71">
        <v>39.151000000000003</v>
      </c>
      <c r="AA14" s="40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19"/>
      <c r="AY14" s="74"/>
      <c r="AZ14" s="74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40"/>
      <c r="CG14" s="40"/>
      <c r="CH14" s="40"/>
      <c r="CI14" s="40"/>
      <c r="CJ14" s="40"/>
      <c r="CK14" s="40"/>
      <c r="CL14" s="40"/>
      <c r="CM14" s="40"/>
      <c r="CN14" s="40"/>
    </row>
    <row r="15" spans="1:99" s="115" customFormat="1" ht="14.1" customHeight="1">
      <c r="A15" s="12">
        <v>100</v>
      </c>
      <c r="B15" s="75">
        <v>95</v>
      </c>
      <c r="C15" s="65">
        <f>SLOPE(G15:G18,A15:A18)</f>
        <v>5.4087091428571359</v>
      </c>
      <c r="D15" s="104">
        <f>AVERAGE(U19:U20)</f>
        <v>505.88499999999999</v>
      </c>
      <c r="E15" s="66">
        <f>D15-$E$5</f>
        <v>467.98</v>
      </c>
      <c r="F15" s="111">
        <v>180</v>
      </c>
      <c r="G15" s="112">
        <f t="shared" si="0"/>
        <v>3342.5471500000003</v>
      </c>
      <c r="H15" s="78">
        <f t="shared" si="1"/>
        <v>3518.4706842105265</v>
      </c>
      <c r="I15" s="33">
        <f>$C$15*A15+$C$16</f>
        <v>3272.6996221428581</v>
      </c>
      <c r="J15" s="113">
        <f>((($N$2-(130*$D$2*(((B15+B14)*0.01)/2))*((I15-I14)/(A15-A14))))/((I15+I14)/2))/$D$2</f>
        <v>1.5910604325666799</v>
      </c>
      <c r="K15" s="114">
        <f>$N$2/H15/$D$2</f>
        <v>1.6635365279555929</v>
      </c>
      <c r="L15" s="114">
        <f>J15/($D$4/$D$2)</f>
        <v>2.7868156831575104</v>
      </c>
      <c r="M15" s="107">
        <f>(((S15/60)*$J$1)/$D$2)</f>
        <v>0.49210110584518163</v>
      </c>
      <c r="N15" s="19">
        <f>K15-M15</f>
        <v>1.1714354221104113</v>
      </c>
      <c r="O15" s="74">
        <f>N15/($D$4/$D$2)</f>
        <v>2.0518231358925565</v>
      </c>
      <c r="P15" s="74"/>
      <c r="Q15" s="30"/>
      <c r="R15" s="108">
        <v>100</v>
      </c>
      <c r="S15" s="109">
        <v>14</v>
      </c>
      <c r="T15" s="13">
        <v>60</v>
      </c>
      <c r="U15" s="14">
        <v>540.79999999999995</v>
      </c>
      <c r="V15" s="15"/>
      <c r="W15" s="110"/>
      <c r="X15" s="69">
        <v>0.1</v>
      </c>
      <c r="Y15" s="30">
        <v>110</v>
      </c>
      <c r="Z15" s="71">
        <v>27.972999999999999</v>
      </c>
      <c r="AA15" s="40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19"/>
      <c r="AY15" s="74"/>
      <c r="AZ15" s="74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40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40"/>
      <c r="CH15" s="40"/>
      <c r="CI15" s="40"/>
      <c r="CJ15" s="40"/>
      <c r="CK15" s="40"/>
      <c r="CL15" s="40"/>
      <c r="CM15" s="40"/>
      <c r="CN15" s="40"/>
      <c r="CO15" s="13"/>
      <c r="CP15" s="13"/>
      <c r="CQ15" s="13"/>
      <c r="CR15" s="13"/>
      <c r="CS15" s="13"/>
      <c r="CT15" s="13"/>
      <c r="CU15" s="13"/>
    </row>
    <row r="16" spans="1:99" ht="14.1" customHeight="1">
      <c r="A16" s="12">
        <v>110</v>
      </c>
      <c r="B16" s="75">
        <v>92</v>
      </c>
      <c r="C16" s="65">
        <f>INTERCEPT(G15:G18,A15:A18)</f>
        <v>2731.8287078571443</v>
      </c>
      <c r="D16" s="104">
        <f>AVERAGE(U21:U22)</f>
        <v>490.005</v>
      </c>
      <c r="E16" s="66">
        <f>D16-$E$5</f>
        <v>452.1</v>
      </c>
      <c r="F16" s="116">
        <v>210</v>
      </c>
      <c r="G16" s="66">
        <f t="shared" si="0"/>
        <v>3229.1242500000003</v>
      </c>
      <c r="H16" s="78">
        <f t="shared" si="1"/>
        <v>3509.9176630434786</v>
      </c>
      <c r="I16" s="33">
        <f>$C$15*A16+$C$16</f>
        <v>3326.7867135714291</v>
      </c>
      <c r="J16" s="113">
        <f>((($N$2-(130*$D$2*(((B16+B15)*0.01)/2))*((I16-I15)/(A16-A15))))/((I16+I15)/2))/$D$2</f>
        <v>1.5745697907709932</v>
      </c>
      <c r="K16" s="67">
        <f>$N$2/H16/$D$2</f>
        <v>1.6675902592683167</v>
      </c>
      <c r="L16" s="67">
        <f>J16/($D$4/$D$2)</f>
        <v>2.7579315639619777</v>
      </c>
      <c r="M16" s="107">
        <f>(((S16/60)*$J$1)/$D$2)</f>
        <v>0.98420221169036326</v>
      </c>
      <c r="N16" s="19">
        <f>K16-M16</f>
        <v>0.68338804757795346</v>
      </c>
      <c r="O16" s="67">
        <f>N16/($D$4/$D$2)</f>
        <v>1.1969856642090915</v>
      </c>
      <c r="P16" s="67"/>
      <c r="Q16" s="30"/>
      <c r="R16" s="108">
        <v>110</v>
      </c>
      <c r="S16" s="109">
        <v>28</v>
      </c>
      <c r="U16" s="14">
        <v>549.29999999999995</v>
      </c>
      <c r="V16" s="15"/>
      <c r="W16" s="110"/>
      <c r="X16" s="69">
        <v>0.08</v>
      </c>
      <c r="Y16" s="30">
        <v>115</v>
      </c>
      <c r="Z16" s="71">
        <v>41.679000000000002</v>
      </c>
      <c r="AA16" s="40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19"/>
      <c r="AY16" s="74"/>
      <c r="AZ16" s="74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40"/>
    </row>
    <row r="17" spans="1:67" ht="14.1" customHeight="1">
      <c r="A17" s="12">
        <v>115</v>
      </c>
      <c r="B17" s="75">
        <v>87</v>
      </c>
      <c r="C17" s="65"/>
      <c r="D17" s="104">
        <f>AVERAGE(U23:U24)</f>
        <v>495.69500000000005</v>
      </c>
      <c r="E17" s="66">
        <f>D17-$E$5</f>
        <v>457.79000000000008</v>
      </c>
      <c r="F17" s="116">
        <v>220</v>
      </c>
      <c r="G17" s="66">
        <f t="shared" si="0"/>
        <v>3269.7650750000007</v>
      </c>
      <c r="H17" s="78">
        <f t="shared" si="1"/>
        <v>3758.350660919541</v>
      </c>
      <c r="I17" s="33">
        <f>$C$15*A17+$C$16</f>
        <v>3353.8302592857149</v>
      </c>
      <c r="J17" s="113">
        <f>((($N$2-(130*$D$2*(((B17+B16)*0.01)/2))*((I17-I16)/(A17-A16))))/((I17+I16)/2))/$D$2</f>
        <v>1.5638678936923371</v>
      </c>
      <c r="K17" s="67">
        <f>$N$2/H17/$D$2</f>
        <v>1.5573598724002675</v>
      </c>
      <c r="L17" s="67">
        <f>J17/($D$4/$D$2)</f>
        <v>2.739186697954453</v>
      </c>
      <c r="M17" s="107">
        <f>(((S17/60)*$J$1)/$D$2)</f>
        <v>1.9684044233807265</v>
      </c>
      <c r="N17" s="19">
        <f>K17-M17</f>
        <v>-0.411044550980459</v>
      </c>
      <c r="O17" s="67">
        <f>N17/($D$4/$D$2)</f>
        <v>-0.71996347700059649</v>
      </c>
      <c r="P17" s="67"/>
      <c r="Q17" s="30"/>
      <c r="R17" s="108">
        <v>115</v>
      </c>
      <c r="S17" s="117">
        <v>56</v>
      </c>
      <c r="T17" s="40">
        <v>90</v>
      </c>
      <c r="U17" s="14">
        <v>500.1</v>
      </c>
      <c r="V17" s="15"/>
      <c r="W17" s="110"/>
      <c r="X17" s="69">
        <v>0.09</v>
      </c>
      <c r="Y17" s="30">
        <v>120</v>
      </c>
      <c r="Z17" s="71">
        <v>77.938999999999993</v>
      </c>
      <c r="AA17" s="40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19"/>
      <c r="AY17" s="74"/>
      <c r="AZ17" s="74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40"/>
    </row>
    <row r="18" spans="1:67" ht="14.1" customHeight="1">
      <c r="A18" s="12">
        <v>120</v>
      </c>
      <c r="B18" s="118">
        <v>93</v>
      </c>
      <c r="C18" s="65"/>
      <c r="D18" s="104">
        <f>AVERAGE(U25:U26)</f>
        <v>526.91499999999996</v>
      </c>
      <c r="E18" s="66">
        <f>D18-$E$5</f>
        <v>489.01</v>
      </c>
      <c r="F18" s="116">
        <v>225</v>
      </c>
      <c r="G18" s="66">
        <f t="shared" si="0"/>
        <v>3492.753925</v>
      </c>
      <c r="H18" s="78">
        <f t="shared" si="1"/>
        <v>3755.64938172043</v>
      </c>
      <c r="I18" s="33">
        <f>$C$15*A18+$C$16</f>
        <v>3380.8738050000006</v>
      </c>
      <c r="J18" s="113">
        <f>((($N$2-(130*$D$2*(((B18+B17)*0.01)/2))*((I18-I17)/(A18-A17))))/((I18+I17)/2))/$D$2</f>
        <v>1.5502642688322774</v>
      </c>
      <c r="K18" s="67">
        <f>$N$2/H18/$D$2</f>
        <v>1.5584800152574048</v>
      </c>
      <c r="L18" s="67">
        <f>J18/($D$4/$D$2)</f>
        <v>2.7153593219907073</v>
      </c>
      <c r="M18" s="107">
        <f>(((S18/60)*$J$1)/$D$2)</f>
        <v>2.9526066350710898</v>
      </c>
      <c r="N18" s="19">
        <f>K18-M18</f>
        <v>-1.394126619813685</v>
      </c>
      <c r="O18" s="67">
        <f>N18/($D$4/$D$2)</f>
        <v>-2.4418770330028439</v>
      </c>
      <c r="P18" s="67"/>
      <c r="Q18" s="30"/>
      <c r="R18" s="108">
        <v>120</v>
      </c>
      <c r="S18" s="117">
        <v>84</v>
      </c>
      <c r="T18" s="30"/>
      <c r="U18" s="14">
        <v>500.34</v>
      </c>
      <c r="V18" s="15"/>
      <c r="W18" s="110"/>
      <c r="X18" s="96">
        <v>0.10400000000000001</v>
      </c>
      <c r="Y18" s="30" t="s">
        <v>107</v>
      </c>
      <c r="Z18" s="96">
        <f>AVERAGE(Z13:Z17)</f>
        <v>45.135399999999997</v>
      </c>
      <c r="AA18" s="30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5"/>
      <c r="AY18" s="95"/>
      <c r="AZ18" s="95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2"/>
      <c r="BO18" s="40"/>
    </row>
    <row r="19" spans="1:67" ht="14.1" customHeight="1" thickBot="1">
      <c r="A19" s="63"/>
      <c r="B19" s="98"/>
      <c r="C19" s="65"/>
      <c r="D19" s="99"/>
      <c r="E19" s="66"/>
      <c r="F19" s="63"/>
      <c r="G19" s="66"/>
      <c r="H19" s="66"/>
      <c r="I19" s="33"/>
      <c r="J19" s="113"/>
      <c r="K19" s="67"/>
      <c r="L19" s="67"/>
      <c r="M19" s="107"/>
      <c r="O19" s="67"/>
      <c r="P19" s="67"/>
      <c r="Q19" s="30"/>
      <c r="R19" s="108"/>
      <c r="S19" s="117"/>
      <c r="T19" s="41">
        <v>100</v>
      </c>
      <c r="U19" s="14">
        <v>496.55</v>
      </c>
      <c r="V19" s="15"/>
      <c r="W19" s="110"/>
      <c r="Y19" s="30"/>
      <c r="Z19" s="96"/>
      <c r="AA19" s="30"/>
      <c r="AB19" s="96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30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40"/>
    </row>
    <row r="20" spans="1:67" ht="14.1" customHeight="1" thickBot="1">
      <c r="A20" s="119" t="s">
        <v>112</v>
      </c>
      <c r="B20" s="120">
        <f>AVERAGE(B14:B19)</f>
        <v>93.6</v>
      </c>
      <c r="C20" s="121"/>
      <c r="D20" s="122">
        <f>AVERAGE(D14:D18)</f>
        <v>503.74400000000003</v>
      </c>
      <c r="E20" s="122">
        <f>AVERAGE(E14:E18)</f>
        <v>465.83899999999994</v>
      </c>
      <c r="F20" s="122"/>
      <c r="G20" s="122">
        <f>AVERAGE(G14:G18)</f>
        <v>3327.2550575000009</v>
      </c>
      <c r="H20" s="122">
        <f>AVERAGE(H14:H18)</f>
        <v>3562.3558735233501</v>
      </c>
      <c r="I20" s="122"/>
      <c r="J20" s="122">
        <f t="shared" ref="J20:O20" si="2">AVERAGE(J14:J18)</f>
        <v>1.5699405964655719</v>
      </c>
      <c r="K20" s="123">
        <f t="shared" si="2"/>
        <v>1.6117416687203954</v>
      </c>
      <c r="L20" s="122">
        <f t="shared" si="2"/>
        <v>2.7498233167661623</v>
      </c>
      <c r="M20" s="122">
        <f t="shared" si="2"/>
        <v>1.3778830963665087</v>
      </c>
      <c r="N20" s="123">
        <f t="shared" si="2"/>
        <v>1.2413074723555184E-2</v>
      </c>
      <c r="O20" s="122">
        <f t="shared" si="2"/>
        <v>2.1742072524551848E-2</v>
      </c>
      <c r="P20" s="124"/>
      <c r="Q20" s="30"/>
      <c r="R20" s="108"/>
      <c r="S20" s="117"/>
      <c r="T20" s="41"/>
      <c r="U20" s="14">
        <v>515.22</v>
      </c>
      <c r="V20" s="15"/>
      <c r="W20" s="110"/>
      <c r="X20" s="69">
        <v>0.03</v>
      </c>
      <c r="Y20" s="70">
        <v>210</v>
      </c>
      <c r="Z20" s="71">
        <v>189.71</v>
      </c>
      <c r="AA20" s="40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4"/>
      <c r="AY20" s="74"/>
      <c r="AZ20" s="74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40"/>
    </row>
    <row r="21" spans="1:67" ht="14.1" customHeight="1" thickBot="1">
      <c r="A21" s="70"/>
      <c r="B21" s="118"/>
      <c r="C21" s="36"/>
      <c r="D21" s="99"/>
      <c r="E21" s="33"/>
      <c r="F21" s="125" t="s">
        <v>113</v>
      </c>
      <c r="G21" s="33"/>
      <c r="H21" s="33"/>
      <c r="I21" s="126" t="s">
        <v>114</v>
      </c>
      <c r="J21" s="127">
        <f>J20-((B18-B15)*0.25*$D$2*10)/(30*$D$2)</f>
        <v>1.7366072631322387</v>
      </c>
      <c r="K21" s="74"/>
      <c r="L21" s="128" t="s">
        <v>33</v>
      </c>
      <c r="M21" s="129">
        <f>J21-M20</f>
        <v>0.35872416676572993</v>
      </c>
      <c r="N21" s="19"/>
      <c r="O21" s="74"/>
      <c r="P21" s="130">
        <f>$M$20-(((B18-B14)*1.3)/(A18-A14))</f>
        <v>1.7245497630331754</v>
      </c>
      <c r="Q21" s="30"/>
      <c r="R21" s="131"/>
      <c r="S21" s="117"/>
      <c r="T21" s="41">
        <v>110</v>
      </c>
      <c r="U21" s="14">
        <v>487.4</v>
      </c>
      <c r="V21" s="15"/>
      <c r="W21" s="110"/>
      <c r="X21" s="69">
        <v>0.02</v>
      </c>
      <c r="Y21" s="70">
        <v>220</v>
      </c>
      <c r="Z21" s="71">
        <v>200.06</v>
      </c>
      <c r="AA21" s="40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4"/>
      <c r="AY21" s="74"/>
      <c r="AZ21" s="74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40"/>
    </row>
    <row r="22" spans="1:67" ht="14.1" customHeight="1" thickBot="1">
      <c r="A22" s="63"/>
      <c r="B22" s="98"/>
      <c r="C22" s="65"/>
      <c r="D22" s="99"/>
      <c r="E22" s="66"/>
      <c r="F22" s="63"/>
      <c r="G22" s="66"/>
      <c r="H22" s="66"/>
      <c r="I22" s="33"/>
      <c r="J22" s="132"/>
      <c r="K22" s="67"/>
      <c r="L22" s="133"/>
      <c r="M22" s="134"/>
      <c r="N22" s="101"/>
      <c r="O22" s="133"/>
      <c r="P22" s="133"/>
      <c r="Q22" s="30"/>
      <c r="R22" s="102" t="s">
        <v>25</v>
      </c>
      <c r="S22" s="103" t="s">
        <v>109</v>
      </c>
      <c r="T22" s="30"/>
      <c r="U22" s="14">
        <v>492.61</v>
      </c>
      <c r="V22" s="15"/>
      <c r="W22" s="110"/>
      <c r="X22" s="69">
        <v>0.03</v>
      </c>
      <c r="Y22" s="70">
        <v>230</v>
      </c>
      <c r="Z22" s="71">
        <v>171.57</v>
      </c>
      <c r="AA22" s="40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4"/>
      <c r="AY22" s="74"/>
      <c r="AZ22" s="74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40"/>
    </row>
    <row r="23" spans="1:67" ht="14.1" customHeight="1">
      <c r="A23" s="63">
        <v>210</v>
      </c>
      <c r="B23" s="75">
        <v>111</v>
      </c>
      <c r="C23" s="65"/>
      <c r="D23" s="104">
        <f>AVERAGE(U31:U32)</f>
        <v>248.7</v>
      </c>
      <c r="E23" s="78">
        <f>D23-$E$5</f>
        <v>210.79499999999999</v>
      </c>
      <c r="F23" s="78"/>
      <c r="G23" s="78">
        <f t="shared" si="0"/>
        <v>1505.6032874999999</v>
      </c>
      <c r="H23" s="78">
        <f t="shared" si="1"/>
        <v>1356.3993581081079</v>
      </c>
      <c r="I23" s="33">
        <f>$C$24*A23+$C$25</f>
        <v>1932.4941867857142</v>
      </c>
      <c r="J23" s="105" t="s">
        <v>110</v>
      </c>
      <c r="K23" s="106" t="s">
        <v>111</v>
      </c>
      <c r="L23" s="67"/>
      <c r="M23" s="19">
        <f>(((S23/60)*$J$1)/$D$2)</f>
        <v>5.9403633491311219</v>
      </c>
      <c r="N23" s="101"/>
      <c r="O23" s="133"/>
      <c r="P23" s="133"/>
      <c r="Q23" s="30"/>
      <c r="R23" s="131">
        <v>210</v>
      </c>
      <c r="S23" s="117">
        <v>169</v>
      </c>
      <c r="T23" s="13">
        <v>115</v>
      </c>
      <c r="U23" s="14">
        <v>505.97</v>
      </c>
      <c r="V23" s="15"/>
      <c r="W23" s="110"/>
      <c r="X23" s="69">
        <v>0.02</v>
      </c>
      <c r="Y23" s="70">
        <v>235</v>
      </c>
      <c r="Z23" s="71">
        <v>188.17</v>
      </c>
      <c r="AA23" s="40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4"/>
      <c r="AY23" s="74"/>
      <c r="AZ23" s="74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40"/>
    </row>
    <row r="24" spans="1:67" ht="14.1" customHeight="1">
      <c r="A24" s="63">
        <v>220</v>
      </c>
      <c r="B24" s="75">
        <v>105</v>
      </c>
      <c r="C24" s="65">
        <f>SLOPE(G24:G27,A24:A27)</f>
        <v>-20.875078642857144</v>
      </c>
      <c r="D24" s="104">
        <f>AVERAGE(U33:U34)</f>
        <v>276.87</v>
      </c>
      <c r="E24" s="66">
        <f>D24-$E$5</f>
        <v>238.965</v>
      </c>
      <c r="F24" s="111">
        <v>180</v>
      </c>
      <c r="G24" s="112">
        <f t="shared" si="0"/>
        <v>1706.8075125</v>
      </c>
      <c r="H24" s="112">
        <f t="shared" si="1"/>
        <v>1625.5309642857142</v>
      </c>
      <c r="I24" s="33">
        <f>$C$24*A24+$C$25</f>
        <v>1723.7434003571425</v>
      </c>
      <c r="J24" s="113">
        <f>((($N$2-(130*$D$2*(((B24+B23)*0.01)/2))*((I24-I23)/(A24-A23))))/((I24+I23)/2))/$D$2</f>
        <v>4.8049205434958822</v>
      </c>
      <c r="K24" s="114">
        <f>$N$2/H24/$D$2</f>
        <v>3.6007339351404308</v>
      </c>
      <c r="L24" s="114">
        <f>J24/($D$4/$D$2)</f>
        <v>8.4160398014164386</v>
      </c>
      <c r="M24" s="107">
        <f>(((S24/60)*$J$1)/$D$2)</f>
        <v>3.4447077409162716</v>
      </c>
      <c r="N24" s="19">
        <f>K24-M24</f>
        <v>0.1560261942241592</v>
      </c>
      <c r="O24" s="74">
        <f>N24/($D$4/$D$2)</f>
        <v>0.2732870707782144</v>
      </c>
      <c r="P24" s="74"/>
      <c r="Q24" s="30"/>
      <c r="R24" s="131">
        <v>220</v>
      </c>
      <c r="S24" s="117">
        <v>98</v>
      </c>
      <c r="U24" s="14">
        <v>485.42</v>
      </c>
      <c r="V24" s="15"/>
      <c r="W24" s="110"/>
      <c r="X24" s="69">
        <v>0.02</v>
      </c>
      <c r="Y24" s="70">
        <v>240</v>
      </c>
      <c r="Z24" s="71">
        <v>192.03</v>
      </c>
      <c r="AA24" s="40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4"/>
      <c r="AY24" s="74"/>
      <c r="AZ24" s="74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40"/>
    </row>
    <row r="25" spans="1:67" ht="14.1" customHeight="1">
      <c r="A25" s="63">
        <v>230</v>
      </c>
      <c r="B25" s="75">
        <v>94</v>
      </c>
      <c r="C25" s="65">
        <f>INTERCEPT(G24:G27,A24:A27)</f>
        <v>6316.2607017857144</v>
      </c>
      <c r="D25" s="104">
        <f>AVERAGE(U35:U36)</f>
        <v>255.97500000000002</v>
      </c>
      <c r="E25" s="66">
        <f>D25-$E$5</f>
        <v>218.07000000000002</v>
      </c>
      <c r="F25" s="111">
        <v>180</v>
      </c>
      <c r="G25" s="112">
        <f t="shared" si="0"/>
        <v>1557.5649750000002</v>
      </c>
      <c r="H25" s="112">
        <f t="shared" si="1"/>
        <v>1656.9840159574469</v>
      </c>
      <c r="I25" s="33">
        <f>$C$24*A25+$C$25</f>
        <v>1514.9926139285717</v>
      </c>
      <c r="J25" s="113">
        <f>((($N$2-(130*$D$2*(((B25+B24)*0.01)/2))*((I25-I24)/(A25-A24))))/((I25+I24)/2))/$D$2</f>
        <v>5.2818728605548699</v>
      </c>
      <c r="K25" s="114">
        <f>$N$2/H25/$D$2</f>
        <v>3.5323844100831883</v>
      </c>
      <c r="L25" s="114">
        <f>J25/($D$4/$D$2)</f>
        <v>9.2514437685392252</v>
      </c>
      <c r="M25" s="107">
        <f>(((S25/60)*$J$1)/$D$2)</f>
        <v>3.4447077409162716</v>
      </c>
      <c r="N25" s="19">
        <f>K25-M25</f>
        <v>8.7676669166916632E-2</v>
      </c>
      <c r="O25" s="114">
        <f>N25/($D$4/$D$2)</f>
        <v>0.15356972725870097</v>
      </c>
      <c r="P25" s="74"/>
      <c r="Q25" s="30"/>
      <c r="R25" s="131">
        <v>230</v>
      </c>
      <c r="S25" s="117">
        <v>98</v>
      </c>
      <c r="T25" s="13">
        <v>120</v>
      </c>
      <c r="U25" s="14">
        <v>536.48</v>
      </c>
      <c r="V25" s="15"/>
      <c r="W25" s="110"/>
      <c r="X25" s="96">
        <v>2.4E-2</v>
      </c>
      <c r="Y25" s="57" t="s">
        <v>107</v>
      </c>
      <c r="Z25" s="96">
        <f>AVERAGE(Z20:Z24)</f>
        <v>188.30799999999996</v>
      </c>
      <c r="AA25" s="30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5"/>
      <c r="AY25" s="95"/>
      <c r="AZ25" s="95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40"/>
    </row>
    <row r="26" spans="1:67" ht="14.1" customHeight="1">
      <c r="A26" s="63">
        <v>235</v>
      </c>
      <c r="B26" s="75">
        <v>88</v>
      </c>
      <c r="C26" s="65"/>
      <c r="D26" s="104">
        <f>AVERAGE(U37:U38)</f>
        <v>232.965</v>
      </c>
      <c r="E26" s="66">
        <f>D26-$E$5</f>
        <v>195.06</v>
      </c>
      <c r="F26" s="111">
        <v>180</v>
      </c>
      <c r="G26" s="112">
        <f t="shared" si="0"/>
        <v>1393.21605</v>
      </c>
      <c r="H26" s="112">
        <f t="shared" si="1"/>
        <v>1583.2000568181818</v>
      </c>
      <c r="I26" s="33">
        <f>$C$24*A26+$C$25</f>
        <v>1410.6172207142854</v>
      </c>
      <c r="J26" s="113">
        <f>((($N$2-(130*$D$2*(((B26+B25)*0.01)/2))*((I26-I25)/(A26-A25))))/((I26+I25)/2))/$D$2</f>
        <v>5.6894984496052015</v>
      </c>
      <c r="K26" s="114">
        <f>$N$2/H26/$D$2</f>
        <v>3.697008776950355</v>
      </c>
      <c r="L26" s="114">
        <f>J26/($D$4/$D$2)</f>
        <v>9.9654187761316368</v>
      </c>
      <c r="M26" s="107">
        <f>(((S26/60)*$J$1)/$D$2)</f>
        <v>3.4447077409162716</v>
      </c>
      <c r="N26" s="19">
        <f>K26-M26</f>
        <v>0.25230103603408338</v>
      </c>
      <c r="O26" s="114">
        <f>N26/($D$4/$D$2)</f>
        <v>0.44191689373005938</v>
      </c>
      <c r="P26" s="74"/>
      <c r="Q26" s="30"/>
      <c r="R26" s="131">
        <v>235</v>
      </c>
      <c r="S26" s="117">
        <v>98</v>
      </c>
      <c r="U26" s="14">
        <v>517.35</v>
      </c>
      <c r="V26" s="15"/>
      <c r="W26" s="11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</row>
    <row r="27" spans="1:67" ht="14.1" customHeight="1">
      <c r="A27" s="63">
        <v>240</v>
      </c>
      <c r="B27" s="118">
        <v>86</v>
      </c>
      <c r="C27" s="65"/>
      <c r="D27" s="104">
        <f>AVERAGE(U39:U40)</f>
        <v>219.63499999999999</v>
      </c>
      <c r="E27" s="66">
        <f>D27-$E$5</f>
        <v>181.73</v>
      </c>
      <c r="F27" s="111">
        <v>180</v>
      </c>
      <c r="G27" s="112">
        <f t="shared" si="0"/>
        <v>1298.006525</v>
      </c>
      <c r="H27" s="112">
        <f t="shared" si="1"/>
        <v>1509.3099127906978</v>
      </c>
      <c r="I27" s="33">
        <f>$C$24*A27+$C$25</f>
        <v>1306.2418275</v>
      </c>
      <c r="J27" s="113">
        <f>((($N$2-(130*$D$2*(((B27+B26)*0.01)/2))*((I27-I26)/(A27-A26))))/((I27+I26)/2))/$D$2</f>
        <v>6.0467442399200895</v>
      </c>
      <c r="K27" s="114">
        <f>$N$2/H27/$D$2</f>
        <v>3.878000439885001</v>
      </c>
      <c r="L27" s="114">
        <f>J27/($D$4/$D$2)</f>
        <v>10.591151244121853</v>
      </c>
      <c r="M27" s="107">
        <f>(((S27/60)*$J$1)/$D$2)</f>
        <v>3.9719589257503949</v>
      </c>
      <c r="N27" s="19">
        <f>K27-M27</f>
        <v>-9.3958485865393904E-2</v>
      </c>
      <c r="O27" s="114">
        <f>N27/($D$4/$D$2)</f>
        <v>-0.16457261874899859</v>
      </c>
      <c r="P27" s="74"/>
      <c r="Q27" s="30"/>
      <c r="R27" s="131">
        <v>240</v>
      </c>
      <c r="S27" s="117">
        <v>113</v>
      </c>
      <c r="T27" s="13">
        <v>150</v>
      </c>
      <c r="U27" s="14">
        <v>444.67</v>
      </c>
      <c r="V27" s="15"/>
      <c r="W27" s="11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</row>
    <row r="28" spans="1:67" ht="14.1" customHeight="1" thickBot="1">
      <c r="A28" s="63"/>
      <c r="B28" s="118"/>
      <c r="C28" s="65"/>
      <c r="D28" s="99"/>
      <c r="E28" s="66"/>
      <c r="F28" s="135"/>
      <c r="G28" s="112"/>
      <c r="H28" s="112"/>
      <c r="I28" s="33"/>
      <c r="J28" s="113"/>
      <c r="K28" s="114"/>
      <c r="L28" s="114"/>
      <c r="M28" s="107"/>
      <c r="N28" s="107"/>
      <c r="O28" s="114"/>
      <c r="P28" s="74"/>
      <c r="Q28" s="30"/>
      <c r="R28" s="108"/>
      <c r="S28" s="117"/>
      <c r="U28" s="14">
        <v>410.57</v>
      </c>
      <c r="V28" s="15"/>
      <c r="W28" s="110"/>
      <c r="X28" s="69"/>
      <c r="Y28" s="13" t="s">
        <v>115</v>
      </c>
    </row>
    <row r="29" spans="1:67" ht="14.1" customHeight="1" thickBot="1">
      <c r="A29" s="119" t="s">
        <v>112</v>
      </c>
      <c r="B29" s="122">
        <f>AVERAGE(B23:B28)</f>
        <v>96.8</v>
      </c>
      <c r="C29" s="121"/>
      <c r="D29" s="122">
        <f>AVERAGE(D23:D28)</f>
        <v>246.82900000000001</v>
      </c>
      <c r="E29" s="122">
        <f>AVERAGE(E23:E28)</f>
        <v>208.92400000000004</v>
      </c>
      <c r="F29" s="122">
        <f>AVERAGE(F24:F28)</f>
        <v>180</v>
      </c>
      <c r="G29" s="122">
        <f>AVERAGE(G23:G28)</f>
        <v>1492.2396699999999</v>
      </c>
      <c r="H29" s="122">
        <f>AVERAGE(H23:H28)</f>
        <v>1546.2848615920298</v>
      </c>
      <c r="I29" s="122"/>
      <c r="J29" s="122">
        <f t="shared" ref="J29:O29" si="3">AVERAGE(J23:J28)</f>
        <v>5.4557590233940108</v>
      </c>
      <c r="K29" s="123">
        <f t="shared" si="3"/>
        <v>3.6770318905147437</v>
      </c>
      <c r="L29" s="122">
        <f t="shared" si="3"/>
        <v>9.5560133975522881</v>
      </c>
      <c r="M29" s="122">
        <f t="shared" si="3"/>
        <v>4.0492890995260664</v>
      </c>
      <c r="N29" s="123">
        <f t="shared" si="3"/>
        <v>0.10051135338994133</v>
      </c>
      <c r="O29" s="122">
        <f t="shared" si="3"/>
        <v>0.17605026825449405</v>
      </c>
      <c r="P29" s="122"/>
      <c r="Q29" s="136"/>
      <c r="R29" s="137"/>
      <c r="S29" s="138"/>
      <c r="T29" s="13">
        <v>180</v>
      </c>
      <c r="U29" s="14">
        <v>258.89</v>
      </c>
      <c r="V29" s="15"/>
      <c r="W29" s="110"/>
      <c r="X29" s="69"/>
      <c r="Y29" s="13" t="s">
        <v>116</v>
      </c>
    </row>
    <row r="30" spans="1:67" ht="14.1" customHeight="1">
      <c r="A30" s="70"/>
      <c r="B30" s="139"/>
      <c r="C30" s="36"/>
      <c r="D30" s="99"/>
      <c r="E30" s="33"/>
      <c r="F30" s="125" t="s">
        <v>117</v>
      </c>
      <c r="G30" s="33"/>
      <c r="H30" s="33"/>
      <c r="I30" s="140" t="s">
        <v>114</v>
      </c>
      <c r="J30" s="141">
        <f>J29-((B27-B24)*0.25*$D$2*10)/(20*$D$2)</f>
        <v>7.8307590233940108</v>
      </c>
      <c r="K30" s="74"/>
      <c r="L30" s="142" t="s">
        <v>33</v>
      </c>
      <c r="M30" s="143">
        <f>J30-M29</f>
        <v>3.7814699238679443</v>
      </c>
      <c r="N30" s="19">
        <f>AVERAGE(J24:J25)-M29</f>
        <v>0.99410760249930963</v>
      </c>
      <c r="O30" s="74"/>
      <c r="P30" s="130">
        <f>$M$29-(((B27-B23)*1.3)/(A27-A23))</f>
        <v>5.1326224328593995</v>
      </c>
      <c r="Q30" s="30"/>
      <c r="R30" s="63"/>
      <c r="S30" s="144"/>
      <c r="U30" s="14">
        <v>272.22000000000003</v>
      </c>
      <c r="V30" s="15"/>
      <c r="W30" s="110"/>
      <c r="X30" s="69"/>
      <c r="Y30" s="13" t="s">
        <v>118</v>
      </c>
    </row>
    <row r="31" spans="1:67" ht="14.1" customHeight="1">
      <c r="A31" s="145"/>
      <c r="B31" s="139"/>
      <c r="C31" s="146"/>
      <c r="D31" s="147"/>
      <c r="E31" s="148"/>
      <c r="F31" s="145"/>
      <c r="G31" s="148"/>
      <c r="H31" s="148"/>
      <c r="I31" s="148"/>
      <c r="J31" s="149"/>
      <c r="K31" s="150"/>
      <c r="L31" s="133"/>
      <c r="M31" s="134"/>
      <c r="N31" s="101"/>
      <c r="O31" s="150"/>
      <c r="P31" s="150"/>
      <c r="Q31" s="96"/>
      <c r="R31" s="151"/>
      <c r="S31" s="101" t="s">
        <v>32</v>
      </c>
      <c r="T31" s="13">
        <v>210</v>
      </c>
      <c r="U31" s="14">
        <v>262.93</v>
      </c>
      <c r="V31" s="15"/>
      <c r="W31" s="110"/>
      <c r="X31" s="69"/>
      <c r="Y31" s="13" t="s">
        <v>119</v>
      </c>
    </row>
    <row r="32" spans="1:67" ht="14.1" customHeight="1">
      <c r="A32" s="145"/>
      <c r="B32" s="148"/>
      <c r="C32" s="146"/>
      <c r="D32" s="147"/>
      <c r="E32" s="148"/>
      <c r="F32" s="148"/>
      <c r="G32" s="148"/>
      <c r="H32" s="148"/>
      <c r="I32" s="148"/>
      <c r="J32" s="152"/>
      <c r="K32" s="153"/>
      <c r="L32" s="58"/>
      <c r="M32" s="124"/>
      <c r="N32" s="101"/>
      <c r="O32" s="150"/>
      <c r="P32" s="150"/>
      <c r="Q32" s="96"/>
      <c r="R32" s="145"/>
      <c r="S32" s="58"/>
      <c r="U32" s="14">
        <v>234.47</v>
      </c>
      <c r="V32" s="15"/>
      <c r="W32" s="110"/>
      <c r="X32" s="69"/>
      <c r="Y32" s="13" t="s">
        <v>120</v>
      </c>
    </row>
    <row r="33" spans="1:99" ht="14.1" customHeight="1">
      <c r="A33" s="145"/>
      <c r="B33" s="148"/>
      <c r="C33" s="146"/>
      <c r="D33" s="147"/>
      <c r="E33" s="148"/>
      <c r="F33" s="145"/>
      <c r="G33" s="148"/>
      <c r="H33" s="148"/>
      <c r="I33" s="148"/>
      <c r="J33" s="149"/>
      <c r="K33" s="150"/>
      <c r="L33" s="150"/>
      <c r="M33" s="124"/>
      <c r="N33" s="124"/>
      <c r="O33" s="150"/>
      <c r="P33" s="150"/>
      <c r="Q33" s="96"/>
      <c r="R33" s="145"/>
      <c r="S33" s="58"/>
      <c r="T33" s="13">
        <v>220</v>
      </c>
      <c r="U33" s="14">
        <v>270.23</v>
      </c>
      <c r="V33" s="15"/>
      <c r="W33" s="110"/>
      <c r="X33" s="69"/>
      <c r="Y33" s="20" t="s">
        <v>121</v>
      </c>
    </row>
    <row r="34" spans="1:99" ht="14.1" customHeight="1">
      <c r="A34" s="145"/>
      <c r="B34" s="148"/>
      <c r="C34" s="146"/>
      <c r="D34" s="147"/>
      <c r="E34" s="148"/>
      <c r="F34" s="145"/>
      <c r="G34" s="148"/>
      <c r="H34" s="148"/>
      <c r="I34" s="148"/>
      <c r="J34" s="149"/>
      <c r="K34" s="150"/>
      <c r="L34" s="150"/>
      <c r="M34" s="124"/>
      <c r="N34" s="124"/>
      <c r="O34" s="150"/>
      <c r="P34" s="150"/>
      <c r="Q34" s="96"/>
      <c r="R34" s="145"/>
      <c r="S34" s="58"/>
      <c r="U34" s="14">
        <v>283.51</v>
      </c>
      <c r="V34" s="15"/>
      <c r="W34" s="110"/>
    </row>
    <row r="35" spans="1:99" ht="14.1" customHeight="1">
      <c r="A35" s="145"/>
      <c r="B35" s="148"/>
      <c r="C35" s="146"/>
      <c r="D35" s="147"/>
      <c r="E35" s="148"/>
      <c r="F35" s="145"/>
      <c r="G35" s="148"/>
      <c r="H35" s="148"/>
      <c r="I35" s="148"/>
      <c r="J35" s="149"/>
      <c r="K35" s="150"/>
      <c r="L35" s="150"/>
      <c r="M35" s="124"/>
      <c r="N35" s="124"/>
      <c r="O35" s="150"/>
      <c r="P35" s="150"/>
      <c r="Q35" s="96"/>
      <c r="R35" s="145"/>
      <c r="S35" s="58"/>
      <c r="T35" s="13">
        <v>230</v>
      </c>
      <c r="U35" s="14">
        <v>269.41000000000003</v>
      </c>
      <c r="V35" s="15"/>
      <c r="W35" s="110"/>
    </row>
    <row r="36" spans="1:99" ht="14.1" customHeight="1">
      <c r="A36" s="145"/>
      <c r="B36" s="139"/>
      <c r="C36" s="146"/>
      <c r="D36" s="147"/>
      <c r="E36" s="148"/>
      <c r="F36" s="145"/>
      <c r="G36" s="148"/>
      <c r="H36" s="148"/>
      <c r="I36" s="148"/>
      <c r="J36" s="149"/>
      <c r="K36" s="150"/>
      <c r="L36" s="150"/>
      <c r="M36" s="124"/>
      <c r="N36" s="124"/>
      <c r="O36" s="150"/>
      <c r="P36" s="150"/>
      <c r="Q36" s="96"/>
      <c r="R36" s="145"/>
      <c r="S36" s="58"/>
      <c r="U36" s="14">
        <v>242.54</v>
      </c>
      <c r="V36" s="15"/>
      <c r="W36" s="110"/>
      <c r="X36"/>
    </row>
    <row r="37" spans="1:99" ht="14.1" customHeight="1">
      <c r="A37" s="145"/>
      <c r="B37" s="139"/>
      <c r="C37" s="146"/>
      <c r="D37" s="147"/>
      <c r="E37" s="148"/>
      <c r="F37" s="145"/>
      <c r="G37" s="148"/>
      <c r="H37" s="148"/>
      <c r="I37" s="148"/>
      <c r="J37" s="149"/>
      <c r="K37" s="150"/>
      <c r="L37" s="150"/>
      <c r="M37" s="124"/>
      <c r="N37" s="124"/>
      <c r="O37" s="150"/>
      <c r="P37" s="150"/>
      <c r="Q37" s="96"/>
      <c r="R37" s="96"/>
      <c r="S37" s="58"/>
      <c r="T37" s="13">
        <v>235</v>
      </c>
      <c r="U37" s="14">
        <v>232.72</v>
      </c>
      <c r="V37" s="15"/>
      <c r="W37" s="15"/>
      <c r="X37" s="6"/>
    </row>
    <row r="38" spans="1:99" s="156" customFormat="1" ht="14.1" customHeight="1">
      <c r="A38" s="154"/>
      <c r="B38" s="139"/>
      <c r="C38" s="155"/>
      <c r="D38" s="139"/>
      <c r="E38" s="139"/>
      <c r="F38" s="139"/>
      <c r="G38" s="139"/>
      <c r="H38" s="139"/>
      <c r="I38" s="139"/>
      <c r="J38" s="124"/>
      <c r="K38" s="124"/>
      <c r="L38" s="124"/>
      <c r="M38" s="124"/>
      <c r="N38" s="124"/>
      <c r="O38" s="124"/>
      <c r="P38" s="124"/>
      <c r="Q38" s="155"/>
      <c r="R38" s="145"/>
      <c r="S38" s="58"/>
      <c r="T38" s="13"/>
      <c r="U38" s="14">
        <v>233.21</v>
      </c>
      <c r="V38" s="15"/>
      <c r="W38" s="15"/>
      <c r="X38" s="6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</row>
    <row r="39" spans="1:99" s="3" customFormat="1" ht="14.1" customHeight="1">
      <c r="A39" s="157"/>
      <c r="B39" s="158"/>
      <c r="C39" s="159"/>
      <c r="D39" s="160"/>
      <c r="E39" s="160"/>
      <c r="F39" s="161"/>
      <c r="G39" s="160"/>
      <c r="H39" s="148"/>
      <c r="I39" s="162"/>
      <c r="J39" s="163"/>
      <c r="K39" s="150"/>
      <c r="L39" s="155"/>
      <c r="M39" s="134"/>
      <c r="N39" s="155"/>
      <c r="O39" s="155"/>
      <c r="P39" s="155"/>
      <c r="Q39" s="58"/>
      <c r="R39" s="58"/>
      <c r="S39" s="58"/>
      <c r="T39" s="13">
        <v>240</v>
      </c>
      <c r="U39" s="14">
        <v>241.97</v>
      </c>
      <c r="V39" s="15"/>
      <c r="W39" s="15"/>
      <c r="X39" s="6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</row>
    <row r="40" spans="1:99" ht="14.1" customHeight="1">
      <c r="A40" s="164"/>
      <c r="B40" s="165"/>
      <c r="C40" s="164"/>
      <c r="D40" s="148"/>
      <c r="E40" s="164"/>
      <c r="F40" s="164"/>
      <c r="G40" s="96"/>
      <c r="H40" s="101"/>
      <c r="I40" s="58"/>
      <c r="J40" s="155"/>
      <c r="K40" s="166"/>
      <c r="L40" s="167"/>
      <c r="M40" s="168"/>
      <c r="N40" s="134"/>
      <c r="O40" s="169"/>
      <c r="P40" s="169"/>
      <c r="Q40" s="58"/>
      <c r="R40" s="58"/>
      <c r="S40" s="58"/>
      <c r="U40" s="14">
        <v>197.3</v>
      </c>
      <c r="V40" s="15"/>
      <c r="W40" s="15"/>
    </row>
    <row r="41" spans="1:99" ht="14.1" customHeight="1">
      <c r="A41" s="164"/>
      <c r="B41" s="170"/>
      <c r="C41" s="164"/>
      <c r="D41" s="171"/>
      <c r="E41" s="164"/>
      <c r="F41" s="164"/>
      <c r="G41" s="124"/>
      <c r="H41" s="58"/>
      <c r="I41" s="58"/>
      <c r="J41" s="170"/>
      <c r="K41" s="170"/>
      <c r="L41" s="96"/>
      <c r="M41" s="172"/>
      <c r="N41" s="160"/>
      <c r="O41" s="58"/>
      <c r="P41" s="58"/>
      <c r="Q41" s="58"/>
      <c r="R41" s="58"/>
      <c r="S41" s="58"/>
      <c r="U41" s="173"/>
      <c r="V41" s="174"/>
      <c r="W41" s="175"/>
    </row>
    <row r="42" spans="1:99" ht="14.1" customHeight="1">
      <c r="A42" s="3"/>
      <c r="B42" s="3"/>
      <c r="C42" s="3"/>
      <c r="D42" s="33"/>
      <c r="E42" s="3"/>
      <c r="F42" s="3"/>
      <c r="G42" s="19"/>
      <c r="H42" s="40"/>
      <c r="I42" s="40"/>
      <c r="J42" s="30"/>
      <c r="K42" s="30"/>
      <c r="L42" s="30"/>
      <c r="M42" s="30"/>
      <c r="N42" s="33"/>
      <c r="O42" s="33"/>
      <c r="P42" s="33"/>
      <c r="Q42" s="40"/>
      <c r="R42" s="40"/>
      <c r="U42" s="173"/>
      <c r="V42" s="174"/>
      <c r="W42" s="175"/>
    </row>
    <row r="43" spans="1:99" ht="14.1" customHeight="1">
      <c r="A43" s="30"/>
      <c r="B43" s="176"/>
      <c r="C43" s="3"/>
      <c r="D43" s="33"/>
      <c r="E43" s="177"/>
      <c r="F43" s="177"/>
      <c r="G43" s="33"/>
      <c r="H43" s="174"/>
      <c r="I43" s="40"/>
      <c r="J43" s="30"/>
      <c r="K43" s="30"/>
      <c r="L43" s="30"/>
      <c r="M43" s="33"/>
      <c r="N43" s="178"/>
      <c r="O43" s="33"/>
      <c r="P43" s="33"/>
      <c r="Q43" s="40"/>
      <c r="R43" s="40"/>
      <c r="U43" s="173"/>
      <c r="V43" s="174"/>
      <c r="W43" s="175"/>
    </row>
    <row r="44" spans="1:99" ht="14.1" customHeight="1">
      <c r="A44" s="3"/>
      <c r="B44" s="30"/>
      <c r="C44" s="3"/>
      <c r="D44" s="41"/>
      <c r="E44" s="42"/>
      <c r="F44" s="42"/>
      <c r="G44" s="19"/>
      <c r="H44" s="19"/>
      <c r="I44" s="30"/>
      <c r="J44" s="179"/>
      <c r="K44" s="179"/>
      <c r="L44" s="180"/>
      <c r="M44" s="39"/>
      <c r="N44" s="179"/>
      <c r="O44" s="180"/>
      <c r="P44" s="180"/>
      <c r="Q44" s="46"/>
      <c r="R44" s="46"/>
      <c r="U44" s="173"/>
      <c r="V44" s="174"/>
      <c r="W44" s="175"/>
    </row>
    <row r="45" spans="1:99" s="1" customFormat="1" ht="14.1" customHeight="1">
      <c r="A45" s="3"/>
      <c r="B45" s="181"/>
      <c r="C45" s="181"/>
      <c r="D45" s="25"/>
      <c r="E45" s="181"/>
      <c r="F45" s="181"/>
      <c r="G45" s="181"/>
      <c r="H45" s="95"/>
      <c r="I45" s="95"/>
      <c r="J45" s="182"/>
      <c r="K45" s="182"/>
      <c r="L45" s="182"/>
      <c r="M45" s="182"/>
      <c r="N45" s="182"/>
      <c r="O45" s="54"/>
      <c r="P45" s="54"/>
      <c r="Q45" s="55"/>
      <c r="R45" s="55"/>
      <c r="S45" s="13"/>
      <c r="T45" s="13"/>
      <c r="U45" s="173"/>
      <c r="V45" s="40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</row>
    <row r="46" spans="1:99" ht="14.1" customHeight="1">
      <c r="A46" s="70"/>
      <c r="B46" s="33"/>
      <c r="C46" s="36"/>
      <c r="D46" s="33"/>
      <c r="E46" s="33"/>
      <c r="F46" s="33"/>
      <c r="G46" s="33"/>
      <c r="H46" s="33"/>
      <c r="I46" s="33"/>
      <c r="J46" s="74"/>
      <c r="K46" s="74"/>
      <c r="L46" s="74"/>
      <c r="M46" s="30"/>
      <c r="N46" s="19"/>
      <c r="O46" s="74"/>
      <c r="P46" s="74"/>
      <c r="Q46" s="30"/>
      <c r="R46" s="30"/>
      <c r="U46" s="173"/>
    </row>
    <row r="47" spans="1:99" ht="14.1" customHeight="1">
      <c r="A47" s="70"/>
      <c r="B47" s="33"/>
      <c r="C47" s="36"/>
      <c r="D47" s="33"/>
      <c r="E47" s="33"/>
      <c r="F47" s="33"/>
      <c r="G47" s="33"/>
      <c r="H47" s="33"/>
      <c r="I47" s="33"/>
      <c r="J47" s="74"/>
      <c r="K47" s="74"/>
      <c r="L47" s="74"/>
      <c r="M47" s="30"/>
      <c r="N47" s="19"/>
      <c r="O47" s="74"/>
      <c r="P47" s="74"/>
      <c r="Q47" s="30"/>
      <c r="R47" s="30"/>
      <c r="T47" s="40"/>
      <c r="U47" s="173"/>
    </row>
    <row r="48" spans="1:99" s="80" customFormat="1" ht="14.1" customHeight="1">
      <c r="A48" s="183"/>
      <c r="B48" s="25"/>
      <c r="C48" s="184"/>
      <c r="D48" s="25"/>
      <c r="E48" s="25"/>
      <c r="F48" s="25"/>
      <c r="G48" s="25"/>
      <c r="H48" s="25"/>
      <c r="I48" s="25"/>
      <c r="J48" s="95"/>
      <c r="K48" s="95"/>
      <c r="L48" s="95"/>
      <c r="M48" s="95"/>
      <c r="N48" s="95"/>
      <c r="O48" s="95"/>
      <c r="P48" s="95"/>
      <c r="Q48" s="95"/>
      <c r="R48" s="95"/>
      <c r="S48" s="13"/>
      <c r="T48" s="40"/>
      <c r="U48" s="17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</row>
    <row r="49" spans="1:99" ht="14.1" customHeight="1">
      <c r="A49" s="30"/>
      <c r="B49" s="176"/>
      <c r="C49" s="185"/>
      <c r="D49" s="33"/>
      <c r="E49" s="40"/>
      <c r="F49" s="40"/>
      <c r="G49" s="40"/>
      <c r="H49" s="40"/>
      <c r="I49" s="40"/>
      <c r="J49" s="40"/>
      <c r="K49" s="40"/>
      <c r="L49" s="40"/>
      <c r="M49" s="30"/>
      <c r="N49" s="40"/>
      <c r="O49" s="40"/>
      <c r="P49" s="40"/>
      <c r="Q49" s="30"/>
      <c r="R49" s="30"/>
      <c r="T49" s="40"/>
      <c r="U49" s="173"/>
    </row>
    <row r="50" spans="1:99" ht="14.1" customHeight="1">
      <c r="A50" s="30"/>
      <c r="B50" s="176"/>
      <c r="C50" s="185"/>
      <c r="D50" s="33"/>
      <c r="E50" s="40"/>
      <c r="F50" s="40"/>
      <c r="G50" s="40"/>
      <c r="H50" s="40"/>
      <c r="I50" s="40"/>
      <c r="J50" s="40"/>
      <c r="K50" s="40"/>
      <c r="L50" s="40"/>
      <c r="M50" s="30"/>
      <c r="N50" s="40"/>
      <c r="O50" s="40"/>
      <c r="P50" s="40"/>
      <c r="Q50" s="30"/>
      <c r="R50" s="30"/>
      <c r="T50" s="40"/>
      <c r="U50" s="173"/>
    </row>
    <row r="51" spans="1:99" ht="14.1" customHeight="1">
      <c r="A51" s="30"/>
      <c r="B51" s="176"/>
      <c r="C51" s="185"/>
      <c r="D51" s="33"/>
      <c r="E51" s="40"/>
      <c r="F51" s="40"/>
      <c r="G51" s="40"/>
      <c r="H51" s="40"/>
      <c r="I51" s="40"/>
      <c r="J51" s="40"/>
      <c r="K51" s="40"/>
      <c r="L51" s="40"/>
      <c r="M51" s="19"/>
      <c r="N51" s="40"/>
      <c r="O51" s="40"/>
      <c r="P51" s="40"/>
      <c r="Q51" s="30"/>
      <c r="R51" s="30"/>
      <c r="T51" s="40"/>
      <c r="U51" s="173"/>
    </row>
    <row r="52" spans="1:99" ht="14.1" customHeight="1">
      <c r="A52" s="30"/>
      <c r="B52" s="176"/>
      <c r="C52" s="185"/>
      <c r="D52" s="33"/>
      <c r="E52" s="40"/>
      <c r="F52" s="40"/>
      <c r="G52" s="40"/>
      <c r="H52" s="40"/>
      <c r="I52" s="40"/>
      <c r="J52" s="40"/>
      <c r="K52" s="40"/>
      <c r="L52" s="40"/>
      <c r="M52" s="19"/>
      <c r="N52" s="40"/>
      <c r="O52" s="40"/>
      <c r="P52" s="40"/>
      <c r="Q52" s="30"/>
      <c r="R52" s="30"/>
      <c r="U52" s="173"/>
    </row>
    <row r="53" spans="1:99" ht="14.1" customHeight="1">
      <c r="A53" s="30"/>
      <c r="B53" s="176"/>
      <c r="C53" s="186"/>
      <c r="D53" s="33"/>
      <c r="E53" s="33"/>
      <c r="F53" s="33"/>
      <c r="G53" s="33"/>
      <c r="H53" s="33"/>
      <c r="I53" s="33"/>
      <c r="J53" s="187"/>
      <c r="K53" s="188"/>
      <c r="L53" s="40"/>
      <c r="M53" s="19"/>
      <c r="N53" s="40"/>
      <c r="O53" s="40"/>
      <c r="P53" s="40"/>
      <c r="Q53" s="30"/>
      <c r="R53" s="30"/>
      <c r="U53" s="173"/>
    </row>
    <row r="54" spans="1:99" ht="14.1" customHeight="1">
      <c r="A54" s="70"/>
      <c r="B54" s="189"/>
      <c r="C54" s="36"/>
      <c r="D54" s="33"/>
      <c r="E54" s="33"/>
      <c r="F54" s="33"/>
      <c r="G54" s="33"/>
      <c r="H54" s="33"/>
      <c r="I54" s="33"/>
      <c r="J54" s="132"/>
      <c r="K54" s="74"/>
      <c r="L54" s="74"/>
      <c r="M54" s="19"/>
      <c r="N54" s="19"/>
      <c r="O54" s="74"/>
      <c r="P54" s="74"/>
      <c r="Q54" s="30"/>
      <c r="R54" s="30"/>
      <c r="U54" s="173"/>
    </row>
    <row r="55" spans="1:99" ht="14.1" customHeight="1">
      <c r="A55" s="70"/>
      <c r="B55" s="189"/>
      <c r="C55" s="36"/>
      <c r="D55" s="33"/>
      <c r="E55" s="33"/>
      <c r="F55" s="33"/>
      <c r="G55" s="33"/>
      <c r="H55" s="33"/>
      <c r="I55" s="33"/>
      <c r="J55" s="132"/>
      <c r="K55" s="74"/>
      <c r="L55" s="74"/>
      <c r="M55" s="19"/>
      <c r="N55" s="19"/>
      <c r="O55" s="74"/>
      <c r="P55" s="74"/>
      <c r="Q55" s="30"/>
      <c r="R55" s="30"/>
      <c r="U55" s="173"/>
    </row>
    <row r="56" spans="1:99" s="30" customFormat="1" ht="14.1" customHeight="1">
      <c r="A56" s="70"/>
      <c r="B56" s="189"/>
      <c r="C56" s="36"/>
      <c r="D56" s="33"/>
      <c r="E56" s="33"/>
      <c r="F56" s="33"/>
      <c r="G56" s="33"/>
      <c r="H56" s="33"/>
      <c r="I56" s="33"/>
      <c r="J56" s="132"/>
      <c r="K56" s="74"/>
      <c r="L56" s="74"/>
      <c r="M56" s="19"/>
      <c r="N56" s="19"/>
      <c r="O56" s="74"/>
      <c r="P56" s="74"/>
      <c r="S56" s="13"/>
      <c r="T56" s="13"/>
      <c r="U56" s="17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</row>
    <row r="57" spans="1:99" ht="14.1" customHeight="1">
      <c r="A57" s="70"/>
      <c r="B57" s="189"/>
      <c r="C57" s="36"/>
      <c r="D57" s="33"/>
      <c r="E57" s="33"/>
      <c r="F57" s="33"/>
      <c r="G57" s="33"/>
      <c r="H57" s="33"/>
      <c r="I57" s="33"/>
      <c r="J57" s="132"/>
      <c r="K57" s="74"/>
      <c r="L57" s="74"/>
      <c r="M57" s="19"/>
      <c r="N57" s="19"/>
      <c r="O57" s="74"/>
      <c r="P57" s="74"/>
      <c r="Q57" s="30"/>
      <c r="R57" s="30"/>
      <c r="U57" s="173"/>
    </row>
    <row r="58" spans="1:99" ht="14.1" customHeight="1">
      <c r="A58" s="183"/>
      <c r="B58" s="25"/>
      <c r="C58" s="184"/>
      <c r="D58" s="25"/>
      <c r="E58" s="25"/>
      <c r="F58" s="25"/>
      <c r="G58" s="25"/>
      <c r="H58" s="25"/>
      <c r="I58" s="25"/>
      <c r="J58" s="95"/>
      <c r="K58" s="95"/>
      <c r="L58" s="95"/>
      <c r="M58" s="95"/>
      <c r="N58" s="95"/>
      <c r="O58" s="95"/>
      <c r="P58" s="95"/>
      <c r="Q58" s="95"/>
      <c r="R58" s="95"/>
      <c r="U58" s="173"/>
    </row>
    <row r="59" spans="1:99" s="115" customFormat="1" ht="14.1" customHeight="1">
      <c r="A59" s="40"/>
      <c r="B59" s="40"/>
      <c r="C59" s="40"/>
      <c r="D59" s="19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13"/>
      <c r="T59" s="13"/>
      <c r="U59" s="17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</row>
    <row r="60" spans="1:99" s="30" customFormat="1" ht="14.1" customHeight="1">
      <c r="A60" s="191"/>
      <c r="B60" s="40"/>
      <c r="C60" s="40"/>
      <c r="D60" s="19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13"/>
      <c r="T60" s="13"/>
      <c r="U60" s="17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</row>
    <row r="61" spans="1:99" ht="14.1" customHeight="1">
      <c r="A61" s="40"/>
      <c r="B61" s="40"/>
      <c r="C61" s="40"/>
      <c r="D61" s="19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U61" s="173"/>
    </row>
    <row r="62" spans="1:99" ht="14.1" customHeight="1">
      <c r="A62" s="40"/>
      <c r="B62" s="40"/>
      <c r="C62" s="40"/>
      <c r="D62" s="19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U62" s="173"/>
    </row>
    <row r="63" spans="1:99" ht="14.1" customHeight="1">
      <c r="A63" s="40"/>
      <c r="B63" s="40"/>
      <c r="C63" s="40"/>
      <c r="D63" s="19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U63" s="173"/>
    </row>
    <row r="64" spans="1:99" s="156" customFormat="1" ht="14.1" customHeight="1">
      <c r="A64" s="30"/>
      <c r="B64" s="189"/>
      <c r="C64" s="36"/>
      <c r="D64" s="33"/>
      <c r="E64" s="189"/>
      <c r="F64" s="189"/>
      <c r="G64" s="19"/>
      <c r="H64" s="30"/>
      <c r="I64" s="30"/>
      <c r="J64" s="30"/>
      <c r="K64" s="30"/>
      <c r="L64" s="30"/>
      <c r="M64" s="30"/>
      <c r="N64" s="19"/>
      <c r="O64" s="30"/>
      <c r="P64" s="30"/>
      <c r="Q64" s="40"/>
      <c r="R64" s="40"/>
      <c r="S64" s="13"/>
      <c r="T64" s="13"/>
      <c r="U64" s="17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</row>
    <row r="65" spans="1:21" s="13" customFormat="1" ht="14.1" customHeight="1">
      <c r="A65" s="30"/>
      <c r="B65" s="189"/>
      <c r="C65" s="36"/>
      <c r="D65" s="33"/>
      <c r="E65" s="189"/>
      <c r="F65" s="189"/>
      <c r="G65" s="19"/>
      <c r="H65" s="30"/>
      <c r="I65" s="30"/>
      <c r="J65" s="30"/>
      <c r="K65" s="30"/>
      <c r="L65" s="30"/>
      <c r="M65" s="30"/>
      <c r="N65" s="19"/>
      <c r="O65" s="30"/>
      <c r="P65" s="30"/>
      <c r="Q65" s="40"/>
      <c r="R65" s="40"/>
      <c r="U65" s="173"/>
    </row>
    <row r="66" spans="1:21" s="13" customFormat="1" ht="14.1" customHeight="1">
      <c r="A66" s="12"/>
      <c r="B66" s="192"/>
      <c r="C66" s="65"/>
      <c r="D66" s="66"/>
      <c r="E66" s="192"/>
      <c r="F66" s="192"/>
      <c r="G66" s="68"/>
      <c r="H66" s="12"/>
      <c r="I66" s="12"/>
      <c r="J66" s="12"/>
      <c r="K66" s="12"/>
      <c r="L66" s="12"/>
      <c r="M66" s="12"/>
      <c r="N66" s="68"/>
      <c r="O66" s="12"/>
      <c r="P66" s="12"/>
      <c r="U66" s="173"/>
    </row>
    <row r="67" spans="1:21" ht="14.1" customHeight="1">
      <c r="C67" s="65"/>
      <c r="U67" s="173"/>
    </row>
    <row r="68" spans="1:21" ht="14.1" customHeight="1">
      <c r="A68" s="13"/>
      <c r="B68" s="13"/>
      <c r="C68" s="13"/>
      <c r="D68" s="97"/>
      <c r="E68" s="13"/>
      <c r="F68" s="13"/>
      <c r="G68" s="13"/>
      <c r="H68" s="13"/>
      <c r="I68" s="13"/>
      <c r="J68" s="13"/>
      <c r="M68" s="13"/>
      <c r="N68" s="13"/>
      <c r="O68" s="13"/>
      <c r="P68" s="13"/>
      <c r="U68" s="173"/>
    </row>
    <row r="69" spans="1:21" ht="14.1" customHeight="1">
      <c r="A69" s="13"/>
      <c r="B69" s="13"/>
      <c r="C69" s="13"/>
      <c r="D69" s="97"/>
      <c r="E69" s="13"/>
      <c r="F69" s="13"/>
      <c r="G69" s="13"/>
      <c r="H69" s="13"/>
      <c r="I69" s="13"/>
      <c r="J69" s="13"/>
      <c r="M69" s="13"/>
      <c r="N69" s="13"/>
      <c r="O69" s="13"/>
      <c r="P69" s="13"/>
      <c r="U69" s="173"/>
    </row>
    <row r="70" spans="1:21" ht="14.1" customHeight="1">
      <c r="C70" s="65"/>
      <c r="U70" s="173"/>
    </row>
    <row r="71" spans="1:21" ht="14.1" customHeight="1">
      <c r="C71" s="65"/>
      <c r="Q71" s="13"/>
      <c r="R71" s="13"/>
    </row>
    <row r="72" spans="1:21" ht="14.1" customHeight="1">
      <c r="C72" s="65"/>
      <c r="Q72" s="13"/>
      <c r="R72" s="13"/>
    </row>
    <row r="73" spans="1:21" ht="14.1" customHeight="1">
      <c r="C73" s="65"/>
    </row>
    <row r="74" spans="1:21" ht="14.1" customHeight="1">
      <c r="C74" s="65"/>
    </row>
  </sheetData>
  <pageMargins left="0.75" right="0.5" top="1" bottom="0.5" header="0.5" footer="0.5"/>
  <pageSetup scale="70" orientation="landscape" r:id="rId1"/>
  <headerFooter alignWithMargins="0">
    <oddHeader>&amp;R&amp;D</oddHeader>
  </headerFooter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U74"/>
  <sheetViews>
    <sheetView topLeftCell="K1" zoomScale="87" zoomScaleNormal="87" workbookViewId="0">
      <selection activeCell="AB11" sqref="AB11:CQ11"/>
    </sheetView>
  </sheetViews>
  <sheetFormatPr defaultColWidth="13.7109375" defaultRowHeight="14.1" customHeight="1"/>
  <cols>
    <col min="1" max="1" width="6.28515625" style="12" customWidth="1"/>
    <col min="2" max="2" width="16.5703125" style="192" customWidth="1"/>
    <col min="3" max="3" width="8.28515625" style="12" customWidth="1"/>
    <col min="4" max="4" width="11.140625" style="66" customWidth="1"/>
    <col min="5" max="5" width="12.85546875" style="192" customWidth="1"/>
    <col min="6" max="6" width="9.28515625" style="192" customWidth="1"/>
    <col min="7" max="7" width="9.140625" style="68" customWidth="1"/>
    <col min="8" max="8" width="10.85546875" style="12" customWidth="1"/>
    <col min="9" max="9" width="13.140625" style="12" customWidth="1"/>
    <col min="10" max="10" width="12.28515625" style="12" customWidth="1"/>
    <col min="11" max="11" width="10.140625" style="12" customWidth="1"/>
    <col min="12" max="12" width="14.42578125" style="12" customWidth="1"/>
    <col min="13" max="13" width="8.85546875" style="12" customWidth="1"/>
    <col min="14" max="14" width="17.140625" style="68" customWidth="1"/>
    <col min="15" max="15" width="15.7109375" style="12" customWidth="1"/>
    <col min="16" max="16" width="10.85546875" style="12" customWidth="1"/>
    <col min="17" max="17" width="6.140625" style="12" customWidth="1"/>
    <col min="18" max="18" width="7.28515625" style="12" customWidth="1"/>
    <col min="19" max="19" width="12" style="13" customWidth="1"/>
    <col min="20" max="20" width="10.42578125" style="13" customWidth="1"/>
    <col min="21" max="21" width="13.7109375" style="13" customWidth="1"/>
    <col min="22" max="22" width="2.5703125" style="13" customWidth="1"/>
    <col min="23" max="29" width="13.7109375" style="13" customWidth="1"/>
    <col min="30" max="31" width="25" style="13" customWidth="1"/>
    <col min="32" max="34" width="13.7109375" style="13" customWidth="1"/>
    <col min="35" max="35" width="19.85546875" style="13" customWidth="1"/>
    <col min="36" max="36" width="19.5703125" style="13" customWidth="1"/>
    <col min="37" max="37" width="27.42578125" style="13" customWidth="1"/>
    <col min="38" max="38" width="31.42578125" style="13" customWidth="1"/>
    <col min="39" max="39" width="31.28515625" style="13" customWidth="1"/>
    <col min="40" max="45" width="27.42578125" style="13" customWidth="1"/>
    <col min="46" max="46" width="31.28515625" style="13" customWidth="1"/>
    <col min="47" max="47" width="35.42578125" style="13" customWidth="1"/>
    <col min="48" max="50" width="13.7109375" style="13" customWidth="1"/>
    <col min="51" max="52" width="17.28515625" style="13" customWidth="1"/>
    <col min="53" max="60" width="17.5703125" style="13" customWidth="1"/>
    <col min="61" max="65" width="20.42578125" style="13" customWidth="1"/>
    <col min="66" max="68" width="13.7109375" style="13" customWidth="1"/>
    <col min="69" max="69" width="18.7109375" style="13" customWidth="1"/>
    <col min="70" max="72" width="13.7109375" style="13" customWidth="1"/>
    <col min="73" max="73" width="17.28515625" style="13" customWidth="1"/>
    <col min="74" max="74" width="16.85546875" style="13" customWidth="1"/>
    <col min="75" max="75" width="13.7109375" style="13" customWidth="1"/>
    <col min="76" max="76" width="17" style="13" customWidth="1"/>
    <col min="77" max="81" width="17.85546875" style="13" customWidth="1"/>
    <col min="82" max="92" width="13.7109375" style="13" customWidth="1"/>
    <col min="93" max="93" width="26.140625" style="13" customWidth="1"/>
    <col min="94" max="94" width="25.7109375" style="13" customWidth="1"/>
    <col min="95" max="95" width="22.85546875" style="13" customWidth="1"/>
    <col min="96" max="99" width="13.7109375" style="13" customWidth="1"/>
    <col min="100" max="16384" width="13.7109375" style="12"/>
  </cols>
  <sheetData>
    <row r="1" spans="1:99" ht="14.1" customHeight="1">
      <c r="A1" s="1" t="s">
        <v>0</v>
      </c>
      <c r="B1" s="2" t="s">
        <v>169</v>
      </c>
      <c r="C1" s="3" t="s">
        <v>1</v>
      </c>
      <c r="D1" s="4" t="s">
        <v>165</v>
      </c>
      <c r="E1" s="1" t="s">
        <v>2</v>
      </c>
      <c r="F1" s="1"/>
      <c r="G1" s="5">
        <v>19</v>
      </c>
      <c r="H1" s="6"/>
      <c r="I1" s="6" t="s">
        <v>3</v>
      </c>
      <c r="J1" s="5">
        <v>178</v>
      </c>
      <c r="K1" s="7"/>
      <c r="L1" s="7"/>
      <c r="M1" s="8" t="s">
        <v>4</v>
      </c>
      <c r="N1" s="9">
        <f>((AVERAGE(W7:W8))*20)</f>
        <v>7666270</v>
      </c>
      <c r="O1" s="10">
        <f>(O3*20)</f>
        <v>8010791.9891999997</v>
      </c>
      <c r="P1" s="10"/>
      <c r="Q1" s="11" t="s">
        <v>5</v>
      </c>
      <c r="S1" s="13">
        <v>-120</v>
      </c>
      <c r="T1" s="13" t="s">
        <v>6</v>
      </c>
      <c r="U1" s="14">
        <v>38.840000000000003</v>
      </c>
      <c r="V1" s="15"/>
      <c r="W1" s="15" t="s">
        <v>7</v>
      </c>
    </row>
    <row r="2" spans="1:99" ht="14.1" customHeight="1" thickBot="1">
      <c r="A2" s="16" t="s">
        <v>8</v>
      </c>
      <c r="B2" s="17">
        <v>42628</v>
      </c>
      <c r="C2" s="3" t="s">
        <v>9</v>
      </c>
      <c r="D2" s="18">
        <v>51</v>
      </c>
      <c r="E2" s="3" t="s">
        <v>10</v>
      </c>
      <c r="F2" s="3"/>
      <c r="G2" s="19">
        <f>D2/(D3/100*D3/100)</f>
        <v>18.710096591790816</v>
      </c>
      <c r="H2" s="13"/>
      <c r="I2" s="20" t="s">
        <v>11</v>
      </c>
      <c r="J2" s="21"/>
      <c r="K2" s="22"/>
      <c r="L2" s="23"/>
      <c r="M2" s="24" t="s">
        <v>12</v>
      </c>
      <c r="N2" s="25">
        <f>(O1*0.068)</f>
        <v>544733.85526560002</v>
      </c>
      <c r="O2" s="13"/>
      <c r="P2" s="13"/>
      <c r="Q2" s="11"/>
      <c r="R2" s="26"/>
      <c r="T2" s="13" t="s">
        <v>6</v>
      </c>
      <c r="U2" s="14">
        <v>33.82</v>
      </c>
      <c r="V2" s="15"/>
      <c r="W2" s="27">
        <v>137984.6</v>
      </c>
    </row>
    <row r="3" spans="1:99" ht="14.1" customHeight="1" thickTop="1" thickBot="1">
      <c r="A3" s="16" t="s">
        <v>13</v>
      </c>
      <c r="B3" s="28" t="s">
        <v>167</v>
      </c>
      <c r="C3" s="3" t="s">
        <v>15</v>
      </c>
      <c r="D3" s="29">
        <v>165.1</v>
      </c>
      <c r="E3" s="3" t="s">
        <v>16</v>
      </c>
      <c r="F3" s="3"/>
      <c r="G3" s="19">
        <f>SQRT(((D2*D3)/3600))</f>
        <v>1.5293517145073814</v>
      </c>
      <c r="H3" s="13"/>
      <c r="I3" s="20"/>
      <c r="J3" s="30"/>
      <c r="K3" s="30"/>
      <c r="L3" s="30"/>
      <c r="M3" s="31" t="s">
        <v>17</v>
      </c>
      <c r="N3" s="32">
        <f>($O$1/$N$1)*100</f>
        <v>104.49399759204931</v>
      </c>
      <c r="O3" s="33">
        <f>((AVERAGE(W2:W5))*2.85714)</f>
        <v>400539.59946</v>
      </c>
      <c r="P3" s="33"/>
      <c r="Q3" s="34" t="s">
        <v>18</v>
      </c>
      <c r="R3" s="13"/>
      <c r="T3" s="13">
        <v>-30</v>
      </c>
      <c r="U3" s="14">
        <v>537.45000000000005</v>
      </c>
      <c r="V3" s="15"/>
      <c r="W3" s="27">
        <v>138767.5</v>
      </c>
    </row>
    <row r="4" spans="1:99" ht="14.1" customHeight="1" thickTop="1">
      <c r="B4" s="35"/>
      <c r="C4" s="3" t="s">
        <v>19</v>
      </c>
      <c r="D4" s="19">
        <v>40.308</v>
      </c>
      <c r="E4" s="37" t="s">
        <v>20</v>
      </c>
      <c r="F4" s="37"/>
      <c r="G4" s="38">
        <v>0.17799999999999999</v>
      </c>
      <c r="H4" s="13"/>
      <c r="I4" s="20"/>
      <c r="J4" s="30"/>
      <c r="K4" s="30"/>
      <c r="L4" s="30"/>
      <c r="M4" s="33"/>
      <c r="N4" s="39"/>
      <c r="O4" s="30"/>
      <c r="P4" s="30"/>
      <c r="Q4" s="30"/>
      <c r="R4" s="30"/>
      <c r="U4" s="14">
        <v>555.54999999999995</v>
      </c>
      <c r="V4" s="15"/>
      <c r="W4" s="27">
        <v>141272.9</v>
      </c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</row>
    <row r="5" spans="1:99" ht="14.1" customHeight="1" thickBot="1">
      <c r="A5" s="16"/>
      <c r="B5" s="30"/>
      <c r="C5" s="3"/>
      <c r="D5" s="41" t="s">
        <v>21</v>
      </c>
      <c r="E5" s="42">
        <f>AVERAGE(U1:U2)</f>
        <v>36.33</v>
      </c>
      <c r="F5" s="42"/>
      <c r="G5" s="19"/>
      <c r="H5" s="30"/>
      <c r="I5" s="30"/>
      <c r="J5" s="43" t="s">
        <v>22</v>
      </c>
      <c r="K5" s="43"/>
      <c r="L5" s="44" t="s">
        <v>23</v>
      </c>
      <c r="M5" s="45"/>
      <c r="N5" s="43" t="s">
        <v>22</v>
      </c>
      <c r="O5" s="44" t="s">
        <v>23</v>
      </c>
      <c r="P5" s="44" t="s">
        <v>24</v>
      </c>
      <c r="Q5" s="46"/>
      <c r="R5" s="46"/>
      <c r="T5" s="13">
        <v>-20</v>
      </c>
      <c r="U5" s="14">
        <v>550.05999999999995</v>
      </c>
      <c r="V5" s="15"/>
      <c r="W5" s="27">
        <v>142731</v>
      </c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</row>
    <row r="6" spans="1:99" s="1" customFormat="1" ht="14.1" customHeight="1">
      <c r="A6" s="47" t="s">
        <v>25</v>
      </c>
      <c r="B6" s="48" t="s">
        <v>26</v>
      </c>
      <c r="C6" s="48"/>
      <c r="D6" s="49" t="s">
        <v>27</v>
      </c>
      <c r="E6" s="48" t="s">
        <v>28</v>
      </c>
      <c r="F6" s="48"/>
      <c r="G6" s="48" t="s">
        <v>29</v>
      </c>
      <c r="H6" s="50" t="s">
        <v>30</v>
      </c>
      <c r="I6" s="50"/>
      <c r="J6" s="51" t="s">
        <v>31</v>
      </c>
      <c r="K6" s="52"/>
      <c r="L6" s="52" t="s">
        <v>31</v>
      </c>
      <c r="M6" s="52" t="s">
        <v>32</v>
      </c>
      <c r="N6" s="52" t="s">
        <v>33</v>
      </c>
      <c r="O6" s="53" t="s">
        <v>34</v>
      </c>
      <c r="P6" s="54"/>
      <c r="Q6" s="55"/>
      <c r="R6" s="55"/>
      <c r="S6" s="13"/>
      <c r="T6" s="13"/>
      <c r="U6" s="14">
        <v>510.94</v>
      </c>
      <c r="V6" s="15"/>
      <c r="W6" s="56" t="s">
        <v>35</v>
      </c>
      <c r="X6" s="13" t="s">
        <v>36</v>
      </c>
      <c r="Y6" s="57" t="s">
        <v>37</v>
      </c>
      <c r="Z6" s="58" t="s">
        <v>38</v>
      </c>
      <c r="AA6" s="40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60"/>
      <c r="AY6" s="60"/>
      <c r="AZ6" s="60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60"/>
      <c r="BO6" s="60"/>
      <c r="BP6" s="60"/>
      <c r="BQ6" s="59"/>
      <c r="BR6" s="59"/>
      <c r="BS6" s="59"/>
      <c r="BT6" s="59"/>
      <c r="BU6" s="59"/>
      <c r="BV6" s="59"/>
      <c r="BW6" s="59"/>
      <c r="BX6" s="59"/>
      <c r="BY6" s="59"/>
      <c r="BZ6" s="61"/>
      <c r="CA6" s="61"/>
      <c r="CB6" s="61"/>
      <c r="CC6" s="61"/>
      <c r="CD6" s="40"/>
      <c r="CE6" s="61"/>
      <c r="CF6" s="61"/>
      <c r="CG6" s="33"/>
      <c r="CH6" s="40"/>
      <c r="CI6" s="30"/>
      <c r="CJ6" s="30"/>
      <c r="CK6" s="30"/>
      <c r="CL6" s="30"/>
      <c r="CM6" s="30"/>
      <c r="CN6" s="30"/>
      <c r="CO6" s="30"/>
      <c r="CP6" s="62"/>
      <c r="CQ6" s="62"/>
      <c r="CR6" s="13"/>
      <c r="CS6" s="13"/>
      <c r="CT6" s="13"/>
      <c r="CU6" s="13"/>
    </row>
    <row r="7" spans="1:99" ht="14.1" customHeight="1">
      <c r="A7" s="63">
        <v>-30</v>
      </c>
      <c r="B7" s="64">
        <v>95</v>
      </c>
      <c r="C7" s="65"/>
      <c r="D7" s="42">
        <f>AVERAGE(U3:U4)</f>
        <v>546.5</v>
      </c>
      <c r="E7" s="66">
        <f>D7-$E$5</f>
        <v>510.17</v>
      </c>
      <c r="F7" s="66"/>
      <c r="G7" s="66">
        <f>($E7*7.1425)</f>
        <v>3643.8892250000004</v>
      </c>
      <c r="H7" s="66">
        <f>($G7/($B7*0.01))</f>
        <v>3835.672868421053</v>
      </c>
      <c r="I7" s="66"/>
      <c r="J7" s="67">
        <f>$N$2/$H7/$D$2</f>
        <v>2.7846629136537486</v>
      </c>
      <c r="K7" s="67"/>
      <c r="L7" s="67">
        <f>J7/($D$4/$D$2)</f>
        <v>3.5233156841406466</v>
      </c>
      <c r="N7" s="68">
        <f>J7-M7</f>
        <v>2.7846629136537486</v>
      </c>
      <c r="O7" s="67">
        <f>N7/($D$4/$D$2)</f>
        <v>3.5233156841406466</v>
      </c>
      <c r="P7" s="67"/>
      <c r="Q7" s="30"/>
      <c r="R7" s="30"/>
      <c r="T7" s="13">
        <v>-10</v>
      </c>
      <c r="U7" s="14">
        <v>520.45000000000005</v>
      </c>
      <c r="V7" s="15"/>
      <c r="W7" s="27">
        <v>389498.2</v>
      </c>
      <c r="X7" s="69">
        <v>1.6779999999999999</v>
      </c>
      <c r="Y7" s="70">
        <v>-30</v>
      </c>
      <c r="Z7" s="71">
        <v>12.558999999999999</v>
      </c>
      <c r="AA7" s="40"/>
      <c r="AB7" s="72"/>
      <c r="AC7" s="72"/>
      <c r="AD7" s="72"/>
      <c r="AE7" s="72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19"/>
      <c r="AY7" s="74"/>
      <c r="AZ7" s="74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</row>
    <row r="8" spans="1:99" ht="14.1" customHeight="1">
      <c r="A8" s="63">
        <v>-20</v>
      </c>
      <c r="B8" s="64">
        <v>93</v>
      </c>
      <c r="C8" s="65"/>
      <c r="D8" s="66">
        <f>AVERAGE(U5:U6)</f>
        <v>530.5</v>
      </c>
      <c r="E8" s="66">
        <f>D8-$E$5</f>
        <v>494.17</v>
      </c>
      <c r="F8" s="66"/>
      <c r="G8" s="66">
        <f>($E8*7.1425)</f>
        <v>3529.6092250000002</v>
      </c>
      <c r="H8" s="66">
        <f>($G8/($B8*0.01))</f>
        <v>3795.2787365591398</v>
      </c>
      <c r="I8" s="66"/>
      <c r="J8" s="67">
        <f>$N$2/H8/$D$2</f>
        <v>2.8143008002842014</v>
      </c>
      <c r="K8" s="67"/>
      <c r="L8" s="67">
        <f>J8/($D$4/$D$2)</f>
        <v>3.5608152429913233</v>
      </c>
      <c r="N8" s="68">
        <f>J8-M8</f>
        <v>2.8143008002842014</v>
      </c>
      <c r="O8" s="67">
        <f>N8/($D$4/$D$2)</f>
        <v>3.5608152429913233</v>
      </c>
      <c r="P8" s="67"/>
      <c r="Q8" s="30"/>
      <c r="R8" s="30"/>
      <c r="U8" s="14">
        <v>541.20000000000005</v>
      </c>
      <c r="V8" s="15"/>
      <c r="W8" s="27">
        <v>377128.8</v>
      </c>
      <c r="X8" s="69">
        <v>1.048</v>
      </c>
      <c r="Y8" s="70">
        <v>-20</v>
      </c>
      <c r="Z8" s="71">
        <v>9.8687000000000005</v>
      </c>
      <c r="AA8" s="40"/>
      <c r="AB8" s="72"/>
      <c r="AC8" s="72"/>
      <c r="AD8" s="72"/>
      <c r="AE8" s="72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19"/>
      <c r="AY8" s="74"/>
      <c r="AZ8" s="74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</row>
    <row r="9" spans="1:99" ht="14.1" customHeight="1" thickBot="1">
      <c r="A9" s="63">
        <v>-10</v>
      </c>
      <c r="B9" s="75">
        <v>94</v>
      </c>
      <c r="C9" s="65"/>
      <c r="D9" s="66">
        <f>AVERAGE(U7:U8)</f>
        <v>530.82500000000005</v>
      </c>
      <c r="E9" s="66">
        <f>D9-$E$5</f>
        <v>494.49500000000006</v>
      </c>
      <c r="F9" s="66"/>
      <c r="G9" s="66">
        <f>($E9*7.1425)</f>
        <v>3531.9305375000004</v>
      </c>
      <c r="H9" s="66">
        <f>($G9/($B9*0.01))</f>
        <v>3757.3729122340428</v>
      </c>
      <c r="I9" s="66"/>
      <c r="J9" s="67">
        <f>$N$2/H9/$D$2</f>
        <v>2.8426925501119085</v>
      </c>
      <c r="K9" s="67"/>
      <c r="L9" s="67">
        <f>J9/($D$4/$D$2)</f>
        <v>3.5967381178849691</v>
      </c>
      <c r="N9" s="68">
        <f>J9-M9</f>
        <v>2.8426925501119085</v>
      </c>
      <c r="O9" s="67">
        <f>N9/($D$4/$D$2)</f>
        <v>3.5967381178849691</v>
      </c>
      <c r="P9" s="67"/>
      <c r="Q9" s="30"/>
      <c r="R9" s="30"/>
      <c r="T9" s="13">
        <v>-5</v>
      </c>
      <c r="U9" s="14">
        <v>542.61</v>
      </c>
      <c r="V9" s="15"/>
      <c r="W9" s="76">
        <v>377381.5</v>
      </c>
      <c r="X9" s="69">
        <v>0.85099999999999998</v>
      </c>
      <c r="Y9" s="70">
        <v>-10</v>
      </c>
      <c r="Z9" s="71">
        <v>9.3962000000000003</v>
      </c>
      <c r="AA9" s="40"/>
      <c r="AB9" s="72"/>
      <c r="AC9" s="72"/>
      <c r="AD9" s="72"/>
      <c r="AE9" s="72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19"/>
      <c r="AY9" s="74"/>
      <c r="AZ9" s="74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</row>
    <row r="10" spans="1:99" s="80" customFormat="1" ht="14.1" customHeight="1">
      <c r="A10" s="77">
        <v>0</v>
      </c>
      <c r="B10" s="75">
        <v>93</v>
      </c>
      <c r="C10" s="65"/>
      <c r="D10" s="66">
        <f>AVERAGE(U11:U12)</f>
        <v>530.04</v>
      </c>
      <c r="E10" s="66">
        <f>D10-$E$5</f>
        <v>493.71</v>
      </c>
      <c r="F10" s="66"/>
      <c r="G10" s="78">
        <f>($E10*7.1425)</f>
        <v>3526.3236750000001</v>
      </c>
      <c r="H10" s="78">
        <f>($G10/($B10*0.01))</f>
        <v>3791.7458870967739</v>
      </c>
      <c r="I10" s="78"/>
      <c r="J10" s="79">
        <f>$N$2/H10/$D$2</f>
        <v>2.816922943583164</v>
      </c>
      <c r="K10" s="79"/>
      <c r="L10" s="67">
        <f>J10/($D$4/$D$2)</f>
        <v>3.5641329295112971</v>
      </c>
      <c r="N10" s="81">
        <f>J10-M10</f>
        <v>2.816922943583164</v>
      </c>
      <c r="O10" s="67">
        <f>N10/($D$4/$D$2)</f>
        <v>3.5641329295112971</v>
      </c>
      <c r="P10" s="67"/>
      <c r="Q10" s="30"/>
      <c r="R10" s="30"/>
      <c r="S10" s="13"/>
      <c r="T10" s="13" t="s">
        <v>39</v>
      </c>
      <c r="U10" s="14">
        <v>497.83</v>
      </c>
      <c r="V10" s="15"/>
      <c r="W10" s="15"/>
      <c r="X10" s="69">
        <v>1.462</v>
      </c>
      <c r="Y10" s="70">
        <v>0</v>
      </c>
      <c r="Z10" s="82">
        <v>13.471</v>
      </c>
      <c r="AA10" s="30"/>
      <c r="AB10" s="83" t="s">
        <v>40</v>
      </c>
      <c r="AC10" s="83" t="s">
        <v>41</v>
      </c>
      <c r="AD10" s="83" t="s">
        <v>42</v>
      </c>
      <c r="AE10" s="83" t="s">
        <v>43</v>
      </c>
      <c r="AF10" s="83" t="s">
        <v>44</v>
      </c>
      <c r="AG10" s="83" t="s">
        <v>45</v>
      </c>
      <c r="AH10" s="83" t="s">
        <v>46</v>
      </c>
      <c r="AI10" s="83" t="s">
        <v>47</v>
      </c>
      <c r="AJ10" s="83" t="s">
        <v>48</v>
      </c>
      <c r="AK10" s="83" t="s">
        <v>49</v>
      </c>
      <c r="AL10" s="83" t="s">
        <v>50</v>
      </c>
      <c r="AM10" s="83" t="s">
        <v>51</v>
      </c>
      <c r="AN10" s="83" t="s">
        <v>52</v>
      </c>
      <c r="AO10" s="83" t="s">
        <v>53</v>
      </c>
      <c r="AP10" s="83" t="s">
        <v>54</v>
      </c>
      <c r="AQ10" s="83" t="s">
        <v>55</v>
      </c>
      <c r="AR10" s="83" t="s">
        <v>56</v>
      </c>
      <c r="AS10" s="83" t="s">
        <v>57</v>
      </c>
      <c r="AT10" s="83" t="s">
        <v>58</v>
      </c>
      <c r="AU10" s="83" t="s">
        <v>59</v>
      </c>
      <c r="AV10" s="84" t="s">
        <v>60</v>
      </c>
      <c r="AW10" s="84" t="s">
        <v>61</v>
      </c>
      <c r="AX10" s="85" t="s">
        <v>62</v>
      </c>
      <c r="AY10" s="85" t="s">
        <v>63</v>
      </c>
      <c r="AZ10" s="85" t="s">
        <v>64</v>
      </c>
      <c r="BA10" s="86" t="s">
        <v>65</v>
      </c>
      <c r="BB10" s="86" t="s">
        <v>66</v>
      </c>
      <c r="BC10" s="86" t="s">
        <v>67</v>
      </c>
      <c r="BD10" s="86" t="s">
        <v>68</v>
      </c>
      <c r="BE10" s="86" t="s">
        <v>69</v>
      </c>
      <c r="BF10" s="86" t="s">
        <v>70</v>
      </c>
      <c r="BG10" s="86" t="s">
        <v>71</v>
      </c>
      <c r="BH10" s="86" t="s">
        <v>72</v>
      </c>
      <c r="BI10" s="86" t="s">
        <v>73</v>
      </c>
      <c r="BJ10" s="86" t="s">
        <v>74</v>
      </c>
      <c r="BK10" s="86" t="s">
        <v>75</v>
      </c>
      <c r="BL10" s="86" t="s">
        <v>76</v>
      </c>
      <c r="BM10" s="86" t="s">
        <v>77</v>
      </c>
      <c r="BN10" s="87" t="s">
        <v>78</v>
      </c>
      <c r="BO10" s="87" t="s">
        <v>79</v>
      </c>
      <c r="BP10" s="87" t="s">
        <v>80</v>
      </c>
      <c r="BQ10" s="88" t="s">
        <v>81</v>
      </c>
      <c r="BR10" s="88" t="s">
        <v>82</v>
      </c>
      <c r="BS10" s="88" t="s">
        <v>83</v>
      </c>
      <c r="BT10" s="88" t="s">
        <v>84</v>
      </c>
      <c r="BU10" s="88" t="s">
        <v>85</v>
      </c>
      <c r="BV10" s="88" t="s">
        <v>86</v>
      </c>
      <c r="BW10" s="88" t="s">
        <v>87</v>
      </c>
      <c r="BX10" s="88" t="s">
        <v>88</v>
      </c>
      <c r="BY10" s="88" t="s">
        <v>89</v>
      </c>
      <c r="BZ10" s="88" t="s">
        <v>90</v>
      </c>
      <c r="CA10" s="88" t="s">
        <v>91</v>
      </c>
      <c r="CB10" s="88" t="s">
        <v>92</v>
      </c>
      <c r="CC10" s="88" t="s">
        <v>93</v>
      </c>
      <c r="CD10" s="40"/>
      <c r="CE10" s="89" t="s">
        <v>94</v>
      </c>
      <c r="CF10" s="89" t="s">
        <v>95</v>
      </c>
      <c r="CG10" s="90" t="s">
        <v>96</v>
      </c>
      <c r="CH10" s="40"/>
      <c r="CI10" s="91" t="s">
        <v>97</v>
      </c>
      <c r="CJ10" s="91" t="s">
        <v>98</v>
      </c>
      <c r="CK10" s="91" t="s">
        <v>99</v>
      </c>
      <c r="CL10" s="91" t="s">
        <v>100</v>
      </c>
      <c r="CM10" s="91" t="s">
        <v>101</v>
      </c>
      <c r="CN10" s="91" t="s">
        <v>102</v>
      </c>
      <c r="CO10" s="91" t="s">
        <v>103</v>
      </c>
      <c r="CP10" s="92" t="s">
        <v>104</v>
      </c>
      <c r="CQ10" s="92" t="s">
        <v>105</v>
      </c>
      <c r="CR10" s="13"/>
      <c r="CS10" s="13"/>
      <c r="CT10" s="13"/>
      <c r="CU10" s="13"/>
    </row>
    <row r="11" spans="1:99" s="49" customFormat="1" ht="14.1" customHeight="1">
      <c r="A11" s="93" t="s">
        <v>106</v>
      </c>
      <c r="B11" s="49">
        <f>AVERAGE(B7:B10)</f>
        <v>93.75</v>
      </c>
      <c r="E11" s="50">
        <f>AVERAGE(E7:E10)</f>
        <v>498.13625000000002</v>
      </c>
      <c r="G11" s="50">
        <f>AVERAGE(G7:G10)</f>
        <v>3557.9381656250002</v>
      </c>
      <c r="H11" s="50">
        <f>AVERAGE(H7:H10)</f>
        <v>3795.0176010777523</v>
      </c>
      <c r="J11" s="94">
        <f>AVERAGE(J7:J10)</f>
        <v>2.8146448019082553</v>
      </c>
      <c r="K11" s="50" t="s">
        <v>39</v>
      </c>
      <c r="L11" s="50">
        <f>AVERAGE(L7:L10)</f>
        <v>3.561250493632059</v>
      </c>
      <c r="M11" s="50"/>
      <c r="N11" s="94">
        <f>AVERAGE(N7:N10)</f>
        <v>2.8146448019082553</v>
      </c>
      <c r="O11" s="50">
        <f>AVERAGE(O7:O10)</f>
        <v>3.561250493632059</v>
      </c>
      <c r="P11" s="95"/>
      <c r="Q11" s="95"/>
      <c r="R11" s="95"/>
      <c r="S11" s="6"/>
      <c r="T11" s="13">
        <v>0</v>
      </c>
      <c r="U11" s="14">
        <v>533.73</v>
      </c>
      <c r="V11" s="15"/>
      <c r="W11" s="15"/>
      <c r="X11" s="96">
        <f>AVERAGE(X7:X10)</f>
        <v>1.2597499999999999</v>
      </c>
      <c r="Y11" s="70" t="s">
        <v>107</v>
      </c>
      <c r="Z11" s="96">
        <f>AVERAGE(Z7:Z10)</f>
        <v>11.323725</v>
      </c>
      <c r="AA11" s="30"/>
      <c r="AB11" s="72">
        <f>J11</f>
        <v>2.8146448019082553</v>
      </c>
      <c r="AC11" s="73">
        <f>AB11/($D$4/$D$2)</f>
        <v>3.5612504936320586</v>
      </c>
      <c r="AD11" s="73">
        <f>AB11/Z11</f>
        <v>0.24856174111507082</v>
      </c>
      <c r="AE11" s="73">
        <f>AC11/Z11</f>
        <v>0.31449461141382884</v>
      </c>
      <c r="AF11" s="72">
        <f>N20</f>
        <v>0.75501709128350203</v>
      </c>
      <c r="AG11" s="72">
        <f>AF11/($D$4/$D$2)</f>
        <v>0.9552910502991615</v>
      </c>
      <c r="AH11" s="72">
        <f>AF11/Z18</f>
        <v>1.9299238560884575E-2</v>
      </c>
      <c r="AI11" s="72">
        <f>AG11/Z18</f>
        <v>2.4418506663816446E-2</v>
      </c>
      <c r="AJ11" s="73">
        <f>((AB11-AF11)/AB11)*100</f>
        <v>73.17540420121145</v>
      </c>
      <c r="AK11" s="73">
        <f>((AC11-AG11)/AC11)*100</f>
        <v>73.17540420121145</v>
      </c>
      <c r="AL11" s="73">
        <f>((AD11-AH11)/AD11)*100</f>
        <v>92.235635913110997</v>
      </c>
      <c r="AM11" s="73">
        <f>((AE11-AI11)/AE11)*100</f>
        <v>92.235635913110997</v>
      </c>
      <c r="AN11" s="72">
        <f>N29</f>
        <v>-1.4858912624820348</v>
      </c>
      <c r="AO11" s="72">
        <f>AN11/($D$4/$D$2)</f>
        <v>-1.8800350894756321</v>
      </c>
      <c r="AP11" s="72">
        <f>AN11/Z25</f>
        <v>-8.725446947526248E-3</v>
      </c>
      <c r="AQ11" s="72">
        <f>AO11/Z25</f>
        <v>-1.103993734057355E-2</v>
      </c>
      <c r="AR11" s="73">
        <f>((AB11-AN11)/AB11)*100</f>
        <v>152.79143078638694</v>
      </c>
      <c r="AS11" s="73">
        <f>((AC11-AO11)/AC11)*100</f>
        <v>152.79143078638694</v>
      </c>
      <c r="AT11" s="73">
        <f>((AD11-AP11)/AD11)*100</f>
        <v>103.51037408588428</v>
      </c>
      <c r="AU11" s="73">
        <f>((AE11-AQ11)/AE11)*100</f>
        <v>103.51037408588431</v>
      </c>
      <c r="AV11" s="72">
        <f>J11</f>
        <v>2.8146448019082553</v>
      </c>
      <c r="AW11" s="72">
        <f>AV11/($D$4/$D$2)</f>
        <v>3.5612504936320586</v>
      </c>
      <c r="AX11" s="95">
        <f>M20</f>
        <v>2.5013071895424837</v>
      </c>
      <c r="AY11" s="95">
        <f>AX11/($D$4/$D$2)</f>
        <v>3.1647977241904006</v>
      </c>
      <c r="AZ11" s="95">
        <f>AX11/Z11</f>
        <v>0.2208908455073294</v>
      </c>
      <c r="BA11" s="73">
        <f>AY11/Z11</f>
        <v>0.27948380274074131</v>
      </c>
      <c r="BB11" s="72">
        <f>P21</f>
        <v>2.6313071895424835</v>
      </c>
      <c r="BC11" s="73">
        <f>BB11/($D$4/$D$2)</f>
        <v>3.3292812014157653</v>
      </c>
      <c r="BD11" s="73">
        <f>BB11/Z18</f>
        <v>6.7259702812320646E-2</v>
      </c>
      <c r="BE11" s="73">
        <f>BC11/Z18</f>
        <v>8.5100844582424159E-2</v>
      </c>
      <c r="BF11" s="72">
        <f>K20</f>
        <v>3.2563242808259854</v>
      </c>
      <c r="BG11" s="73">
        <f>BF11/($D$4/$D$2)</f>
        <v>4.1200887744895613</v>
      </c>
      <c r="BH11" s="73">
        <f>BF11/Z18</f>
        <v>8.3235968897641843E-2</v>
      </c>
      <c r="BI11" s="73">
        <f>BG11/Z18</f>
        <v>0.1053149353423572</v>
      </c>
      <c r="BJ11" s="72">
        <f>J21</f>
        <v>3.1026655215745409</v>
      </c>
      <c r="BK11" s="73">
        <f>BJ11/($D$4/$D$2)</f>
        <v>3.9256708742756175</v>
      </c>
      <c r="BL11" s="73">
        <f>BJ11/Z18</f>
        <v>7.930824714670516E-2</v>
      </c>
      <c r="BM11" s="73">
        <f>BK11/Z18</f>
        <v>0.10034535587183595</v>
      </c>
      <c r="BN11" s="95">
        <f>M29</f>
        <v>9.307189542483659</v>
      </c>
      <c r="BO11" s="95">
        <f>BN11/($D$4/$D$2)</f>
        <v>11.775991531871256</v>
      </c>
      <c r="BP11" s="95">
        <f>BN11/Z25</f>
        <v>5.4653655105192538E-2</v>
      </c>
      <c r="BQ11" s="73">
        <f>BO11/Z25</f>
        <v>6.9150947959829789E-2</v>
      </c>
      <c r="BR11" s="72">
        <f>P30</f>
        <v>8.8738562091503255</v>
      </c>
      <c r="BS11" s="73">
        <f>BR11/($D$4/$D$2)</f>
        <v>11.227713274453373</v>
      </c>
      <c r="BT11" s="73">
        <f>BR11/Z25</f>
        <v>5.2109036191235893E-2</v>
      </c>
      <c r="BU11" s="73">
        <f>BS11/Z25</f>
        <v>6.5931349750745022E-2</v>
      </c>
      <c r="BV11" s="72">
        <f>K29</f>
        <v>8.1412329205245015</v>
      </c>
      <c r="BW11" s="73">
        <f>BV11/($D$4/$D$2)</f>
        <v>10.3007561513037</v>
      </c>
      <c r="BX11" s="73">
        <f>BV11/Z25</f>
        <v>4.7806927551907297E-2</v>
      </c>
      <c r="BY11" s="73">
        <f>BW11/Z25</f>
        <v>6.0488074455375407E-2</v>
      </c>
      <c r="BZ11" s="72">
        <f>J30</f>
        <v>6.6488506755546908</v>
      </c>
      <c r="CA11" s="73">
        <f>BZ11/($D$4/$D$2)</f>
        <v>8.4125082974419279</v>
      </c>
      <c r="CB11" s="73">
        <f>BZ11/Z25</f>
        <v>3.9043364273284378E-2</v>
      </c>
      <c r="CC11" s="73">
        <f>CA11/Z25</f>
        <v>4.9399910140356836E-2</v>
      </c>
      <c r="CD11" s="13"/>
      <c r="CE11" s="97">
        <f>B11</f>
        <v>93.75</v>
      </c>
      <c r="CF11" s="13">
        <f>Z11</f>
        <v>11.323725</v>
      </c>
      <c r="CG11" s="40">
        <f>((CE11/18)*CF11)/22.5</f>
        <v>2.6212326388888889</v>
      </c>
      <c r="CH11" s="40"/>
      <c r="CI11" s="40">
        <f>X28</f>
        <v>0</v>
      </c>
      <c r="CJ11" s="40">
        <f>X29</f>
        <v>0</v>
      </c>
      <c r="CK11" s="40">
        <f>X30</f>
        <v>0</v>
      </c>
      <c r="CL11" s="40">
        <f>X31</f>
        <v>0</v>
      </c>
      <c r="CM11" s="40">
        <f>X32</f>
        <v>0</v>
      </c>
      <c r="CN11" s="40">
        <f>X33</f>
        <v>0</v>
      </c>
      <c r="CO11" s="13">
        <f>X11</f>
        <v>1.2597499999999999</v>
      </c>
      <c r="CP11" s="13">
        <f>X18</f>
        <v>0.34939999999999999</v>
      </c>
      <c r="CQ11" s="13">
        <f>X25</f>
        <v>5.5599999999999997E-2</v>
      </c>
      <c r="CR11" s="13"/>
      <c r="CS11" s="13"/>
      <c r="CT11" s="13"/>
      <c r="CU11" s="13"/>
    </row>
    <row r="12" spans="1:99" ht="14.1" customHeight="1" thickBot="1">
      <c r="B12" s="98"/>
      <c r="C12" s="65"/>
      <c r="D12" s="99"/>
      <c r="E12" s="13"/>
      <c r="F12" s="13"/>
      <c r="G12" s="13"/>
      <c r="H12" s="13"/>
      <c r="I12" s="13"/>
      <c r="J12" s="6" t="s">
        <v>108</v>
      </c>
      <c r="K12" s="13"/>
      <c r="L12" s="13"/>
      <c r="M12" s="12" t="s">
        <v>39</v>
      </c>
      <c r="N12" s="13"/>
      <c r="O12" s="13"/>
      <c r="P12" s="13"/>
      <c r="Q12" s="30"/>
      <c r="R12" s="30"/>
      <c r="U12" s="14">
        <v>526.35</v>
      </c>
      <c r="V12" s="15"/>
      <c r="W12" s="15"/>
      <c r="Y12" s="70"/>
      <c r="Z12" s="96"/>
      <c r="AA12" s="30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30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40"/>
      <c r="CG12" s="40"/>
      <c r="CH12" s="40"/>
      <c r="CI12" s="40"/>
      <c r="CJ12" s="40"/>
      <c r="CK12" s="40"/>
      <c r="CL12" s="40"/>
      <c r="CM12" s="40"/>
      <c r="CN12" s="40"/>
    </row>
    <row r="13" spans="1:99" ht="14.1" customHeight="1" thickBot="1">
      <c r="B13" s="98"/>
      <c r="C13" s="65"/>
      <c r="D13" s="99"/>
      <c r="E13" s="13"/>
      <c r="F13" s="13"/>
      <c r="G13" s="13"/>
      <c r="H13" s="13"/>
      <c r="I13" s="13"/>
      <c r="J13" s="6"/>
      <c r="K13" s="13"/>
      <c r="L13" s="13"/>
      <c r="M13" s="100" t="s">
        <v>32</v>
      </c>
      <c r="N13" s="101"/>
      <c r="O13" s="101"/>
      <c r="P13" s="101"/>
      <c r="Q13" s="30"/>
      <c r="R13" s="102" t="s">
        <v>25</v>
      </c>
      <c r="S13" s="103" t="s">
        <v>109</v>
      </c>
      <c r="T13" s="13">
        <v>30</v>
      </c>
      <c r="U13" s="14">
        <v>582.37</v>
      </c>
      <c r="V13" s="15"/>
      <c r="W13" s="15"/>
      <c r="X13" s="69">
        <v>0.34499999999999997</v>
      </c>
      <c r="Y13" s="30">
        <v>90</v>
      </c>
      <c r="Z13" s="71">
        <v>40.429000000000002</v>
      </c>
      <c r="AA13" s="40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19"/>
      <c r="AY13" s="74"/>
      <c r="AZ13" s="74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40"/>
      <c r="CG13" s="40"/>
      <c r="CH13" s="40"/>
      <c r="CI13" s="40"/>
      <c r="CJ13" s="40"/>
      <c r="CK13" s="40"/>
      <c r="CL13" s="40"/>
      <c r="CM13" s="40"/>
      <c r="CN13" s="40"/>
    </row>
    <row r="14" spans="1:99" ht="14.1" customHeight="1">
      <c r="A14" s="12">
        <v>90</v>
      </c>
      <c r="B14" s="75">
        <v>105</v>
      </c>
      <c r="C14" s="65"/>
      <c r="D14" s="104">
        <f>AVERAGE(U17:U18)</f>
        <v>498.97</v>
      </c>
      <c r="E14" s="78">
        <f>D14-$E$5</f>
        <v>462.64000000000004</v>
      </c>
      <c r="F14" s="78"/>
      <c r="G14" s="78">
        <f t="shared" ref="G14:G27" si="0">($E14*7.1425)</f>
        <v>3304.4062000000004</v>
      </c>
      <c r="H14" s="78">
        <f t="shared" ref="H14:H27" si="1">($G14/($B14*0.01))</f>
        <v>3147.053523809524</v>
      </c>
      <c r="I14" s="33">
        <f>$C$15*A14+$C$16</f>
        <v>3323.6103417857144</v>
      </c>
      <c r="J14" s="105" t="s">
        <v>110</v>
      </c>
      <c r="K14" s="106" t="s">
        <v>111</v>
      </c>
      <c r="L14" s="13"/>
      <c r="M14" s="107">
        <f>(((S14/60)*$J$1)/$D$2)</f>
        <v>2.5013071895424837</v>
      </c>
      <c r="N14" s="101"/>
      <c r="O14" s="101"/>
      <c r="P14" s="101"/>
      <c r="Q14" s="30"/>
      <c r="R14" s="108">
        <v>90</v>
      </c>
      <c r="S14" s="109">
        <v>43</v>
      </c>
      <c r="U14" s="14">
        <v>568.13</v>
      </c>
      <c r="V14" s="15"/>
      <c r="W14" s="110"/>
      <c r="X14" s="69">
        <v>0.30399999999999999</v>
      </c>
      <c r="Y14" s="30">
        <v>100</v>
      </c>
      <c r="Z14" s="71">
        <v>38.475999999999999</v>
      </c>
      <c r="AA14" s="40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19"/>
      <c r="AY14" s="74"/>
      <c r="AZ14" s="74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40"/>
      <c r="CG14" s="40"/>
      <c r="CH14" s="40"/>
      <c r="CI14" s="40"/>
      <c r="CJ14" s="40"/>
      <c r="CK14" s="40"/>
      <c r="CL14" s="40"/>
      <c r="CM14" s="40"/>
      <c r="CN14" s="40"/>
    </row>
    <row r="15" spans="1:99" s="115" customFormat="1" ht="14.1" customHeight="1">
      <c r="A15" s="12">
        <v>100</v>
      </c>
      <c r="B15" s="75">
        <v>102</v>
      </c>
      <c r="C15" s="65">
        <f>SLOPE(G15:G18,A15:A18)</f>
        <v>1.9637793571428588</v>
      </c>
      <c r="D15" s="104">
        <f>AVERAGE(U19:U20)</f>
        <v>512.72500000000002</v>
      </c>
      <c r="E15" s="66">
        <f>D15-$E$5</f>
        <v>476.39500000000004</v>
      </c>
      <c r="F15" s="111">
        <v>180</v>
      </c>
      <c r="G15" s="112">
        <f t="shared" si="0"/>
        <v>3402.6512875000003</v>
      </c>
      <c r="H15" s="78">
        <f t="shared" si="1"/>
        <v>3335.9326348039217</v>
      </c>
      <c r="I15" s="33">
        <f>$C$15*A15+$C$16</f>
        <v>3343.2481353571429</v>
      </c>
      <c r="J15" s="113">
        <f>((($N$2-(130*$D$2*(((B15+B14)*0.01)/2))*((I15-I14)/(A15-A14))))/((I15+I14)/2))/$D$2</f>
        <v>3.124958931949807</v>
      </c>
      <c r="K15" s="114">
        <f>$N$2/H15/$D$2</f>
        <v>3.2018200470129723</v>
      </c>
      <c r="L15" s="114">
        <f>J15/($D$4/$D$2)</f>
        <v>3.9538777793351234</v>
      </c>
      <c r="M15" s="107">
        <f>(((S15/60)*$J$1)/$D$2)</f>
        <v>2.5013071895424837</v>
      </c>
      <c r="N15" s="19">
        <f>K15-M15</f>
        <v>0.70051285747048864</v>
      </c>
      <c r="O15" s="74">
        <f>N15/($D$4/$D$2)</f>
        <v>0.88632915875247897</v>
      </c>
      <c r="P15" s="74"/>
      <c r="Q15" s="30"/>
      <c r="R15" s="108">
        <v>100</v>
      </c>
      <c r="S15" s="109">
        <v>43</v>
      </c>
      <c r="T15" s="13">
        <v>60</v>
      </c>
      <c r="U15" s="14">
        <v>557.87</v>
      </c>
      <c r="V15" s="15"/>
      <c r="W15" s="110"/>
      <c r="X15" s="69">
        <v>0.36399999999999999</v>
      </c>
      <c r="Y15" s="30">
        <v>110</v>
      </c>
      <c r="Z15" s="71">
        <v>38.75</v>
      </c>
      <c r="AA15" s="40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19"/>
      <c r="AY15" s="74"/>
      <c r="AZ15" s="74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40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40"/>
      <c r="CH15" s="40"/>
      <c r="CI15" s="40"/>
      <c r="CJ15" s="40"/>
      <c r="CK15" s="40"/>
      <c r="CL15" s="40"/>
      <c r="CM15" s="40"/>
      <c r="CN15" s="40"/>
      <c r="CO15" s="13"/>
      <c r="CP15" s="13"/>
      <c r="CQ15" s="13"/>
      <c r="CR15" s="13"/>
      <c r="CS15" s="13"/>
      <c r="CT15" s="13"/>
      <c r="CU15" s="13"/>
    </row>
    <row r="16" spans="1:99" ht="14.1" customHeight="1">
      <c r="A16" s="12">
        <v>110</v>
      </c>
      <c r="B16" s="75">
        <v>103</v>
      </c>
      <c r="C16" s="65">
        <f>INTERCEPT(G15:G18,A15:A18)</f>
        <v>3146.8701996428572</v>
      </c>
      <c r="D16" s="104">
        <f>AVERAGE(U21:U22)</f>
        <v>499.29500000000002</v>
      </c>
      <c r="E16" s="66">
        <f>D16-$E$5</f>
        <v>462.96500000000003</v>
      </c>
      <c r="F16" s="116">
        <v>210</v>
      </c>
      <c r="G16" s="66">
        <f t="shared" si="0"/>
        <v>3306.7275125000001</v>
      </c>
      <c r="H16" s="78">
        <f t="shared" si="1"/>
        <v>3210.4150606796115</v>
      </c>
      <c r="I16" s="33">
        <f>$C$15*A16+$C$16</f>
        <v>3362.8859289285715</v>
      </c>
      <c r="J16" s="113">
        <f>((($N$2-(130*$D$2*(((B16+B15)*0.01)/2))*((I16-I15)/(A16-A15))))/((I16+I15)/2))/$D$2</f>
        <v>3.107418457901201</v>
      </c>
      <c r="K16" s="67">
        <f>$N$2/H16/$D$2</f>
        <v>3.3270015819508805</v>
      </c>
      <c r="L16" s="67">
        <f>J16/($D$4/$D$2)</f>
        <v>3.9316845626913079</v>
      </c>
      <c r="M16" s="107">
        <f>(((S16/60)*$J$1)/$D$2)</f>
        <v>2.5013071895424837</v>
      </c>
      <c r="N16" s="19">
        <f>K16-M16</f>
        <v>0.82569439240839682</v>
      </c>
      <c r="O16" s="67">
        <f>N16/($D$4/$D$2)</f>
        <v>1.0447160368370605</v>
      </c>
      <c r="P16" s="67"/>
      <c r="Q16" s="30"/>
      <c r="R16" s="108">
        <v>110</v>
      </c>
      <c r="S16" s="109">
        <v>43</v>
      </c>
      <c r="U16" s="14">
        <v>541.70000000000005</v>
      </c>
      <c r="V16" s="15"/>
      <c r="W16" s="110"/>
      <c r="X16" s="69">
        <v>0.38200000000000001</v>
      </c>
      <c r="Y16" s="30">
        <v>115</v>
      </c>
      <c r="Z16" s="71">
        <v>36.731000000000002</v>
      </c>
      <c r="AA16" s="40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19"/>
      <c r="AY16" s="74"/>
      <c r="AZ16" s="74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40"/>
    </row>
    <row r="17" spans="1:67" ht="14.1" customHeight="1">
      <c r="A17" s="12">
        <v>115</v>
      </c>
      <c r="B17" s="75">
        <v>103</v>
      </c>
      <c r="C17" s="65"/>
      <c r="D17" s="104">
        <f>AVERAGE(U23:U24)</f>
        <v>490.99</v>
      </c>
      <c r="E17" s="66">
        <f>D17-$E$5</f>
        <v>454.66</v>
      </c>
      <c r="F17" s="116">
        <v>220</v>
      </c>
      <c r="G17" s="66">
        <f t="shared" si="0"/>
        <v>3247.4090500000002</v>
      </c>
      <c r="H17" s="78">
        <f t="shared" si="1"/>
        <v>3152.8243203883499</v>
      </c>
      <c r="I17" s="33">
        <f>$C$15*A17+$C$16</f>
        <v>3372.704825714286</v>
      </c>
      <c r="J17" s="113">
        <f>((($N$2-(130*$D$2*(((B17+B16)*0.01)/2))*((I17-I16)/(A17-A16))))/((I17+I16)/2))/$D$2</f>
        <v>3.0934497979994831</v>
      </c>
      <c r="K17" s="67">
        <f>$N$2/H17/$D$2</f>
        <v>3.3877739132272233</v>
      </c>
      <c r="L17" s="67">
        <f>J17/($D$4/$D$2)</f>
        <v>3.9140106107465922</v>
      </c>
      <c r="M17" s="107">
        <f>(((S17/60)*$J$1)/$D$2)</f>
        <v>2.5013071895424837</v>
      </c>
      <c r="N17" s="19">
        <f>K17-M17</f>
        <v>0.88646672368473967</v>
      </c>
      <c r="O17" s="67">
        <f>N17/($D$4/$D$2)</f>
        <v>1.1216086858172503</v>
      </c>
      <c r="P17" s="67"/>
      <c r="Q17" s="30"/>
      <c r="R17" s="108">
        <v>115</v>
      </c>
      <c r="S17" s="117">
        <v>43</v>
      </c>
      <c r="T17" s="40">
        <v>90</v>
      </c>
      <c r="U17" s="14">
        <v>467.5</v>
      </c>
      <c r="V17" s="15"/>
      <c r="W17" s="110"/>
      <c r="X17" s="69">
        <v>0.35199999999999998</v>
      </c>
      <c r="Y17" s="30">
        <v>120</v>
      </c>
      <c r="Z17" s="71">
        <v>41.222000000000001</v>
      </c>
      <c r="AA17" s="40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19"/>
      <c r="AY17" s="74"/>
      <c r="AZ17" s="74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40"/>
    </row>
    <row r="18" spans="1:67" ht="14.1" customHeight="1">
      <c r="A18" s="12">
        <v>120</v>
      </c>
      <c r="B18" s="118">
        <v>102</v>
      </c>
      <c r="C18" s="65"/>
      <c r="D18" s="104">
        <f>AVERAGE(U25:U26)</f>
        <v>526.995</v>
      </c>
      <c r="E18" s="66">
        <f>D18-$E$5</f>
        <v>490.66500000000002</v>
      </c>
      <c r="F18" s="116">
        <v>225</v>
      </c>
      <c r="G18" s="66">
        <f t="shared" si="0"/>
        <v>3504.5747625000004</v>
      </c>
      <c r="H18" s="78">
        <f t="shared" si="1"/>
        <v>3435.8576102941179</v>
      </c>
      <c r="I18" s="33">
        <f>$C$15*A18+$C$16</f>
        <v>3382.5237225000001</v>
      </c>
      <c r="J18" s="113">
        <f>((($N$2-(130*$D$2*(((B18+B17)*0.01)/2))*((I18-I17)/(A18-A17))))/((I18+I17)/2))/$D$2</f>
        <v>3.0848348984476734</v>
      </c>
      <c r="K18" s="67">
        <f>$N$2/H18/$D$2</f>
        <v>3.1087015811128667</v>
      </c>
      <c r="L18" s="67">
        <f>J18/($D$4/$D$2)</f>
        <v>3.9031105443294467</v>
      </c>
      <c r="M18" s="107">
        <f>(((S18/60)*$J$1)/$D$2)</f>
        <v>2.5013071895424837</v>
      </c>
      <c r="N18" s="19">
        <f>K18-M18</f>
        <v>0.607394391570383</v>
      </c>
      <c r="O18" s="67">
        <f>N18/($D$4/$D$2)</f>
        <v>0.7685103197898564</v>
      </c>
      <c r="P18" s="67"/>
      <c r="Q18" s="30"/>
      <c r="R18" s="108">
        <v>120</v>
      </c>
      <c r="S18" s="117">
        <v>43</v>
      </c>
      <c r="T18" s="30"/>
      <c r="U18" s="14">
        <v>530.44000000000005</v>
      </c>
      <c r="V18" s="15"/>
      <c r="W18" s="110"/>
      <c r="X18" s="96">
        <f>AVERAGE(X13:X17)</f>
        <v>0.34939999999999999</v>
      </c>
      <c r="Y18" s="30" t="s">
        <v>107</v>
      </c>
      <c r="Z18" s="96">
        <f>AVERAGE(Z13:Z17)</f>
        <v>39.121600000000001</v>
      </c>
      <c r="AA18" s="30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5"/>
      <c r="AY18" s="95"/>
      <c r="AZ18" s="95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2"/>
      <c r="BO18" s="40"/>
    </row>
    <row r="19" spans="1:67" ht="14.1" customHeight="1" thickBot="1">
      <c r="A19" s="63"/>
      <c r="B19" s="98"/>
      <c r="C19" s="65"/>
      <c r="D19" s="99"/>
      <c r="E19" s="66"/>
      <c r="F19" s="63"/>
      <c r="G19" s="66"/>
      <c r="H19" s="66"/>
      <c r="I19" s="33"/>
      <c r="J19" s="113"/>
      <c r="K19" s="67"/>
      <c r="L19" s="67"/>
      <c r="M19" s="107"/>
      <c r="O19" s="67"/>
      <c r="P19" s="67"/>
      <c r="Q19" s="30"/>
      <c r="R19" s="108"/>
      <c r="S19" s="117"/>
      <c r="T19" s="41">
        <v>100</v>
      </c>
      <c r="U19" s="14">
        <v>523.36</v>
      </c>
      <c r="V19" s="15"/>
      <c r="W19" s="110"/>
      <c r="Y19" s="30"/>
      <c r="Z19" s="96"/>
      <c r="AA19" s="30"/>
      <c r="AB19" s="96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30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40"/>
    </row>
    <row r="20" spans="1:67" ht="14.1" customHeight="1" thickBot="1">
      <c r="A20" s="119" t="s">
        <v>112</v>
      </c>
      <c r="B20" s="120">
        <f>AVERAGE(B14:B19)</f>
        <v>103</v>
      </c>
      <c r="C20" s="121"/>
      <c r="D20" s="122">
        <f>AVERAGE(D14:D18)</f>
        <v>505.79499999999996</v>
      </c>
      <c r="E20" s="122">
        <f>AVERAGE(E14:E18)</f>
        <v>469.46500000000003</v>
      </c>
      <c r="F20" s="122"/>
      <c r="G20" s="122">
        <f>AVERAGE(G14:G18)</f>
        <v>3353.1537624999996</v>
      </c>
      <c r="H20" s="122">
        <f>AVERAGE(H14:H18)</f>
        <v>3256.4166299951053</v>
      </c>
      <c r="I20" s="122"/>
      <c r="J20" s="122">
        <f t="shared" ref="J20:O20" si="2">AVERAGE(J14:J18)</f>
        <v>3.1026655215745409</v>
      </c>
      <c r="K20" s="123">
        <f t="shared" si="2"/>
        <v>3.2563242808259854</v>
      </c>
      <c r="L20" s="122">
        <f t="shared" si="2"/>
        <v>3.9256708742756175</v>
      </c>
      <c r="M20" s="122">
        <f t="shared" si="2"/>
        <v>2.5013071895424837</v>
      </c>
      <c r="N20" s="123">
        <f t="shared" si="2"/>
        <v>0.75501709128350203</v>
      </c>
      <c r="O20" s="122">
        <f t="shared" si="2"/>
        <v>0.9552910502991615</v>
      </c>
      <c r="P20" s="124"/>
      <c r="Q20" s="30"/>
      <c r="R20" s="108"/>
      <c r="S20" s="117"/>
      <c r="T20" s="41"/>
      <c r="U20" s="14">
        <v>502.09</v>
      </c>
      <c r="V20" s="15"/>
      <c r="W20" s="110"/>
      <c r="X20" s="69">
        <v>7.3999999999999996E-2</v>
      </c>
      <c r="Y20" s="70">
        <v>210</v>
      </c>
      <c r="Z20" s="71">
        <v>180.36</v>
      </c>
      <c r="AA20" s="40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4"/>
      <c r="AY20" s="74"/>
      <c r="AZ20" s="74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40"/>
    </row>
    <row r="21" spans="1:67" ht="14.1" customHeight="1" thickBot="1">
      <c r="A21" s="70"/>
      <c r="B21" s="118"/>
      <c r="C21" s="36"/>
      <c r="D21" s="99"/>
      <c r="E21" s="33"/>
      <c r="F21" s="125" t="s">
        <v>113</v>
      </c>
      <c r="G21" s="33"/>
      <c r="H21" s="33"/>
      <c r="I21" s="126" t="s">
        <v>114</v>
      </c>
      <c r="J21" s="127">
        <f>J20-((B18-B15)*0.25*$D$2*10)/(30*$D$2)</f>
        <v>3.1026655215745409</v>
      </c>
      <c r="K21" s="74"/>
      <c r="L21" s="128" t="s">
        <v>33</v>
      </c>
      <c r="M21" s="129">
        <f>J21-M20</f>
        <v>0.60135833203205724</v>
      </c>
      <c r="N21" s="19"/>
      <c r="O21" s="74"/>
      <c r="P21" s="130">
        <f>$M$20-(((B18-B14)*1.3)/(A18-A14))</f>
        <v>2.6313071895424835</v>
      </c>
      <c r="Q21" s="30"/>
      <c r="R21" s="131"/>
      <c r="S21" s="117"/>
      <c r="T21" s="41">
        <v>110</v>
      </c>
      <c r="U21" s="14">
        <v>487.05</v>
      </c>
      <c r="V21" s="15"/>
      <c r="W21" s="110"/>
      <c r="X21" s="69">
        <v>7.1999999999999995E-2</v>
      </c>
      <c r="Y21" s="70">
        <v>220</v>
      </c>
      <c r="Z21" s="71">
        <v>180.68</v>
      </c>
      <c r="AA21" s="40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4"/>
      <c r="AY21" s="74"/>
      <c r="AZ21" s="74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40"/>
    </row>
    <row r="22" spans="1:67" ht="14.1" customHeight="1" thickBot="1">
      <c r="A22" s="63"/>
      <c r="B22" s="98"/>
      <c r="C22" s="65"/>
      <c r="D22" s="99"/>
      <c r="E22" s="66"/>
      <c r="F22" s="63"/>
      <c r="G22" s="66"/>
      <c r="H22" s="66"/>
      <c r="I22" s="33"/>
      <c r="J22" s="132"/>
      <c r="K22" s="67"/>
      <c r="L22" s="133"/>
      <c r="M22" s="134"/>
      <c r="N22" s="101"/>
      <c r="O22" s="133"/>
      <c r="P22" s="133"/>
      <c r="Q22" s="30"/>
      <c r="R22" s="102" t="s">
        <v>25</v>
      </c>
      <c r="S22" s="103" t="s">
        <v>109</v>
      </c>
      <c r="T22" s="30"/>
      <c r="U22" s="14">
        <v>511.54</v>
      </c>
      <c r="V22" s="15"/>
      <c r="W22" s="110"/>
      <c r="X22" s="69">
        <v>3.9E-2</v>
      </c>
      <c r="Y22" s="70">
        <v>230</v>
      </c>
      <c r="Z22" s="71">
        <v>165.3</v>
      </c>
      <c r="AA22" s="40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4"/>
      <c r="AY22" s="74"/>
      <c r="AZ22" s="74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40"/>
    </row>
    <row r="23" spans="1:67" ht="14.1" customHeight="1">
      <c r="A23" s="63">
        <v>210</v>
      </c>
      <c r="B23" s="75">
        <v>93</v>
      </c>
      <c r="C23" s="65"/>
      <c r="D23" s="104">
        <f>AVERAGE(U31:U32)</f>
        <v>243.125</v>
      </c>
      <c r="E23" s="78">
        <f>D23-$E$5</f>
        <v>206.79500000000002</v>
      </c>
      <c r="F23" s="78"/>
      <c r="G23" s="78">
        <f t="shared" si="0"/>
        <v>1477.0332875000001</v>
      </c>
      <c r="H23" s="78">
        <f t="shared" si="1"/>
        <v>1588.2078360215055</v>
      </c>
      <c r="I23" s="33">
        <f>$C$24*A23+$C$25</f>
        <v>1274.2240407142858</v>
      </c>
      <c r="J23" s="105" t="s">
        <v>110</v>
      </c>
      <c r="K23" s="106" t="s">
        <v>111</v>
      </c>
      <c r="L23" s="67"/>
      <c r="M23" s="19">
        <f>(((S23/60)*$J$1)/$D$2)</f>
        <v>8.0274509803921568</v>
      </c>
      <c r="N23" s="101"/>
      <c r="O23" s="133"/>
      <c r="P23" s="133"/>
      <c r="Q23" s="30"/>
      <c r="R23" s="131">
        <v>210</v>
      </c>
      <c r="S23" s="117">
        <v>138</v>
      </c>
      <c r="T23" s="13">
        <v>115</v>
      </c>
      <c r="U23" s="14">
        <v>473.83</v>
      </c>
      <c r="V23" s="15"/>
      <c r="W23" s="110"/>
      <c r="X23" s="69">
        <v>5.3999999999999999E-2</v>
      </c>
      <c r="Y23" s="70">
        <v>235</v>
      </c>
      <c r="Z23" s="71">
        <v>160.41999999999999</v>
      </c>
      <c r="AA23" s="40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4"/>
      <c r="AY23" s="74"/>
      <c r="AZ23" s="74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40"/>
    </row>
    <row r="24" spans="1:67" ht="14.1" customHeight="1">
      <c r="A24" s="63">
        <v>220</v>
      </c>
      <c r="B24" s="75">
        <v>88</v>
      </c>
      <c r="C24" s="65">
        <f>SLOPE(G24:G27,A24:A27)</f>
        <v>-0.66098735714286572</v>
      </c>
      <c r="D24" s="104">
        <f>AVERAGE(U33:U34)</f>
        <v>213.77500000000001</v>
      </c>
      <c r="E24" s="66">
        <f>D24-$E$5</f>
        <v>177.44499999999999</v>
      </c>
      <c r="F24" s="111">
        <v>180</v>
      </c>
      <c r="G24" s="112">
        <f t="shared" si="0"/>
        <v>1267.4009125</v>
      </c>
      <c r="H24" s="112">
        <f t="shared" si="1"/>
        <v>1440.2283096590909</v>
      </c>
      <c r="I24" s="33">
        <f>$C$24*A24+$C$25</f>
        <v>1267.6141671428572</v>
      </c>
      <c r="J24" s="113">
        <f>((($N$2-(130*$D$2*(((B24+B23)*0.01)/2))*((I24-I23)/(A24-A23))))/((I24+I23)/2))/$D$2</f>
        <v>8.4653862821882075</v>
      </c>
      <c r="K24" s="114">
        <f>$N$2/H24/$D$2</f>
        <v>7.4162241597155241</v>
      </c>
      <c r="L24" s="114">
        <f>J24/($D$4/$D$2)</f>
        <v>10.710893628847836</v>
      </c>
      <c r="M24" s="107">
        <f>(((S24/60)*$J$1)/$D$2)</f>
        <v>8.4928104575163381</v>
      </c>
      <c r="N24" s="19">
        <f>K24-M24</f>
        <v>-1.0765862978008141</v>
      </c>
      <c r="O24" s="74">
        <f>N24/($D$4/$D$2)</f>
        <v>-1.3621589061189223</v>
      </c>
      <c r="P24" s="74"/>
      <c r="Q24" s="30"/>
      <c r="R24" s="131">
        <v>220</v>
      </c>
      <c r="S24" s="117">
        <v>146</v>
      </c>
      <c r="U24" s="14">
        <v>508.15</v>
      </c>
      <c r="V24" s="15"/>
      <c r="W24" s="110"/>
      <c r="X24" s="69">
        <v>3.9E-2</v>
      </c>
      <c r="Y24" s="70">
        <v>240</v>
      </c>
      <c r="Z24" s="71">
        <v>164.71</v>
      </c>
      <c r="AA24" s="40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4"/>
      <c r="AY24" s="74"/>
      <c r="AZ24" s="74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40"/>
    </row>
    <row r="25" spans="1:67" ht="14.1" customHeight="1">
      <c r="A25" s="63">
        <v>230</v>
      </c>
      <c r="B25" s="75">
        <v>97</v>
      </c>
      <c r="C25" s="65">
        <f>INTERCEPT(G24:G27,A24:A27)</f>
        <v>1413.0313857142876</v>
      </c>
      <c r="D25" s="104">
        <f>AVERAGE(U35:U36)</f>
        <v>211.29500000000002</v>
      </c>
      <c r="E25" s="66">
        <f>D25-$E$5</f>
        <v>174.96500000000003</v>
      </c>
      <c r="F25" s="111">
        <v>180</v>
      </c>
      <c r="G25" s="112">
        <f t="shared" si="0"/>
        <v>1249.6875125000001</v>
      </c>
      <c r="H25" s="112">
        <f t="shared" si="1"/>
        <v>1288.3376417525776</v>
      </c>
      <c r="I25" s="33">
        <f>$C$24*A25+$C$25</f>
        <v>1261.0042935714284</v>
      </c>
      <c r="J25" s="113">
        <f>((($N$2-(130*$D$2*(((B25+B24)*0.01)/2))*((I25-I24)/(A25-A24))))/((I25+I24)/2))/$D$2</f>
        <v>8.511003049670677</v>
      </c>
      <c r="K25" s="114">
        <f>$N$2/H25/$D$2</f>
        <v>8.290572004921108</v>
      </c>
      <c r="L25" s="114">
        <f>J25/($D$4/$D$2)</f>
        <v>10.768610586811663</v>
      </c>
      <c r="M25" s="107">
        <f>(((S25/60)*$J$1)/$D$2)</f>
        <v>10.005228758169935</v>
      </c>
      <c r="N25" s="19">
        <f>K25-M25</f>
        <v>-1.7146567532488266</v>
      </c>
      <c r="O25" s="114">
        <f>N25/($D$4/$D$2)</f>
        <v>-2.1694823463255473</v>
      </c>
      <c r="P25" s="74"/>
      <c r="Q25" s="30"/>
      <c r="R25" s="131">
        <v>230</v>
      </c>
      <c r="S25" s="117">
        <v>172</v>
      </c>
      <c r="T25" s="13">
        <v>120</v>
      </c>
      <c r="U25" s="14">
        <v>525.74</v>
      </c>
      <c r="V25" s="15"/>
      <c r="W25" s="110"/>
      <c r="X25" s="96">
        <f>AVERAGE(X20:X24)</f>
        <v>5.5599999999999997E-2</v>
      </c>
      <c r="Y25" s="57" t="s">
        <v>107</v>
      </c>
      <c r="Z25" s="96">
        <f>AVERAGE(Z20:Z24)</f>
        <v>170.29400000000001</v>
      </c>
      <c r="AA25" s="30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5"/>
      <c r="AY25" s="95"/>
      <c r="AZ25" s="95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40"/>
    </row>
    <row r="26" spans="1:67" ht="14.1" customHeight="1">
      <c r="A26" s="63">
        <v>235</v>
      </c>
      <c r="B26" s="75">
        <v>96</v>
      </c>
      <c r="C26" s="65"/>
      <c r="D26" s="104">
        <f>AVERAGE(U37:U38)</f>
        <v>215.70499999999998</v>
      </c>
      <c r="E26" s="66">
        <f>D26-$E$5</f>
        <v>179.375</v>
      </c>
      <c r="F26" s="111">
        <v>180</v>
      </c>
      <c r="G26" s="112">
        <f t="shared" si="0"/>
        <v>1281.1859374999999</v>
      </c>
      <c r="H26" s="112">
        <f t="shared" si="1"/>
        <v>1334.5686848958333</v>
      </c>
      <c r="I26" s="33">
        <f>$C$24*A26+$C$25</f>
        <v>1257.6993567857141</v>
      </c>
      <c r="J26" s="113">
        <f>((($N$2-(130*$D$2*(((B26+B25)*0.01)/2))*((I26-I25)/(A26-A25))))/((I26+I25)/2))/$D$2</f>
        <v>8.5472356765967934</v>
      </c>
      <c r="K26" s="114">
        <f>$N$2/H26/$D$2</f>
        <v>8.0033767512188305</v>
      </c>
      <c r="L26" s="114">
        <f>J26/($D$4/$D$2)</f>
        <v>10.814454190394871</v>
      </c>
      <c r="M26" s="107">
        <f>(((S26/60)*$J$1)/$D$2)</f>
        <v>10.005228758169935</v>
      </c>
      <c r="N26" s="19">
        <f>K26-M26</f>
        <v>-2.0018520069511041</v>
      </c>
      <c r="O26" s="114">
        <f>N26/($D$4/$D$2)</f>
        <v>-2.5328582999530194</v>
      </c>
      <c r="P26" s="74"/>
      <c r="Q26" s="30"/>
      <c r="R26" s="131">
        <v>235</v>
      </c>
      <c r="S26" s="117">
        <v>172</v>
      </c>
      <c r="U26" s="14">
        <v>528.25</v>
      </c>
      <c r="V26" s="15"/>
      <c r="W26" s="11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</row>
    <row r="27" spans="1:67" ht="14.1" customHeight="1">
      <c r="A27" s="63">
        <v>240</v>
      </c>
      <c r="B27" s="118">
        <v>103</v>
      </c>
      <c r="C27" s="65"/>
      <c r="D27" s="104">
        <f>AVERAGE(U39:U40)</f>
        <v>210.28</v>
      </c>
      <c r="E27" s="66">
        <f>D27-$E$5</f>
        <v>173.95</v>
      </c>
      <c r="F27" s="111">
        <v>180</v>
      </c>
      <c r="G27" s="112">
        <f t="shared" si="0"/>
        <v>1242.4378749999998</v>
      </c>
      <c r="H27" s="112">
        <f t="shared" si="1"/>
        <v>1206.2503640776697</v>
      </c>
      <c r="I27" s="33">
        <f>$C$24*A27+$C$25</f>
        <v>1254.3944199999999</v>
      </c>
      <c r="J27" s="113">
        <f>((($N$2-(130*$D$2*(((B27+B26)*0.01)/2))*((I27-I26)/(A27-A26))))/((I27+I26)/2))/$D$2</f>
        <v>8.5717776937630905</v>
      </c>
      <c r="K27" s="114">
        <f>$N$2/H27/$D$2</f>
        <v>8.85475876624254</v>
      </c>
      <c r="L27" s="114">
        <f>J27/($D$4/$D$2)</f>
        <v>10.845506162099772</v>
      </c>
      <c r="M27" s="107">
        <f>(((S27/60)*$J$1)/$D$2)</f>
        <v>10.005228758169935</v>
      </c>
      <c r="N27" s="19">
        <f>K27-M27</f>
        <v>-1.1504699919273946</v>
      </c>
      <c r="O27" s="114">
        <f>N27/($D$4/$D$2)</f>
        <v>-1.4556408055050394</v>
      </c>
      <c r="P27" s="74"/>
      <c r="Q27" s="30"/>
      <c r="R27" s="131">
        <v>240</v>
      </c>
      <c r="S27" s="117">
        <v>172</v>
      </c>
      <c r="T27" s="13">
        <v>150</v>
      </c>
      <c r="U27" s="14">
        <v>433.73</v>
      </c>
      <c r="V27" s="15"/>
      <c r="W27" s="11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</row>
    <row r="28" spans="1:67" ht="14.1" customHeight="1" thickBot="1">
      <c r="A28" s="63"/>
      <c r="B28" s="118"/>
      <c r="C28" s="65"/>
      <c r="D28" s="99"/>
      <c r="E28" s="66"/>
      <c r="F28" s="135"/>
      <c r="G28" s="112"/>
      <c r="H28" s="112"/>
      <c r="I28" s="33"/>
      <c r="J28" s="113"/>
      <c r="K28" s="114"/>
      <c r="L28" s="114"/>
      <c r="M28" s="107"/>
      <c r="N28" s="107"/>
      <c r="O28" s="114"/>
      <c r="P28" s="74"/>
      <c r="Q28" s="30"/>
      <c r="R28" s="108"/>
      <c r="S28" s="117"/>
      <c r="U28" s="14">
        <v>397.55</v>
      </c>
      <c r="V28" s="15"/>
      <c r="W28" s="110"/>
      <c r="X28" s="69"/>
      <c r="Y28" s="13" t="s">
        <v>115</v>
      </c>
    </row>
    <row r="29" spans="1:67" ht="14.1" customHeight="1" thickBot="1">
      <c r="A29" s="119" t="s">
        <v>112</v>
      </c>
      <c r="B29" s="122">
        <f>AVERAGE(B23:B28)</f>
        <v>95.4</v>
      </c>
      <c r="C29" s="121"/>
      <c r="D29" s="122">
        <f>AVERAGE(D23:D28)</f>
        <v>218.83599999999996</v>
      </c>
      <c r="E29" s="122">
        <f>AVERAGE(E23:E28)</f>
        <v>182.506</v>
      </c>
      <c r="F29" s="122">
        <f>AVERAGE(F24:F28)</f>
        <v>180</v>
      </c>
      <c r="G29" s="122">
        <f>AVERAGE(G23:G28)</f>
        <v>1303.5491050000001</v>
      </c>
      <c r="H29" s="122">
        <f>AVERAGE(H23:H28)</f>
        <v>1371.5185672813354</v>
      </c>
      <c r="I29" s="122"/>
      <c r="J29" s="122">
        <f t="shared" ref="J29:O29" si="3">AVERAGE(J23:J28)</f>
        <v>8.5238506755546908</v>
      </c>
      <c r="K29" s="123">
        <f t="shared" si="3"/>
        <v>8.1412329205245015</v>
      </c>
      <c r="L29" s="122">
        <f t="shared" si="3"/>
        <v>10.784866142038537</v>
      </c>
      <c r="M29" s="122">
        <f t="shared" si="3"/>
        <v>9.307189542483659</v>
      </c>
      <c r="N29" s="123">
        <f t="shared" si="3"/>
        <v>-1.4858912624820348</v>
      </c>
      <c r="O29" s="122">
        <f t="shared" si="3"/>
        <v>-1.8800350894756321</v>
      </c>
      <c r="P29" s="122"/>
      <c r="Q29" s="136"/>
      <c r="R29" s="137"/>
      <c r="S29" s="138"/>
      <c r="T29" s="13">
        <v>180</v>
      </c>
      <c r="U29" s="14">
        <v>358.61</v>
      </c>
      <c r="V29" s="15"/>
      <c r="W29" s="110"/>
      <c r="X29" s="69"/>
      <c r="Y29" s="13" t="s">
        <v>116</v>
      </c>
    </row>
    <row r="30" spans="1:67" ht="14.1" customHeight="1">
      <c r="A30" s="70"/>
      <c r="B30" s="139"/>
      <c r="C30" s="36"/>
      <c r="D30" s="99"/>
      <c r="E30" s="33"/>
      <c r="F30" s="125" t="s">
        <v>117</v>
      </c>
      <c r="G30" s="33"/>
      <c r="H30" s="33"/>
      <c r="I30" s="140" t="s">
        <v>114</v>
      </c>
      <c r="J30" s="141">
        <f>J29-((B27-B24)*0.25*$D$2*10)/(20*$D$2)</f>
        <v>6.6488506755546908</v>
      </c>
      <c r="K30" s="74"/>
      <c r="L30" s="142" t="s">
        <v>33</v>
      </c>
      <c r="M30" s="143">
        <f>J30-M29</f>
        <v>-2.6583388669289683</v>
      </c>
      <c r="N30" s="19">
        <f>AVERAGE(J24:J25)-M29</f>
        <v>-0.81899487655421765</v>
      </c>
      <c r="O30" s="74"/>
      <c r="P30" s="130">
        <f>$M$29-(((B27-B23)*1.3)/(A27-A23))</f>
        <v>8.8738562091503255</v>
      </c>
      <c r="Q30" s="30"/>
      <c r="R30" s="63"/>
      <c r="S30" s="144"/>
      <c r="U30" s="14">
        <v>330.08</v>
      </c>
      <c r="V30" s="15"/>
      <c r="W30" s="110"/>
      <c r="X30" s="69"/>
      <c r="Y30" s="13" t="s">
        <v>118</v>
      </c>
    </row>
    <row r="31" spans="1:67" ht="14.1" customHeight="1">
      <c r="A31" s="145"/>
      <c r="B31" s="139"/>
      <c r="C31" s="146"/>
      <c r="D31" s="147"/>
      <c r="E31" s="148"/>
      <c r="F31" s="145"/>
      <c r="G31" s="148"/>
      <c r="H31" s="148"/>
      <c r="I31" s="148"/>
      <c r="J31" s="149"/>
      <c r="K31" s="150"/>
      <c r="L31" s="133"/>
      <c r="M31" s="134"/>
      <c r="N31" s="101"/>
      <c r="O31" s="150"/>
      <c r="P31" s="150"/>
      <c r="Q31" s="96"/>
      <c r="R31" s="151"/>
      <c r="S31" s="101" t="s">
        <v>32</v>
      </c>
      <c r="T31" s="13">
        <v>210</v>
      </c>
      <c r="U31" s="14">
        <v>244.31</v>
      </c>
      <c r="V31" s="15"/>
      <c r="W31" s="110"/>
      <c r="X31" s="69"/>
      <c r="Y31" s="13" t="s">
        <v>119</v>
      </c>
    </row>
    <row r="32" spans="1:67" ht="14.1" customHeight="1">
      <c r="A32" s="145"/>
      <c r="B32" s="148"/>
      <c r="C32" s="146"/>
      <c r="D32" s="147"/>
      <c r="E32" s="148"/>
      <c r="F32" s="148"/>
      <c r="G32" s="148"/>
      <c r="H32" s="148"/>
      <c r="I32" s="148"/>
      <c r="J32" s="152"/>
      <c r="K32" s="153"/>
      <c r="L32" s="58"/>
      <c r="M32" s="124"/>
      <c r="N32" s="101"/>
      <c r="O32" s="150"/>
      <c r="P32" s="150"/>
      <c r="Q32" s="96"/>
      <c r="R32" s="145"/>
      <c r="S32" s="58"/>
      <c r="U32" s="14">
        <v>241.94</v>
      </c>
      <c r="V32" s="15"/>
      <c r="W32" s="110"/>
      <c r="X32" s="69"/>
      <c r="Y32" s="13" t="s">
        <v>120</v>
      </c>
    </row>
    <row r="33" spans="1:99" ht="14.1" customHeight="1">
      <c r="A33" s="145"/>
      <c r="B33" s="148"/>
      <c r="C33" s="146"/>
      <c r="D33" s="147"/>
      <c r="E33" s="148"/>
      <c r="F33" s="145"/>
      <c r="G33" s="148"/>
      <c r="H33" s="148"/>
      <c r="I33" s="148"/>
      <c r="J33" s="149"/>
      <c r="K33" s="150"/>
      <c r="L33" s="150"/>
      <c r="M33" s="124"/>
      <c r="N33" s="124"/>
      <c r="O33" s="150"/>
      <c r="P33" s="150"/>
      <c r="Q33" s="96"/>
      <c r="R33" s="145"/>
      <c r="S33" s="58"/>
      <c r="T33" s="13">
        <v>220</v>
      </c>
      <c r="U33" s="14">
        <v>208.05</v>
      </c>
      <c r="V33" s="15"/>
      <c r="W33" s="110"/>
      <c r="X33" s="69"/>
      <c r="Y33" s="20" t="s">
        <v>121</v>
      </c>
    </row>
    <row r="34" spans="1:99" ht="14.1" customHeight="1">
      <c r="A34" s="145"/>
      <c r="B34" s="148"/>
      <c r="C34" s="146"/>
      <c r="D34" s="147"/>
      <c r="E34" s="148"/>
      <c r="F34" s="145"/>
      <c r="G34" s="148"/>
      <c r="H34" s="148"/>
      <c r="I34" s="148"/>
      <c r="J34" s="149"/>
      <c r="K34" s="150"/>
      <c r="L34" s="150"/>
      <c r="M34" s="124"/>
      <c r="N34" s="124"/>
      <c r="O34" s="150"/>
      <c r="P34" s="150"/>
      <c r="Q34" s="96"/>
      <c r="R34" s="145"/>
      <c r="S34" s="58"/>
      <c r="U34" s="14">
        <v>219.5</v>
      </c>
      <c r="V34" s="15"/>
      <c r="W34" s="110"/>
    </row>
    <row r="35" spans="1:99" ht="14.1" customHeight="1">
      <c r="A35" s="145"/>
      <c r="B35" s="148"/>
      <c r="C35" s="146"/>
      <c r="D35" s="147"/>
      <c r="E35" s="148"/>
      <c r="F35" s="145"/>
      <c r="G35" s="148"/>
      <c r="H35" s="148"/>
      <c r="I35" s="148"/>
      <c r="J35" s="149"/>
      <c r="K35" s="150"/>
      <c r="L35" s="150"/>
      <c r="M35" s="124"/>
      <c r="N35" s="124"/>
      <c r="O35" s="150"/>
      <c r="P35" s="150"/>
      <c r="Q35" s="96"/>
      <c r="R35" s="145"/>
      <c r="S35" s="58"/>
      <c r="T35" s="13">
        <v>230</v>
      </c>
      <c r="U35" s="14">
        <v>211.46</v>
      </c>
      <c r="V35" s="15"/>
      <c r="W35" s="110"/>
    </row>
    <row r="36" spans="1:99" ht="14.1" customHeight="1">
      <c r="A36" s="145"/>
      <c r="B36" s="139"/>
      <c r="C36" s="146"/>
      <c r="D36" s="147"/>
      <c r="E36" s="148"/>
      <c r="F36" s="145"/>
      <c r="G36" s="148"/>
      <c r="H36" s="148"/>
      <c r="I36" s="148"/>
      <c r="J36" s="149"/>
      <c r="K36" s="150"/>
      <c r="L36" s="150"/>
      <c r="M36" s="124"/>
      <c r="N36" s="124"/>
      <c r="O36" s="150"/>
      <c r="P36" s="150"/>
      <c r="Q36" s="96"/>
      <c r="R36" s="145"/>
      <c r="S36" s="58"/>
      <c r="U36" s="14">
        <v>211.13</v>
      </c>
      <c r="V36" s="15"/>
      <c r="W36" s="110"/>
      <c r="X36"/>
    </row>
    <row r="37" spans="1:99" ht="14.1" customHeight="1">
      <c r="A37" s="145"/>
      <c r="B37" s="139"/>
      <c r="C37" s="146"/>
      <c r="D37" s="147"/>
      <c r="E37" s="148"/>
      <c r="F37" s="145"/>
      <c r="G37" s="148"/>
      <c r="H37" s="148"/>
      <c r="I37" s="148"/>
      <c r="J37" s="149"/>
      <c r="K37" s="150"/>
      <c r="L37" s="150"/>
      <c r="M37" s="124"/>
      <c r="N37" s="124"/>
      <c r="O37" s="150"/>
      <c r="P37" s="150"/>
      <c r="Q37" s="96"/>
      <c r="R37" s="96"/>
      <c r="S37" s="58"/>
      <c r="T37" s="13">
        <v>235</v>
      </c>
      <c r="U37" s="14">
        <v>213.53</v>
      </c>
      <c r="V37" s="15"/>
      <c r="W37" s="15"/>
      <c r="X37" s="6"/>
    </row>
    <row r="38" spans="1:99" s="156" customFormat="1" ht="14.1" customHeight="1">
      <c r="A38" s="154"/>
      <c r="B38" s="139"/>
      <c r="C38" s="155"/>
      <c r="D38" s="139"/>
      <c r="E38" s="139"/>
      <c r="F38" s="139"/>
      <c r="G38" s="139"/>
      <c r="H38" s="139"/>
      <c r="I38" s="139"/>
      <c r="J38" s="124"/>
      <c r="K38" s="124"/>
      <c r="L38" s="124"/>
      <c r="M38" s="124"/>
      <c r="N38" s="124"/>
      <c r="O38" s="124"/>
      <c r="P38" s="124"/>
      <c r="Q38" s="155"/>
      <c r="R38" s="145"/>
      <c r="S38" s="58"/>
      <c r="T38" s="13"/>
      <c r="U38" s="14">
        <v>217.88</v>
      </c>
      <c r="V38" s="15"/>
      <c r="W38" s="15"/>
      <c r="X38" s="6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</row>
    <row r="39" spans="1:99" s="3" customFormat="1" ht="14.1" customHeight="1">
      <c r="A39" s="157"/>
      <c r="B39" s="158"/>
      <c r="C39" s="159"/>
      <c r="D39" s="160"/>
      <c r="E39" s="160"/>
      <c r="F39" s="161"/>
      <c r="G39" s="160"/>
      <c r="H39" s="148"/>
      <c r="I39" s="162"/>
      <c r="J39" s="163"/>
      <c r="K39" s="150"/>
      <c r="L39" s="155"/>
      <c r="M39" s="134"/>
      <c r="N39" s="155"/>
      <c r="O39" s="155"/>
      <c r="P39" s="155"/>
      <c r="Q39" s="58"/>
      <c r="R39" s="58"/>
      <c r="S39" s="58"/>
      <c r="T39" s="13">
        <v>240</v>
      </c>
      <c r="U39" s="14">
        <v>206.41</v>
      </c>
      <c r="V39" s="15"/>
      <c r="W39" s="15"/>
      <c r="X39" s="6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</row>
    <row r="40" spans="1:99" ht="14.1" customHeight="1">
      <c r="A40" s="164"/>
      <c r="B40" s="165"/>
      <c r="C40" s="164"/>
      <c r="D40" s="148"/>
      <c r="E40" s="164"/>
      <c r="F40" s="164"/>
      <c r="G40" s="96"/>
      <c r="H40" s="101"/>
      <c r="I40" s="58"/>
      <c r="J40" s="155"/>
      <c r="K40" s="166"/>
      <c r="L40" s="167"/>
      <c r="M40" s="168"/>
      <c r="N40" s="134"/>
      <c r="O40" s="169"/>
      <c r="P40" s="169"/>
      <c r="Q40" s="58"/>
      <c r="R40" s="58"/>
      <c r="S40" s="58"/>
      <c r="U40" s="14">
        <v>214.15</v>
      </c>
      <c r="V40" s="15"/>
      <c r="W40" s="15"/>
    </row>
    <row r="41" spans="1:99" ht="14.1" customHeight="1">
      <c r="A41" s="164"/>
      <c r="B41" s="170"/>
      <c r="C41" s="164"/>
      <c r="D41" s="171"/>
      <c r="E41" s="164"/>
      <c r="F41" s="164"/>
      <c r="G41" s="124"/>
      <c r="H41" s="58"/>
      <c r="I41" s="58"/>
      <c r="J41" s="170"/>
      <c r="K41" s="170"/>
      <c r="L41" s="96"/>
      <c r="M41" s="172"/>
      <c r="N41" s="160"/>
      <c r="O41" s="58"/>
      <c r="P41" s="58"/>
      <c r="Q41" s="58"/>
      <c r="R41" s="58"/>
      <c r="S41" s="58"/>
      <c r="U41" s="173"/>
      <c r="V41" s="174"/>
      <c r="W41" s="175"/>
    </row>
    <row r="42" spans="1:99" ht="14.1" customHeight="1">
      <c r="A42" s="3"/>
      <c r="B42" s="3"/>
      <c r="C42" s="3"/>
      <c r="D42" s="33"/>
      <c r="E42" s="3"/>
      <c r="F42" s="3"/>
      <c r="G42" s="19"/>
      <c r="H42" s="40"/>
      <c r="I42" s="40"/>
      <c r="J42" s="30"/>
      <c r="K42" s="30"/>
      <c r="L42" s="30"/>
      <c r="M42" s="30"/>
      <c r="N42" s="33"/>
      <c r="O42" s="33"/>
      <c r="P42" s="33"/>
      <c r="Q42" s="40"/>
      <c r="R42" s="40"/>
      <c r="U42" s="173"/>
      <c r="V42" s="174"/>
      <c r="W42" s="175"/>
    </row>
    <row r="43" spans="1:99" ht="14.1" customHeight="1">
      <c r="A43" s="30"/>
      <c r="B43" s="176"/>
      <c r="C43" s="3"/>
      <c r="D43" s="33"/>
      <c r="E43" s="177"/>
      <c r="F43" s="177"/>
      <c r="G43" s="33"/>
      <c r="H43" s="174"/>
      <c r="I43" s="40"/>
      <c r="J43" s="30"/>
      <c r="K43" s="30"/>
      <c r="L43" s="30"/>
      <c r="M43" s="33"/>
      <c r="N43" s="178"/>
      <c r="O43" s="33"/>
      <c r="P43" s="33"/>
      <c r="Q43" s="40"/>
      <c r="R43" s="40"/>
      <c r="U43" s="173"/>
      <c r="V43" s="174"/>
      <c r="W43" s="175"/>
    </row>
    <row r="44" spans="1:99" ht="14.1" customHeight="1">
      <c r="A44" s="3"/>
      <c r="B44" s="30"/>
      <c r="C44" s="3"/>
      <c r="D44" s="41"/>
      <c r="E44" s="42"/>
      <c r="F44" s="42"/>
      <c r="G44" s="19"/>
      <c r="H44" s="19"/>
      <c r="I44" s="30"/>
      <c r="J44" s="179"/>
      <c r="K44" s="179"/>
      <c r="L44" s="180"/>
      <c r="M44" s="39"/>
      <c r="N44" s="179"/>
      <c r="O44" s="180"/>
      <c r="P44" s="180"/>
      <c r="Q44" s="46"/>
      <c r="R44" s="46"/>
      <c r="U44" s="173"/>
      <c r="V44" s="174"/>
      <c r="W44" s="175"/>
    </row>
    <row r="45" spans="1:99" s="1" customFormat="1" ht="14.1" customHeight="1">
      <c r="A45" s="3"/>
      <c r="B45" s="181"/>
      <c r="C45" s="181"/>
      <c r="D45" s="25"/>
      <c r="E45" s="181"/>
      <c r="F45" s="181"/>
      <c r="G45" s="181"/>
      <c r="H45" s="95"/>
      <c r="I45" s="95"/>
      <c r="J45" s="182"/>
      <c r="K45" s="182"/>
      <c r="L45" s="182"/>
      <c r="M45" s="182"/>
      <c r="N45" s="182"/>
      <c r="O45" s="54"/>
      <c r="P45" s="54"/>
      <c r="Q45" s="55"/>
      <c r="R45" s="55"/>
      <c r="S45" s="13"/>
      <c r="T45" s="13"/>
      <c r="U45" s="173"/>
      <c r="V45" s="40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</row>
    <row r="46" spans="1:99" ht="14.1" customHeight="1">
      <c r="A46" s="70"/>
      <c r="B46" s="33"/>
      <c r="C46" s="36"/>
      <c r="D46" s="33"/>
      <c r="E46" s="33"/>
      <c r="F46" s="33"/>
      <c r="G46" s="33"/>
      <c r="H46" s="33"/>
      <c r="I46" s="33"/>
      <c r="J46" s="74"/>
      <c r="K46" s="74"/>
      <c r="L46" s="74"/>
      <c r="M46" s="30"/>
      <c r="N46" s="19"/>
      <c r="O46" s="74"/>
      <c r="P46" s="74"/>
      <c r="Q46" s="30"/>
      <c r="R46" s="30"/>
      <c r="U46" s="173"/>
    </row>
    <row r="47" spans="1:99" ht="14.1" customHeight="1">
      <c r="A47" s="70"/>
      <c r="B47" s="33"/>
      <c r="C47" s="36"/>
      <c r="D47" s="33"/>
      <c r="E47" s="33"/>
      <c r="F47" s="33"/>
      <c r="G47" s="33"/>
      <c r="H47" s="33"/>
      <c r="I47" s="33"/>
      <c r="J47" s="74"/>
      <c r="K47" s="74"/>
      <c r="L47" s="74"/>
      <c r="M47" s="30"/>
      <c r="N47" s="19"/>
      <c r="O47" s="74"/>
      <c r="P47" s="74"/>
      <c r="Q47" s="30"/>
      <c r="R47" s="30"/>
      <c r="T47" s="40"/>
      <c r="U47" s="173"/>
    </row>
    <row r="48" spans="1:99" s="80" customFormat="1" ht="14.1" customHeight="1">
      <c r="A48" s="183"/>
      <c r="B48" s="25"/>
      <c r="C48" s="184"/>
      <c r="D48" s="25"/>
      <c r="E48" s="25"/>
      <c r="F48" s="25"/>
      <c r="G48" s="25"/>
      <c r="H48" s="25"/>
      <c r="I48" s="25"/>
      <c r="J48" s="95"/>
      <c r="K48" s="95"/>
      <c r="L48" s="95"/>
      <c r="M48" s="95"/>
      <c r="N48" s="95"/>
      <c r="O48" s="95"/>
      <c r="P48" s="95"/>
      <c r="Q48" s="95"/>
      <c r="R48" s="95"/>
      <c r="S48" s="13"/>
      <c r="T48" s="40"/>
      <c r="U48" s="17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</row>
    <row r="49" spans="1:99" ht="14.1" customHeight="1">
      <c r="A49" s="30"/>
      <c r="B49" s="176"/>
      <c r="C49" s="185"/>
      <c r="D49" s="33"/>
      <c r="E49" s="40"/>
      <c r="F49" s="40"/>
      <c r="G49" s="40"/>
      <c r="H49" s="40"/>
      <c r="I49" s="40"/>
      <c r="J49" s="40"/>
      <c r="K49" s="40"/>
      <c r="L49" s="40"/>
      <c r="M49" s="30"/>
      <c r="N49" s="40"/>
      <c r="O49" s="40"/>
      <c r="P49" s="40"/>
      <c r="Q49" s="30"/>
      <c r="R49" s="30"/>
      <c r="T49" s="40"/>
      <c r="U49" s="173"/>
    </row>
    <row r="50" spans="1:99" ht="14.1" customHeight="1">
      <c r="A50" s="30"/>
      <c r="B50" s="176"/>
      <c r="C50" s="185"/>
      <c r="D50" s="33"/>
      <c r="E50" s="40"/>
      <c r="F50" s="40"/>
      <c r="G50" s="40"/>
      <c r="H50" s="40"/>
      <c r="I50" s="40"/>
      <c r="J50" s="40"/>
      <c r="K50" s="40"/>
      <c r="L50" s="40"/>
      <c r="M50" s="30"/>
      <c r="N50" s="40"/>
      <c r="O50" s="40"/>
      <c r="P50" s="40"/>
      <c r="Q50" s="30"/>
      <c r="R50" s="30"/>
      <c r="T50" s="40"/>
      <c r="U50" s="173"/>
    </row>
    <row r="51" spans="1:99" ht="14.1" customHeight="1">
      <c r="A51" s="30"/>
      <c r="B51" s="176"/>
      <c r="C51" s="185"/>
      <c r="D51" s="33"/>
      <c r="E51" s="40"/>
      <c r="F51" s="40"/>
      <c r="G51" s="40"/>
      <c r="H51" s="40"/>
      <c r="I51" s="40"/>
      <c r="J51" s="40"/>
      <c r="K51" s="40"/>
      <c r="L51" s="40"/>
      <c r="M51" s="19"/>
      <c r="N51" s="40"/>
      <c r="O51" s="40"/>
      <c r="P51" s="40"/>
      <c r="Q51" s="30"/>
      <c r="R51" s="30"/>
      <c r="T51" s="40"/>
      <c r="U51" s="173"/>
    </row>
    <row r="52" spans="1:99" ht="14.1" customHeight="1">
      <c r="A52" s="30"/>
      <c r="B52" s="176"/>
      <c r="C52" s="185"/>
      <c r="D52" s="33"/>
      <c r="E52" s="40"/>
      <c r="F52" s="40"/>
      <c r="G52" s="40"/>
      <c r="H52" s="40"/>
      <c r="I52" s="40"/>
      <c r="J52" s="40"/>
      <c r="K52" s="40"/>
      <c r="L52" s="40"/>
      <c r="M52" s="19"/>
      <c r="N52" s="40"/>
      <c r="O52" s="40"/>
      <c r="P52" s="40"/>
      <c r="Q52" s="30"/>
      <c r="R52" s="30"/>
      <c r="U52" s="173"/>
    </row>
    <row r="53" spans="1:99" ht="14.1" customHeight="1">
      <c r="A53" s="30"/>
      <c r="B53" s="176"/>
      <c r="C53" s="186"/>
      <c r="D53" s="33"/>
      <c r="E53" s="33"/>
      <c r="F53" s="33"/>
      <c r="G53" s="33"/>
      <c r="H53" s="33"/>
      <c r="I53" s="33"/>
      <c r="J53" s="187"/>
      <c r="K53" s="188"/>
      <c r="L53" s="40"/>
      <c r="M53" s="19"/>
      <c r="N53" s="40"/>
      <c r="O53" s="40"/>
      <c r="P53" s="40"/>
      <c r="Q53" s="30"/>
      <c r="R53" s="30"/>
      <c r="U53" s="173"/>
    </row>
    <row r="54" spans="1:99" ht="14.1" customHeight="1">
      <c r="A54" s="70"/>
      <c r="B54" s="189"/>
      <c r="C54" s="36"/>
      <c r="D54" s="33"/>
      <c r="E54" s="33"/>
      <c r="F54" s="33"/>
      <c r="G54" s="33"/>
      <c r="H54" s="33"/>
      <c r="I54" s="33"/>
      <c r="J54" s="132"/>
      <c r="K54" s="74"/>
      <c r="L54" s="74"/>
      <c r="M54" s="19"/>
      <c r="N54" s="19"/>
      <c r="O54" s="74"/>
      <c r="P54" s="74"/>
      <c r="Q54" s="30"/>
      <c r="R54" s="30"/>
      <c r="U54" s="173"/>
    </row>
    <row r="55" spans="1:99" ht="14.1" customHeight="1">
      <c r="A55" s="70"/>
      <c r="B55" s="189"/>
      <c r="C55" s="36"/>
      <c r="D55" s="33"/>
      <c r="E55" s="33"/>
      <c r="F55" s="33"/>
      <c r="G55" s="33"/>
      <c r="H55" s="33"/>
      <c r="I55" s="33"/>
      <c r="J55" s="132"/>
      <c r="K55" s="74"/>
      <c r="L55" s="74"/>
      <c r="M55" s="19"/>
      <c r="N55" s="19"/>
      <c r="O55" s="74"/>
      <c r="P55" s="74"/>
      <c r="Q55" s="30"/>
      <c r="R55" s="30"/>
      <c r="U55" s="173"/>
    </row>
    <row r="56" spans="1:99" s="30" customFormat="1" ht="14.1" customHeight="1">
      <c r="A56" s="70"/>
      <c r="B56" s="189"/>
      <c r="C56" s="36"/>
      <c r="D56" s="33"/>
      <c r="E56" s="33"/>
      <c r="F56" s="33"/>
      <c r="G56" s="33"/>
      <c r="H56" s="33"/>
      <c r="I56" s="33"/>
      <c r="J56" s="132"/>
      <c r="K56" s="74"/>
      <c r="L56" s="74"/>
      <c r="M56" s="19"/>
      <c r="N56" s="19"/>
      <c r="O56" s="74"/>
      <c r="P56" s="74"/>
      <c r="S56" s="13"/>
      <c r="T56" s="13"/>
      <c r="U56" s="17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</row>
    <row r="57" spans="1:99" ht="14.1" customHeight="1">
      <c r="A57" s="70"/>
      <c r="B57" s="189"/>
      <c r="C57" s="36"/>
      <c r="D57" s="33"/>
      <c r="E57" s="33"/>
      <c r="F57" s="33"/>
      <c r="G57" s="33"/>
      <c r="H57" s="33"/>
      <c r="I57" s="33"/>
      <c r="J57" s="132"/>
      <c r="K57" s="74"/>
      <c r="L57" s="74"/>
      <c r="M57" s="19"/>
      <c r="N57" s="19"/>
      <c r="O57" s="74"/>
      <c r="P57" s="74"/>
      <c r="Q57" s="30"/>
      <c r="R57" s="30"/>
      <c r="U57" s="173"/>
    </row>
    <row r="58" spans="1:99" ht="14.1" customHeight="1">
      <c r="A58" s="183"/>
      <c r="B58" s="25"/>
      <c r="C58" s="184"/>
      <c r="D58" s="25"/>
      <c r="E58" s="25"/>
      <c r="F58" s="25"/>
      <c r="G58" s="25"/>
      <c r="H58" s="25"/>
      <c r="I58" s="25"/>
      <c r="J58" s="95"/>
      <c r="K58" s="95"/>
      <c r="L58" s="95"/>
      <c r="M58" s="95"/>
      <c r="N58" s="95"/>
      <c r="O58" s="95"/>
      <c r="P58" s="95"/>
      <c r="Q58" s="95"/>
      <c r="R58" s="95"/>
      <c r="U58" s="173"/>
    </row>
    <row r="59" spans="1:99" s="115" customFormat="1" ht="14.1" customHeight="1">
      <c r="A59" s="40"/>
      <c r="B59" s="40"/>
      <c r="C59" s="40"/>
      <c r="D59" s="19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13"/>
      <c r="T59" s="13"/>
      <c r="U59" s="17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</row>
    <row r="60" spans="1:99" s="30" customFormat="1" ht="14.1" customHeight="1">
      <c r="A60" s="191"/>
      <c r="B60" s="40"/>
      <c r="C60" s="40"/>
      <c r="D60" s="19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13"/>
      <c r="T60" s="13"/>
      <c r="U60" s="17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</row>
    <row r="61" spans="1:99" ht="14.1" customHeight="1">
      <c r="A61" s="40"/>
      <c r="B61" s="40"/>
      <c r="C61" s="40"/>
      <c r="D61" s="19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U61" s="173"/>
    </row>
    <row r="62" spans="1:99" ht="14.1" customHeight="1">
      <c r="A62" s="40"/>
      <c r="B62" s="40"/>
      <c r="C62" s="40"/>
      <c r="D62" s="19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U62" s="173"/>
    </row>
    <row r="63" spans="1:99" ht="14.1" customHeight="1">
      <c r="A63" s="40"/>
      <c r="B63" s="40"/>
      <c r="C63" s="40"/>
      <c r="D63" s="19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U63" s="173"/>
    </row>
    <row r="64" spans="1:99" s="156" customFormat="1" ht="14.1" customHeight="1">
      <c r="A64" s="30"/>
      <c r="B64" s="189"/>
      <c r="C64" s="36"/>
      <c r="D64" s="33"/>
      <c r="E64" s="189"/>
      <c r="F64" s="189"/>
      <c r="G64" s="19"/>
      <c r="H64" s="30"/>
      <c r="I64" s="30"/>
      <c r="J64" s="30"/>
      <c r="K64" s="30"/>
      <c r="L64" s="30"/>
      <c r="M64" s="30"/>
      <c r="N64" s="19"/>
      <c r="O64" s="30"/>
      <c r="P64" s="30"/>
      <c r="Q64" s="40"/>
      <c r="R64" s="40"/>
      <c r="S64" s="13"/>
      <c r="T64" s="13"/>
      <c r="U64" s="17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</row>
    <row r="65" spans="1:21" s="13" customFormat="1" ht="14.1" customHeight="1">
      <c r="A65" s="30"/>
      <c r="B65" s="189"/>
      <c r="C65" s="36"/>
      <c r="D65" s="33"/>
      <c r="E65" s="189"/>
      <c r="F65" s="189"/>
      <c r="G65" s="19"/>
      <c r="H65" s="30"/>
      <c r="I65" s="30"/>
      <c r="J65" s="30"/>
      <c r="K65" s="30"/>
      <c r="L65" s="30"/>
      <c r="M65" s="30"/>
      <c r="N65" s="19"/>
      <c r="O65" s="30"/>
      <c r="P65" s="30"/>
      <c r="Q65" s="40"/>
      <c r="R65" s="40"/>
      <c r="U65" s="173"/>
    </row>
    <row r="66" spans="1:21" s="13" customFormat="1" ht="14.1" customHeight="1">
      <c r="A66" s="12"/>
      <c r="B66" s="192"/>
      <c r="C66" s="65"/>
      <c r="D66" s="66"/>
      <c r="E66" s="192"/>
      <c r="F66" s="192"/>
      <c r="G66" s="68"/>
      <c r="H66" s="12"/>
      <c r="I66" s="12"/>
      <c r="J66" s="12"/>
      <c r="K66" s="12"/>
      <c r="L66" s="12"/>
      <c r="M66" s="12"/>
      <c r="N66" s="68"/>
      <c r="O66" s="12"/>
      <c r="P66" s="12"/>
      <c r="U66" s="173"/>
    </row>
    <row r="67" spans="1:21" ht="14.1" customHeight="1">
      <c r="C67" s="65"/>
      <c r="U67" s="173"/>
    </row>
    <row r="68" spans="1:21" ht="14.1" customHeight="1">
      <c r="A68" s="13"/>
      <c r="B68" s="13"/>
      <c r="C68" s="13"/>
      <c r="D68" s="97"/>
      <c r="E68" s="13"/>
      <c r="F68" s="13"/>
      <c r="G68" s="13"/>
      <c r="H68" s="13"/>
      <c r="I68" s="13"/>
      <c r="J68" s="13"/>
      <c r="M68" s="13"/>
      <c r="N68" s="13"/>
      <c r="O68" s="13"/>
      <c r="P68" s="13"/>
      <c r="U68" s="173"/>
    </row>
    <row r="69" spans="1:21" ht="14.1" customHeight="1">
      <c r="A69" s="13"/>
      <c r="B69" s="13"/>
      <c r="C69" s="13"/>
      <c r="D69" s="97"/>
      <c r="E69" s="13"/>
      <c r="F69" s="13"/>
      <c r="G69" s="13"/>
      <c r="H69" s="13"/>
      <c r="I69" s="13"/>
      <c r="J69" s="13"/>
      <c r="M69" s="13"/>
      <c r="N69" s="13"/>
      <c r="O69" s="13"/>
      <c r="P69" s="13"/>
      <c r="U69" s="173"/>
    </row>
    <row r="70" spans="1:21" ht="14.1" customHeight="1">
      <c r="C70" s="65"/>
      <c r="U70" s="173"/>
    </row>
    <row r="71" spans="1:21" ht="14.1" customHeight="1">
      <c r="C71" s="65"/>
      <c r="Q71" s="13"/>
      <c r="R71" s="13"/>
    </row>
    <row r="72" spans="1:21" ht="14.1" customHeight="1">
      <c r="C72" s="65"/>
      <c r="Q72" s="13"/>
      <c r="R72" s="13"/>
    </row>
    <row r="73" spans="1:21" ht="14.1" customHeight="1">
      <c r="C73" s="65"/>
    </row>
    <row r="74" spans="1:21" ht="14.1" customHeight="1">
      <c r="C74" s="65"/>
    </row>
  </sheetData>
  <pageMargins left="0.75" right="0.5" top="1" bottom="0.5" header="0.5" footer="0.5"/>
  <pageSetup scale="70" orientation="landscape" r:id="rId1"/>
  <headerFooter alignWithMargins="0">
    <oddHeader>&amp;R&amp;D</oddHeader>
  </headerFooter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U74"/>
  <sheetViews>
    <sheetView zoomScale="87" zoomScaleNormal="87" workbookViewId="0">
      <selection activeCell="AB11" sqref="AB11:CQ11"/>
    </sheetView>
  </sheetViews>
  <sheetFormatPr defaultColWidth="13.7109375" defaultRowHeight="14.1" customHeight="1"/>
  <cols>
    <col min="1" max="1" width="6.28515625" style="12" customWidth="1"/>
    <col min="2" max="2" width="16.5703125" style="192" customWidth="1"/>
    <col min="3" max="3" width="8.28515625" style="12" customWidth="1"/>
    <col min="4" max="4" width="11.140625" style="66" customWidth="1"/>
    <col min="5" max="5" width="12.85546875" style="192" customWidth="1"/>
    <col min="6" max="6" width="9.28515625" style="192" customWidth="1"/>
    <col min="7" max="7" width="9.140625" style="68" customWidth="1"/>
    <col min="8" max="8" width="10.85546875" style="12" customWidth="1"/>
    <col min="9" max="9" width="13.140625" style="12" customWidth="1"/>
    <col min="10" max="10" width="12.28515625" style="12" customWidth="1"/>
    <col min="11" max="11" width="10.140625" style="12" customWidth="1"/>
    <col min="12" max="12" width="14.42578125" style="12" customWidth="1"/>
    <col min="13" max="13" width="8.85546875" style="12" customWidth="1"/>
    <col min="14" max="14" width="17.140625" style="68" customWidth="1"/>
    <col min="15" max="15" width="15.7109375" style="12" customWidth="1"/>
    <col min="16" max="16" width="10.85546875" style="12" customWidth="1"/>
    <col min="17" max="17" width="6.140625" style="12" customWidth="1"/>
    <col min="18" max="18" width="7.28515625" style="12" customWidth="1"/>
    <col min="19" max="19" width="12" style="13" customWidth="1"/>
    <col min="20" max="20" width="10.42578125" style="13" customWidth="1"/>
    <col min="21" max="21" width="13.7109375" style="13" customWidth="1"/>
    <col min="22" max="22" width="2.5703125" style="13" customWidth="1"/>
    <col min="23" max="29" width="13.7109375" style="13" customWidth="1"/>
    <col min="30" max="31" width="25" style="13" customWidth="1"/>
    <col min="32" max="34" width="13.7109375" style="13" customWidth="1"/>
    <col min="35" max="35" width="19.85546875" style="13" customWidth="1"/>
    <col min="36" max="36" width="19.5703125" style="13" customWidth="1"/>
    <col min="37" max="37" width="27.42578125" style="13" customWidth="1"/>
    <col min="38" max="38" width="31.42578125" style="13" customWidth="1"/>
    <col min="39" max="39" width="31.28515625" style="13" customWidth="1"/>
    <col min="40" max="45" width="27.42578125" style="13" customWidth="1"/>
    <col min="46" max="46" width="31.28515625" style="13" customWidth="1"/>
    <col min="47" max="47" width="35.42578125" style="13" customWidth="1"/>
    <col min="48" max="50" width="13.7109375" style="13" customWidth="1"/>
    <col min="51" max="52" width="17.28515625" style="13" customWidth="1"/>
    <col min="53" max="60" width="17.5703125" style="13" customWidth="1"/>
    <col min="61" max="65" width="20.42578125" style="13" customWidth="1"/>
    <col min="66" max="68" width="13.7109375" style="13" customWidth="1"/>
    <col min="69" max="69" width="18.7109375" style="13" customWidth="1"/>
    <col min="70" max="72" width="13.7109375" style="13" customWidth="1"/>
    <col min="73" max="73" width="17.28515625" style="13" customWidth="1"/>
    <col min="74" max="74" width="16.85546875" style="13" customWidth="1"/>
    <col min="75" max="75" width="13.7109375" style="13" customWidth="1"/>
    <col min="76" max="76" width="17" style="13" customWidth="1"/>
    <col min="77" max="81" width="17.85546875" style="13" customWidth="1"/>
    <col min="82" max="92" width="13.7109375" style="13" customWidth="1"/>
    <col min="93" max="93" width="26.140625" style="13" customWidth="1"/>
    <col min="94" max="94" width="25.7109375" style="13" customWidth="1"/>
    <col min="95" max="95" width="22.85546875" style="13" customWidth="1"/>
    <col min="96" max="99" width="13.7109375" style="13" customWidth="1"/>
    <col min="100" max="16384" width="13.7109375" style="12"/>
  </cols>
  <sheetData>
    <row r="1" spans="1:99" ht="14.1" customHeight="1">
      <c r="A1" s="1" t="s">
        <v>0</v>
      </c>
      <c r="B1" s="2" t="s">
        <v>170</v>
      </c>
      <c r="C1" s="3" t="s">
        <v>1</v>
      </c>
      <c r="D1" s="4" t="s">
        <v>165</v>
      </c>
      <c r="E1" s="1" t="s">
        <v>2</v>
      </c>
      <c r="F1" s="1"/>
      <c r="G1" s="5">
        <v>19</v>
      </c>
      <c r="H1" s="6"/>
      <c r="I1" s="6" t="s">
        <v>3</v>
      </c>
      <c r="J1" s="5">
        <v>178</v>
      </c>
      <c r="K1" s="7"/>
      <c r="L1" s="7"/>
      <c r="M1" s="8" t="s">
        <v>4</v>
      </c>
      <c r="N1" s="9">
        <f>((AVERAGE(W7:W8))*20)</f>
        <v>7505097</v>
      </c>
      <c r="O1" s="10">
        <f>(O3*20)</f>
        <v>6692276.164859999</v>
      </c>
      <c r="P1" s="10"/>
      <c r="Q1" s="11" t="s">
        <v>5</v>
      </c>
      <c r="S1" s="13">
        <v>-120</v>
      </c>
      <c r="T1" s="13" t="s">
        <v>6</v>
      </c>
      <c r="U1" s="14">
        <v>33.11</v>
      </c>
      <c r="V1" s="15"/>
      <c r="W1" s="15" t="s">
        <v>7</v>
      </c>
    </row>
    <row r="2" spans="1:99" ht="14.1" customHeight="1" thickBot="1">
      <c r="A2" s="16" t="s">
        <v>8</v>
      </c>
      <c r="B2" s="17">
        <v>42677</v>
      </c>
      <c r="C2" s="3" t="s">
        <v>9</v>
      </c>
      <c r="D2" s="18">
        <v>51.1</v>
      </c>
      <c r="E2" s="3" t="s">
        <v>10</v>
      </c>
      <c r="F2" s="3"/>
      <c r="G2" s="19">
        <f>D2/(D3/100*D3/100)</f>
        <v>18.746783055696287</v>
      </c>
      <c r="H2" s="13"/>
      <c r="I2" s="20" t="s">
        <v>11</v>
      </c>
      <c r="J2" s="21"/>
      <c r="K2" s="22"/>
      <c r="L2" s="23"/>
      <c r="M2" s="24" t="s">
        <v>12</v>
      </c>
      <c r="N2" s="25">
        <f>(O1*0.068)</f>
        <v>455074.77921047999</v>
      </c>
      <c r="O2" s="13"/>
      <c r="P2" s="13"/>
      <c r="Q2" s="11"/>
      <c r="R2" s="26"/>
      <c r="T2" s="13" t="s">
        <v>6</v>
      </c>
      <c r="U2" s="14">
        <v>43.92</v>
      </c>
      <c r="V2" s="15"/>
      <c r="W2" s="27">
        <v>122161.5</v>
      </c>
    </row>
    <row r="3" spans="1:99" ht="14.1" customHeight="1" thickTop="1" thickBot="1">
      <c r="A3" s="16" t="s">
        <v>13</v>
      </c>
      <c r="B3" s="28" t="s">
        <v>167</v>
      </c>
      <c r="C3" s="3" t="s">
        <v>15</v>
      </c>
      <c r="D3" s="29">
        <v>165.1</v>
      </c>
      <c r="E3" s="3" t="s">
        <v>16</v>
      </c>
      <c r="F3" s="3"/>
      <c r="G3" s="19">
        <f>SQRT(((D2*D3)/3600))</f>
        <v>1.5308503446704966</v>
      </c>
      <c r="H3" s="13"/>
      <c r="I3" s="20"/>
      <c r="J3" s="30"/>
      <c r="K3" s="30"/>
      <c r="L3" s="30"/>
      <c r="M3" s="31" t="s">
        <v>17</v>
      </c>
      <c r="N3" s="32">
        <f>($O$1/$N$1)*100</f>
        <v>89.169749103309385</v>
      </c>
      <c r="O3" s="33">
        <f>((AVERAGE(W2:W5))*2.85714)</f>
        <v>334613.80824299995</v>
      </c>
      <c r="P3" s="33"/>
      <c r="Q3" s="34" t="s">
        <v>18</v>
      </c>
      <c r="R3" s="13"/>
      <c r="T3" s="13">
        <v>-30</v>
      </c>
      <c r="U3" s="14">
        <v>530.20000000000005</v>
      </c>
      <c r="V3" s="15"/>
      <c r="W3" s="27">
        <v>120149.8</v>
      </c>
    </row>
    <row r="4" spans="1:99" ht="14.1" customHeight="1" thickTop="1">
      <c r="B4" s="35"/>
      <c r="C4" s="3" t="s">
        <v>19</v>
      </c>
      <c r="D4" s="19">
        <v>40.308</v>
      </c>
      <c r="E4" s="37" t="s">
        <v>20</v>
      </c>
      <c r="F4" s="37"/>
      <c r="G4" s="38">
        <v>0.17799999999999999</v>
      </c>
      <c r="H4" s="13"/>
      <c r="I4" s="20"/>
      <c r="J4" s="30"/>
      <c r="K4" s="30"/>
      <c r="L4" s="30"/>
      <c r="M4" s="33"/>
      <c r="N4" s="39"/>
      <c r="O4" s="30"/>
      <c r="P4" s="30"/>
      <c r="Q4" s="30"/>
      <c r="R4" s="30"/>
      <c r="U4" s="14">
        <v>469.63</v>
      </c>
      <c r="V4" s="15"/>
      <c r="W4" s="27">
        <v>113537</v>
      </c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</row>
    <row r="5" spans="1:99" ht="14.1" customHeight="1" thickBot="1">
      <c r="A5" s="16"/>
      <c r="B5" s="30"/>
      <c r="C5" s="3"/>
      <c r="D5" s="41" t="s">
        <v>21</v>
      </c>
      <c r="E5" s="42">
        <f>AVERAGE(U1:U2)</f>
        <v>38.515000000000001</v>
      </c>
      <c r="F5" s="42"/>
      <c r="G5" s="19"/>
      <c r="H5" s="30"/>
      <c r="I5" s="30"/>
      <c r="J5" s="43" t="s">
        <v>22</v>
      </c>
      <c r="K5" s="43"/>
      <c r="L5" s="44" t="s">
        <v>23</v>
      </c>
      <c r="M5" s="45"/>
      <c r="N5" s="43" t="s">
        <v>22</v>
      </c>
      <c r="O5" s="44" t="s">
        <v>23</v>
      </c>
      <c r="P5" s="44" t="s">
        <v>24</v>
      </c>
      <c r="Q5" s="46"/>
      <c r="R5" s="46"/>
      <c r="T5" s="13">
        <v>-20</v>
      </c>
      <c r="U5" s="14">
        <v>534.38</v>
      </c>
      <c r="V5" s="15"/>
      <c r="W5" s="27">
        <v>112611.5</v>
      </c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</row>
    <row r="6" spans="1:99" s="1" customFormat="1" ht="14.1" customHeight="1">
      <c r="A6" s="47" t="s">
        <v>25</v>
      </c>
      <c r="B6" s="48" t="s">
        <v>26</v>
      </c>
      <c r="C6" s="48"/>
      <c r="D6" s="49" t="s">
        <v>27</v>
      </c>
      <c r="E6" s="48" t="s">
        <v>28</v>
      </c>
      <c r="F6" s="48"/>
      <c r="G6" s="48" t="s">
        <v>29</v>
      </c>
      <c r="H6" s="50" t="s">
        <v>30</v>
      </c>
      <c r="I6" s="50"/>
      <c r="J6" s="51" t="s">
        <v>31</v>
      </c>
      <c r="K6" s="52"/>
      <c r="L6" s="52" t="s">
        <v>31</v>
      </c>
      <c r="M6" s="52" t="s">
        <v>32</v>
      </c>
      <c r="N6" s="52" t="s">
        <v>33</v>
      </c>
      <c r="O6" s="53" t="s">
        <v>34</v>
      </c>
      <c r="P6" s="54"/>
      <c r="Q6" s="55"/>
      <c r="R6" s="55"/>
      <c r="S6" s="13"/>
      <c r="T6" s="13"/>
      <c r="U6" s="14">
        <v>512.14</v>
      </c>
      <c r="V6" s="15"/>
      <c r="W6" s="56" t="s">
        <v>35</v>
      </c>
      <c r="X6" s="13" t="s">
        <v>36</v>
      </c>
      <c r="Y6" s="57" t="s">
        <v>37</v>
      </c>
      <c r="Z6" s="58" t="s">
        <v>38</v>
      </c>
      <c r="AA6" s="40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60"/>
      <c r="AY6" s="60"/>
      <c r="AZ6" s="60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60"/>
      <c r="BO6" s="60"/>
      <c r="BP6" s="60"/>
      <c r="BQ6" s="59"/>
      <c r="BR6" s="59"/>
      <c r="BS6" s="59"/>
      <c r="BT6" s="59"/>
      <c r="BU6" s="59"/>
      <c r="BV6" s="59"/>
      <c r="BW6" s="59"/>
      <c r="BX6" s="59"/>
      <c r="BY6" s="59"/>
      <c r="BZ6" s="61"/>
      <c r="CA6" s="61"/>
      <c r="CB6" s="61"/>
      <c r="CC6" s="61"/>
      <c r="CD6" s="40"/>
      <c r="CE6" s="61"/>
      <c r="CF6" s="61"/>
      <c r="CG6" s="33"/>
      <c r="CH6" s="40"/>
      <c r="CI6" s="30"/>
      <c r="CJ6" s="30"/>
      <c r="CK6" s="30"/>
      <c r="CL6" s="30"/>
      <c r="CM6" s="30"/>
      <c r="CN6" s="30"/>
      <c r="CO6" s="30"/>
      <c r="CP6" s="62"/>
      <c r="CQ6" s="62"/>
      <c r="CR6" s="13"/>
      <c r="CS6" s="13"/>
      <c r="CT6" s="13"/>
      <c r="CU6" s="13"/>
    </row>
    <row r="7" spans="1:99" ht="14.1" customHeight="1">
      <c r="A7" s="63">
        <v>-30</v>
      </c>
      <c r="B7" s="64">
        <v>101</v>
      </c>
      <c r="C7" s="65"/>
      <c r="D7" s="42">
        <f>AVERAGE(U3:U4)</f>
        <v>499.91500000000002</v>
      </c>
      <c r="E7" s="66">
        <f>D7-$E$5</f>
        <v>461.40000000000003</v>
      </c>
      <c r="F7" s="66"/>
      <c r="G7" s="66">
        <f>($E7*7.1425)</f>
        <v>3295.5495000000001</v>
      </c>
      <c r="H7" s="66">
        <f>($G7/($B7*0.01))</f>
        <v>3262.9202970297029</v>
      </c>
      <c r="I7" s="66"/>
      <c r="J7" s="67">
        <f>$N$2/$H7/$D$2</f>
        <v>2.7293259313706124</v>
      </c>
      <c r="K7" s="67"/>
      <c r="L7" s="67">
        <f>J7/($D$4/$D$2)</f>
        <v>3.4600713280995907</v>
      </c>
      <c r="N7" s="68">
        <f>J7-M7</f>
        <v>2.7293259313706124</v>
      </c>
      <c r="O7" s="67">
        <f>N7/($D$4/$D$2)</f>
        <v>3.4600713280995907</v>
      </c>
      <c r="P7" s="67"/>
      <c r="Q7" s="30"/>
      <c r="R7" s="30"/>
      <c r="T7" s="13">
        <v>-10</v>
      </c>
      <c r="U7" s="14">
        <v>512.36</v>
      </c>
      <c r="V7" s="15"/>
      <c r="W7" s="27">
        <v>373596.2</v>
      </c>
      <c r="X7" s="69">
        <v>1.41</v>
      </c>
      <c r="Y7" s="70">
        <v>-30</v>
      </c>
      <c r="Z7" s="71">
        <v>11.566000000000001</v>
      </c>
      <c r="AA7" s="40"/>
      <c r="AB7" s="72"/>
      <c r="AC7" s="72"/>
      <c r="AD7" s="72"/>
      <c r="AE7" s="72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19"/>
      <c r="AY7" s="74"/>
      <c r="AZ7" s="74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</row>
    <row r="8" spans="1:99" ht="14.1" customHeight="1">
      <c r="A8" s="63">
        <v>-20</v>
      </c>
      <c r="B8" s="64">
        <v>101</v>
      </c>
      <c r="C8" s="65"/>
      <c r="D8" s="66">
        <f>AVERAGE(U5:U6)</f>
        <v>523.26</v>
      </c>
      <c r="E8" s="66">
        <f>D8-$E$5</f>
        <v>484.745</v>
      </c>
      <c r="F8" s="66"/>
      <c r="G8" s="66">
        <f>($E8*7.1425)</f>
        <v>3462.2911625000002</v>
      </c>
      <c r="H8" s="66">
        <f>($G8/($B8*0.01))</f>
        <v>3428.0110519801983</v>
      </c>
      <c r="I8" s="66"/>
      <c r="J8" s="67">
        <f>$N$2/H8/$D$2</f>
        <v>2.5978833917511279</v>
      </c>
      <c r="K8" s="67"/>
      <c r="L8" s="67">
        <f>J8/($D$4/$D$2)</f>
        <v>3.293436571362574</v>
      </c>
      <c r="N8" s="68">
        <f>J8-M8</f>
        <v>2.5978833917511279</v>
      </c>
      <c r="O8" s="67">
        <f>N8/($D$4/$D$2)</f>
        <v>3.293436571362574</v>
      </c>
      <c r="P8" s="67"/>
      <c r="Q8" s="30"/>
      <c r="R8" s="30"/>
      <c r="U8" s="14">
        <v>502.41</v>
      </c>
      <c r="V8" s="15"/>
      <c r="W8" s="27">
        <v>376913.5</v>
      </c>
      <c r="X8" s="69">
        <v>1.1499999999999999</v>
      </c>
      <c r="Y8" s="70">
        <v>-20</v>
      </c>
      <c r="Z8" s="71">
        <v>13.907</v>
      </c>
      <c r="AA8" s="40"/>
      <c r="AB8" s="72"/>
      <c r="AC8" s="72"/>
      <c r="AD8" s="72"/>
      <c r="AE8" s="72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19"/>
      <c r="AY8" s="74"/>
      <c r="AZ8" s="74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</row>
    <row r="9" spans="1:99" ht="14.1" customHeight="1" thickBot="1">
      <c r="A9" s="63">
        <v>-10</v>
      </c>
      <c r="B9" s="75">
        <v>102</v>
      </c>
      <c r="C9" s="65"/>
      <c r="D9" s="66">
        <f>AVERAGE(U7:U8)</f>
        <v>507.38499999999999</v>
      </c>
      <c r="E9" s="66">
        <f>D9-$E$5</f>
        <v>468.87</v>
      </c>
      <c r="F9" s="66"/>
      <c r="G9" s="66">
        <f>($E9*7.1425)</f>
        <v>3348.9039750000002</v>
      </c>
      <c r="H9" s="66">
        <f>($G9/($B9*0.01))</f>
        <v>3283.2391911764707</v>
      </c>
      <c r="I9" s="66"/>
      <c r="J9" s="67">
        <f>$N$2/H9/$D$2</f>
        <v>2.7124350253286202</v>
      </c>
      <c r="K9" s="67"/>
      <c r="L9" s="67">
        <f>J9/($D$4/$D$2)</f>
        <v>3.4386580776593356</v>
      </c>
      <c r="N9" s="68">
        <f>J9-M9</f>
        <v>2.7124350253286202</v>
      </c>
      <c r="O9" s="67">
        <f>N9/($D$4/$D$2)</f>
        <v>3.4386580776593356</v>
      </c>
      <c r="P9" s="67"/>
      <c r="Q9" s="30"/>
      <c r="R9" s="30"/>
      <c r="T9" s="13">
        <v>-5</v>
      </c>
      <c r="U9" s="14">
        <v>487.59</v>
      </c>
      <c r="V9" s="15"/>
      <c r="W9" s="76"/>
      <c r="X9" s="69">
        <v>1.33</v>
      </c>
      <c r="Y9" s="70">
        <v>-10</v>
      </c>
      <c r="Z9" s="71">
        <v>12.199</v>
      </c>
      <c r="AA9" s="40"/>
      <c r="AB9" s="72"/>
      <c r="AC9" s="72"/>
      <c r="AD9" s="72"/>
      <c r="AE9" s="72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19"/>
      <c r="AY9" s="74"/>
      <c r="AZ9" s="74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</row>
    <row r="10" spans="1:99" s="80" customFormat="1" ht="14.1" customHeight="1">
      <c r="A10" s="77">
        <v>0</v>
      </c>
      <c r="B10" s="75">
        <v>100</v>
      </c>
      <c r="C10" s="65"/>
      <c r="D10" s="66">
        <f>AVERAGE(U11:U12)</f>
        <v>453.77</v>
      </c>
      <c r="E10" s="66">
        <f>D10-$E$5</f>
        <v>415.255</v>
      </c>
      <c r="F10" s="66"/>
      <c r="G10" s="78">
        <f>($E10*7.1425)</f>
        <v>2965.9588374999998</v>
      </c>
      <c r="H10" s="78">
        <f>($G10/($B10*0.01))</f>
        <v>2965.9588374999998</v>
      </c>
      <c r="I10" s="78"/>
      <c r="J10" s="79">
        <f>$N$2/H10/$D$2</f>
        <v>3.0025949335780928</v>
      </c>
      <c r="K10" s="79"/>
      <c r="L10" s="67">
        <f>J10/($D$4/$D$2)</f>
        <v>3.8065049396110089</v>
      </c>
      <c r="N10" s="81">
        <f>J10-M10</f>
        <v>3.0025949335780928</v>
      </c>
      <c r="O10" s="67">
        <f>N10/($D$4/$D$2)</f>
        <v>3.8065049396110089</v>
      </c>
      <c r="P10" s="67"/>
      <c r="Q10" s="30"/>
      <c r="R10" s="30"/>
      <c r="S10" s="13"/>
      <c r="T10" s="13" t="s">
        <v>39</v>
      </c>
      <c r="U10" s="14">
        <v>497.91</v>
      </c>
      <c r="V10" s="15"/>
      <c r="W10" s="15"/>
      <c r="X10" s="69">
        <v>1.27</v>
      </c>
      <c r="Y10" s="70">
        <v>0</v>
      </c>
      <c r="Z10" s="82">
        <v>13.041</v>
      </c>
      <c r="AA10" s="30"/>
      <c r="AB10" s="83" t="s">
        <v>40</v>
      </c>
      <c r="AC10" s="83" t="s">
        <v>41</v>
      </c>
      <c r="AD10" s="83" t="s">
        <v>42</v>
      </c>
      <c r="AE10" s="83" t="s">
        <v>43</v>
      </c>
      <c r="AF10" s="83" t="s">
        <v>44</v>
      </c>
      <c r="AG10" s="83" t="s">
        <v>45</v>
      </c>
      <c r="AH10" s="83" t="s">
        <v>46</v>
      </c>
      <c r="AI10" s="83" t="s">
        <v>47</v>
      </c>
      <c r="AJ10" s="83" t="s">
        <v>48</v>
      </c>
      <c r="AK10" s="83" t="s">
        <v>49</v>
      </c>
      <c r="AL10" s="83" t="s">
        <v>50</v>
      </c>
      <c r="AM10" s="83" t="s">
        <v>51</v>
      </c>
      <c r="AN10" s="83" t="s">
        <v>52</v>
      </c>
      <c r="AO10" s="83" t="s">
        <v>53</v>
      </c>
      <c r="AP10" s="83" t="s">
        <v>54</v>
      </c>
      <c r="AQ10" s="83" t="s">
        <v>55</v>
      </c>
      <c r="AR10" s="83" t="s">
        <v>56</v>
      </c>
      <c r="AS10" s="83" t="s">
        <v>57</v>
      </c>
      <c r="AT10" s="83" t="s">
        <v>58</v>
      </c>
      <c r="AU10" s="83" t="s">
        <v>59</v>
      </c>
      <c r="AV10" s="84" t="s">
        <v>60</v>
      </c>
      <c r="AW10" s="84" t="s">
        <v>61</v>
      </c>
      <c r="AX10" s="85" t="s">
        <v>62</v>
      </c>
      <c r="AY10" s="85" t="s">
        <v>63</v>
      </c>
      <c r="AZ10" s="85" t="s">
        <v>64</v>
      </c>
      <c r="BA10" s="86" t="s">
        <v>65</v>
      </c>
      <c r="BB10" s="86" t="s">
        <v>66</v>
      </c>
      <c r="BC10" s="86" t="s">
        <v>67</v>
      </c>
      <c r="BD10" s="86" t="s">
        <v>68</v>
      </c>
      <c r="BE10" s="86" t="s">
        <v>69</v>
      </c>
      <c r="BF10" s="86" t="s">
        <v>70</v>
      </c>
      <c r="BG10" s="86" t="s">
        <v>71</v>
      </c>
      <c r="BH10" s="86" t="s">
        <v>72</v>
      </c>
      <c r="BI10" s="86" t="s">
        <v>73</v>
      </c>
      <c r="BJ10" s="86" t="s">
        <v>74</v>
      </c>
      <c r="BK10" s="86" t="s">
        <v>75</v>
      </c>
      <c r="BL10" s="86" t="s">
        <v>76</v>
      </c>
      <c r="BM10" s="86" t="s">
        <v>77</v>
      </c>
      <c r="BN10" s="87" t="s">
        <v>78</v>
      </c>
      <c r="BO10" s="87" t="s">
        <v>79</v>
      </c>
      <c r="BP10" s="87" t="s">
        <v>80</v>
      </c>
      <c r="BQ10" s="88" t="s">
        <v>81</v>
      </c>
      <c r="BR10" s="88" t="s">
        <v>82</v>
      </c>
      <c r="BS10" s="88" t="s">
        <v>83</v>
      </c>
      <c r="BT10" s="88" t="s">
        <v>84</v>
      </c>
      <c r="BU10" s="88" t="s">
        <v>85</v>
      </c>
      <c r="BV10" s="88" t="s">
        <v>86</v>
      </c>
      <c r="BW10" s="88" t="s">
        <v>87</v>
      </c>
      <c r="BX10" s="88" t="s">
        <v>88</v>
      </c>
      <c r="BY10" s="88" t="s">
        <v>89</v>
      </c>
      <c r="BZ10" s="88" t="s">
        <v>90</v>
      </c>
      <c r="CA10" s="88" t="s">
        <v>91</v>
      </c>
      <c r="CB10" s="88" t="s">
        <v>92</v>
      </c>
      <c r="CC10" s="88" t="s">
        <v>93</v>
      </c>
      <c r="CD10" s="40"/>
      <c r="CE10" s="89" t="s">
        <v>94</v>
      </c>
      <c r="CF10" s="89" t="s">
        <v>95</v>
      </c>
      <c r="CG10" s="90" t="s">
        <v>96</v>
      </c>
      <c r="CH10" s="40"/>
      <c r="CI10" s="91" t="s">
        <v>97</v>
      </c>
      <c r="CJ10" s="91" t="s">
        <v>98</v>
      </c>
      <c r="CK10" s="91" t="s">
        <v>99</v>
      </c>
      <c r="CL10" s="91" t="s">
        <v>100</v>
      </c>
      <c r="CM10" s="91" t="s">
        <v>101</v>
      </c>
      <c r="CN10" s="91" t="s">
        <v>102</v>
      </c>
      <c r="CO10" s="91" t="s">
        <v>103</v>
      </c>
      <c r="CP10" s="92" t="s">
        <v>104</v>
      </c>
      <c r="CQ10" s="92" t="s">
        <v>105</v>
      </c>
      <c r="CR10" s="13"/>
      <c r="CS10" s="13"/>
      <c r="CT10" s="13"/>
      <c r="CU10" s="13"/>
    </row>
    <row r="11" spans="1:99" s="49" customFormat="1" ht="14.1" customHeight="1">
      <c r="A11" s="93" t="s">
        <v>106</v>
      </c>
      <c r="B11" s="49">
        <f>AVERAGE(B7:B10)</f>
        <v>101</v>
      </c>
      <c r="E11" s="50">
        <f>AVERAGE(E7:E10)</f>
        <v>457.5675</v>
      </c>
      <c r="G11" s="50">
        <f>AVERAGE(G7:G10)</f>
        <v>3268.1758687500001</v>
      </c>
      <c r="H11" s="50">
        <f>AVERAGE(H7:H10)</f>
        <v>3235.0323444215933</v>
      </c>
      <c r="J11" s="94">
        <f>AVERAGE(J7:J10)</f>
        <v>2.7605598205071136</v>
      </c>
      <c r="K11" s="50" t="s">
        <v>39</v>
      </c>
      <c r="L11" s="50">
        <f>AVERAGE(L7:L10)</f>
        <v>3.4996677291831269</v>
      </c>
      <c r="M11" s="50"/>
      <c r="N11" s="94">
        <f>AVERAGE(N7:N10)</f>
        <v>2.7605598205071136</v>
      </c>
      <c r="O11" s="50">
        <f>AVERAGE(O7:O10)</f>
        <v>3.4996677291831269</v>
      </c>
      <c r="P11" s="95"/>
      <c r="Q11" s="95"/>
      <c r="R11" s="95"/>
      <c r="S11" s="6"/>
      <c r="T11" s="13">
        <v>0</v>
      </c>
      <c r="U11" s="14">
        <v>467.77</v>
      </c>
      <c r="V11" s="15"/>
      <c r="W11" s="15"/>
      <c r="X11" s="96">
        <f>AVERAGE(X7:X10)</f>
        <v>1.29</v>
      </c>
      <c r="Y11" s="70" t="s">
        <v>107</v>
      </c>
      <c r="Z11" s="96">
        <f>AVERAGE(Z7:Z10)</f>
        <v>12.678249999999998</v>
      </c>
      <c r="AA11" s="30"/>
      <c r="AB11" s="72">
        <f>J11</f>
        <v>2.7605598205071136</v>
      </c>
      <c r="AC11" s="73">
        <f>AB11/($D$4/$D$2)</f>
        <v>3.4996677291831273</v>
      </c>
      <c r="AD11" s="73">
        <f>AB11/Z11</f>
        <v>0.21773981586631547</v>
      </c>
      <c r="AE11" s="73">
        <f>AC11/Z11</f>
        <v>0.2760371288768661</v>
      </c>
      <c r="AF11" s="72">
        <f>N20</f>
        <v>0.68882685280407763</v>
      </c>
      <c r="AG11" s="72">
        <f>AF11/($D$4/$D$2)</f>
        <v>0.87325226203950501</v>
      </c>
      <c r="AH11" s="72">
        <f>AF11/Z18</f>
        <v>1.3972657273573429E-2</v>
      </c>
      <c r="AI11" s="72">
        <f>AG11/Z18</f>
        <v>1.7713674374307885E-2</v>
      </c>
      <c r="AJ11" s="73">
        <f>((AB11-AF11)/AB11)*100</f>
        <v>75.047566523027186</v>
      </c>
      <c r="AK11" s="73">
        <f>((AC11-AG11)/AC11)*100</f>
        <v>75.047566523027172</v>
      </c>
      <c r="AL11" s="73">
        <f>((AD11-AH11)/AD11)*100</f>
        <v>93.582865302801508</v>
      </c>
      <c r="AM11" s="73">
        <f>((AE11-AI11)/AE11)*100</f>
        <v>93.582865302801508</v>
      </c>
      <c r="AN11" s="72">
        <f>N29</f>
        <v>0.77985014611118242</v>
      </c>
      <c r="AO11" s="72">
        <f>AN11/($D$4/$D$2)</f>
        <v>0.98864598755287836</v>
      </c>
      <c r="AP11" s="72">
        <f>AN11/Z25</f>
        <v>5.8851284873157328E-3</v>
      </c>
      <c r="AQ11" s="72">
        <f>AO11/Z25</f>
        <v>7.4608034559351484E-3</v>
      </c>
      <c r="AR11" s="73">
        <f>((AB11-AN11)/AB11)*100</f>
        <v>71.750289911561339</v>
      </c>
      <c r="AS11" s="73">
        <f>((AC11-AO11)/AC11)*100</f>
        <v>71.750289911561339</v>
      </c>
      <c r="AT11" s="73">
        <f>((AD11-AP11)/AD11)*100</f>
        <v>97.297173939501718</v>
      </c>
      <c r="AU11" s="73">
        <f>((AE11-AQ11)/AE11)*100</f>
        <v>97.297173939501718</v>
      </c>
      <c r="AV11" s="72">
        <f>J11</f>
        <v>2.7605598205071136</v>
      </c>
      <c r="AW11" s="72">
        <f>AV11/($D$4/$D$2)</f>
        <v>3.4996677291831273</v>
      </c>
      <c r="AX11" s="95">
        <f>M20</f>
        <v>3.6807566862361383</v>
      </c>
      <c r="AY11" s="95">
        <f>AX11/($D$4/$D$2)</f>
        <v>4.6662366445039858</v>
      </c>
      <c r="AZ11" s="95">
        <f>AX11/Z11</f>
        <v>0.29032056366108405</v>
      </c>
      <c r="BA11" s="73">
        <f>AY11/Z11</f>
        <v>0.368050530988424</v>
      </c>
      <c r="BB11" s="72">
        <f>P21</f>
        <v>3.9840900195694715</v>
      </c>
      <c r="BC11" s="73">
        <f>BB11/($D$4/$D$2)</f>
        <v>5.0507839634811944</v>
      </c>
      <c r="BD11" s="73">
        <f>BB11/Z18</f>
        <v>8.0816135671677086E-2</v>
      </c>
      <c r="BE11" s="73">
        <f>BC11/Z18</f>
        <v>0.10245371967903888</v>
      </c>
      <c r="BF11" s="72">
        <f>K20</f>
        <v>4.1721928019234511</v>
      </c>
      <c r="BG11" s="73">
        <f>BF11/($D$4/$D$2)</f>
        <v>5.2892490864912265</v>
      </c>
      <c r="BH11" s="73">
        <f>BF11/Z18</f>
        <v>8.4631747242768521E-2</v>
      </c>
      <c r="BI11" s="73">
        <f>BG11/Z18</f>
        <v>0.10729091704141787</v>
      </c>
      <c r="BJ11" s="72">
        <f>J21</f>
        <v>3.2509912521893018</v>
      </c>
      <c r="BK11" s="73">
        <f>BJ11/($D$4/$D$2)</f>
        <v>4.1214064946629287</v>
      </c>
      <c r="BL11" s="73">
        <f>BJ11/Z18</f>
        <v>6.5945435171858233E-2</v>
      </c>
      <c r="BM11" s="73">
        <f>BK11/Z18</f>
        <v>8.3601561409198083E-2</v>
      </c>
      <c r="BN11" s="95">
        <f>M29</f>
        <v>7.8143509458577949</v>
      </c>
      <c r="BO11" s="95">
        <f>BN11/($D$4/$D$2)</f>
        <v>9.9065528761866961</v>
      </c>
      <c r="BP11" s="95">
        <f>BN11/Z25</f>
        <v>5.8970892793541681E-2</v>
      </c>
      <c r="BQ11" s="73">
        <f>BO11/Z25</f>
        <v>7.475966611466657E-2</v>
      </c>
      <c r="BR11" s="72">
        <f>P30</f>
        <v>8.0310176125244617</v>
      </c>
      <c r="BS11" s="73">
        <f>BR11/($D$4/$D$2)</f>
        <v>10.181229532598987</v>
      </c>
      <c r="BT11" s="73">
        <f>BR11/Z25</f>
        <v>6.0605964837331425E-2</v>
      </c>
      <c r="BU11" s="73">
        <f>BS11/Z25</f>
        <v>7.6832509754580627E-2</v>
      </c>
      <c r="BV11" s="72">
        <f>K29</f>
        <v>8.2981149862938288</v>
      </c>
      <c r="BW11" s="73">
        <f>BV11/($D$4/$D$2)</f>
        <v>10.519839133661176</v>
      </c>
      <c r="BX11" s="73">
        <f>BV11/Z25</f>
        <v>6.2621611524192738E-2</v>
      </c>
      <c r="BY11" s="73">
        <f>BW11/Z25</f>
        <v>7.9387822488990997E-2</v>
      </c>
      <c r="BZ11" s="72">
        <f>J30</f>
        <v>7.7492913695817025</v>
      </c>
      <c r="CA11" s="73">
        <f>BZ11/($D$4/$D$2)</f>
        <v>9.8240743521292302</v>
      </c>
      <c r="CB11" s="73">
        <f>BZ11/Z25</f>
        <v>5.8479921588850084E-2</v>
      </c>
      <c r="CC11" s="73">
        <f>CA11/Z25</f>
        <v>7.4137243058207791E-2</v>
      </c>
      <c r="CD11" s="13"/>
      <c r="CE11" s="97">
        <f>B11</f>
        <v>101</v>
      </c>
      <c r="CF11" s="13">
        <f>Z11</f>
        <v>12.678249999999998</v>
      </c>
      <c r="CG11" s="40">
        <f>((CE11/18)*CF11)/22.5</f>
        <v>3.1617364197530859</v>
      </c>
      <c r="CH11" s="40"/>
      <c r="CI11" s="40">
        <f>X28</f>
        <v>0</v>
      </c>
      <c r="CJ11" s="40">
        <f>X29</f>
        <v>0</v>
      </c>
      <c r="CK11" s="40">
        <f>X30</f>
        <v>0</v>
      </c>
      <c r="CL11" s="40">
        <f>X31</f>
        <v>0</v>
      </c>
      <c r="CM11" s="40">
        <f>X32</f>
        <v>0</v>
      </c>
      <c r="CN11" s="40">
        <f>X33</f>
        <v>0</v>
      </c>
      <c r="CO11" s="13">
        <f>X11</f>
        <v>1.29</v>
      </c>
      <c r="CP11" s="13">
        <f>X18</f>
        <v>0.29199999999999998</v>
      </c>
      <c r="CQ11" s="13">
        <f>X25</f>
        <v>1.7999999999999999E-2</v>
      </c>
      <c r="CR11" s="13"/>
      <c r="CS11" s="13"/>
      <c r="CT11" s="13"/>
      <c r="CU11" s="13"/>
    </row>
    <row r="12" spans="1:99" ht="14.1" customHeight="1" thickBot="1">
      <c r="B12" s="98"/>
      <c r="C12" s="65"/>
      <c r="D12" s="99"/>
      <c r="E12" s="13"/>
      <c r="F12" s="13"/>
      <c r="G12" s="13"/>
      <c r="H12" s="13"/>
      <c r="I12" s="13"/>
      <c r="J12" s="6" t="s">
        <v>108</v>
      </c>
      <c r="K12" s="13"/>
      <c r="L12" s="13"/>
      <c r="M12" s="12" t="s">
        <v>39</v>
      </c>
      <c r="N12" s="13"/>
      <c r="O12" s="13"/>
      <c r="P12" s="13"/>
      <c r="Q12" s="30"/>
      <c r="R12" s="30"/>
      <c r="U12" s="14">
        <v>439.77</v>
      </c>
      <c r="V12" s="15"/>
      <c r="W12" s="15"/>
      <c r="Y12" s="70"/>
      <c r="Z12" s="96"/>
      <c r="AA12" s="30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30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40"/>
      <c r="CG12" s="40"/>
      <c r="CH12" s="40"/>
      <c r="CI12" s="40"/>
      <c r="CJ12" s="40"/>
      <c r="CK12" s="40"/>
      <c r="CL12" s="40"/>
      <c r="CM12" s="40"/>
      <c r="CN12" s="40"/>
    </row>
    <row r="13" spans="1:99" ht="14.1" customHeight="1" thickBot="1">
      <c r="B13" s="98"/>
      <c r="C13" s="65"/>
      <c r="D13" s="99"/>
      <c r="E13" s="13"/>
      <c r="F13" s="13"/>
      <c r="G13" s="13"/>
      <c r="H13" s="13"/>
      <c r="I13" s="13"/>
      <c r="J13" s="6"/>
      <c r="K13" s="13"/>
      <c r="L13" s="13"/>
      <c r="M13" s="100" t="s">
        <v>32</v>
      </c>
      <c r="N13" s="101"/>
      <c r="O13" s="101"/>
      <c r="P13" s="101"/>
      <c r="Q13" s="30"/>
      <c r="R13" s="102" t="s">
        <v>25</v>
      </c>
      <c r="S13" s="103" t="s">
        <v>109</v>
      </c>
      <c r="T13" s="13">
        <v>30</v>
      </c>
      <c r="U13" s="196">
        <v>439.77</v>
      </c>
      <c r="V13" s="15"/>
      <c r="W13" s="15"/>
      <c r="X13" s="69">
        <v>0.12</v>
      </c>
      <c r="Y13" s="30">
        <v>90</v>
      </c>
      <c r="Z13" s="71">
        <v>63.817</v>
      </c>
      <c r="AA13" s="40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19"/>
      <c r="AY13" s="74"/>
      <c r="AZ13" s="74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40"/>
      <c r="CG13" s="40"/>
      <c r="CH13" s="40"/>
      <c r="CI13" s="40"/>
      <c r="CJ13" s="40"/>
      <c r="CK13" s="40"/>
      <c r="CL13" s="40"/>
      <c r="CM13" s="40"/>
      <c r="CN13" s="40"/>
    </row>
    <row r="14" spans="1:99" ht="14.1" customHeight="1">
      <c r="A14" s="12">
        <v>90</v>
      </c>
      <c r="B14" s="75">
        <v>119</v>
      </c>
      <c r="C14" s="65"/>
      <c r="D14" s="104">
        <f>AVERAGE(U17:U18)</f>
        <v>441.15499999999997</v>
      </c>
      <c r="E14" s="78">
        <f>D14-$E$5</f>
        <v>402.64</v>
      </c>
      <c r="F14" s="78"/>
      <c r="G14" s="78">
        <f t="shared" ref="G14:G27" si="0">($E14*7.1425)</f>
        <v>2875.8561999999997</v>
      </c>
      <c r="H14" s="78">
        <f t="shared" ref="H14:H27" si="1">($G14/($B14*0.01))</f>
        <v>2416.685882352941</v>
      </c>
      <c r="I14" s="33">
        <f>$C$15*A14+$C$16</f>
        <v>2368.2734171428574</v>
      </c>
      <c r="J14" s="105" t="s">
        <v>110</v>
      </c>
      <c r="K14" s="106" t="s">
        <v>111</v>
      </c>
      <c r="L14" s="13"/>
      <c r="M14" s="107">
        <f>(((S14/60)*$J$1)/$D$2)</f>
        <v>4.4703196347031966</v>
      </c>
      <c r="N14" s="101"/>
      <c r="O14" s="101"/>
      <c r="P14" s="101"/>
      <c r="Q14" s="30"/>
      <c r="R14" s="108">
        <v>90</v>
      </c>
      <c r="S14" s="109">
        <v>77</v>
      </c>
      <c r="U14" s="196">
        <v>412.15</v>
      </c>
      <c r="V14" s="15"/>
      <c r="W14" s="110"/>
      <c r="X14" s="69">
        <v>0.32</v>
      </c>
      <c r="Y14" s="30">
        <v>100</v>
      </c>
      <c r="Z14" s="71">
        <v>47.268999999999998</v>
      </c>
      <c r="AA14" s="40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19"/>
      <c r="AY14" s="74"/>
      <c r="AZ14" s="74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40"/>
      <c r="CG14" s="40"/>
      <c r="CH14" s="40"/>
      <c r="CI14" s="40"/>
      <c r="CJ14" s="40"/>
      <c r="CK14" s="40"/>
      <c r="CL14" s="40"/>
      <c r="CM14" s="40"/>
      <c r="CN14" s="40"/>
    </row>
    <row r="15" spans="1:99" s="115" customFormat="1" ht="14.1" customHeight="1">
      <c r="A15" s="12">
        <v>100</v>
      </c>
      <c r="B15" s="75">
        <v>106</v>
      </c>
      <c r="C15" s="65">
        <f>SLOPE(G15:G18,A15:A18)</f>
        <v>0.10550492857142152</v>
      </c>
      <c r="D15" s="104">
        <f>AVERAGE(U19:U20)</f>
        <v>375.73</v>
      </c>
      <c r="E15" s="66">
        <f>D15-$E$5</f>
        <v>337.21500000000003</v>
      </c>
      <c r="F15" s="111">
        <v>180</v>
      </c>
      <c r="G15" s="112">
        <f t="shared" si="0"/>
        <v>2408.5581375000002</v>
      </c>
      <c r="H15" s="78">
        <f t="shared" si="1"/>
        <v>2272.224658018868</v>
      </c>
      <c r="I15" s="33">
        <f>$C$15*A15+$C$16</f>
        <v>2369.3284664285716</v>
      </c>
      <c r="J15" s="113">
        <f>((($N$2-(130*$D$2*(((B15+B14)*0.01)/2))*((I15-I14)/(A15-A14))))/((I15+I14)/2))/$D$2</f>
        <v>3.7530139092959356</v>
      </c>
      <c r="K15" s="114">
        <f>$N$2/H15/$D$2</f>
        <v>3.9193188698354136</v>
      </c>
      <c r="L15" s="114">
        <f>J15/($D$4/$D$2)</f>
        <v>4.7578399018810735</v>
      </c>
      <c r="M15" s="107">
        <f>(((S15/60)*$J$1)/$D$2)</f>
        <v>3.4833659491193738</v>
      </c>
      <c r="N15" s="19">
        <f>K15-M15</f>
        <v>0.43595292071603975</v>
      </c>
      <c r="O15" s="74">
        <f>N15/($D$4/$D$2)</f>
        <v>0.55267426437902234</v>
      </c>
      <c r="P15" s="74"/>
      <c r="Q15" s="30"/>
      <c r="R15" s="108">
        <v>100</v>
      </c>
      <c r="S15" s="109">
        <v>60</v>
      </c>
      <c r="T15" s="13">
        <v>60</v>
      </c>
      <c r="U15" s="14">
        <v>412.15</v>
      </c>
      <c r="V15" s="15"/>
      <c r="W15" s="110"/>
      <c r="X15" s="69">
        <v>0.42</v>
      </c>
      <c r="Y15" s="30">
        <v>110</v>
      </c>
      <c r="Z15" s="71">
        <v>26.475999999999999</v>
      </c>
      <c r="AA15" s="40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19"/>
      <c r="AY15" s="74"/>
      <c r="AZ15" s="74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40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40"/>
      <c r="CH15" s="40"/>
      <c r="CI15" s="40"/>
      <c r="CJ15" s="40"/>
      <c r="CK15" s="40"/>
      <c r="CL15" s="40"/>
      <c r="CM15" s="40"/>
      <c r="CN15" s="40"/>
      <c r="CO15" s="13"/>
      <c r="CP15" s="13"/>
      <c r="CQ15" s="13"/>
      <c r="CR15" s="13"/>
      <c r="CS15" s="13"/>
      <c r="CT15" s="13"/>
      <c r="CU15" s="13"/>
    </row>
    <row r="16" spans="1:99" ht="14.1" customHeight="1">
      <c r="A16" s="12">
        <v>110</v>
      </c>
      <c r="B16" s="75">
        <v>111</v>
      </c>
      <c r="C16" s="65">
        <f>INTERCEPT(G15:G18,A15:A18)</f>
        <v>2358.7779735714294</v>
      </c>
      <c r="D16" s="104">
        <f>AVERAGE(U21:U22)</f>
        <v>377.02499999999998</v>
      </c>
      <c r="E16" s="66">
        <f>D16-$E$5</f>
        <v>338.51</v>
      </c>
      <c r="F16" s="116">
        <v>210</v>
      </c>
      <c r="G16" s="66">
        <f t="shared" si="0"/>
        <v>2417.807675</v>
      </c>
      <c r="H16" s="78">
        <f t="shared" si="1"/>
        <v>2178.2051126126125</v>
      </c>
      <c r="I16" s="33">
        <f>$C$15*A16+$C$16</f>
        <v>2370.3835157142857</v>
      </c>
      <c r="J16" s="113">
        <f>((($N$2-(130*$D$2*(((B16+B15)*0.01)/2))*((I16-I15)/(A16-A15))))/((I16+I15)/2))/$D$2</f>
        <v>3.7515745859663512</v>
      </c>
      <c r="K16" s="67">
        <f>$N$2/H16/$D$2</f>
        <v>4.0884914497317588</v>
      </c>
      <c r="L16" s="67">
        <f>J16/($D$4/$D$2)</f>
        <v>4.7560152164056895</v>
      </c>
      <c r="M16" s="107">
        <f>(((S16/60)*$J$1)/$D$2)</f>
        <v>3.4833659491193738</v>
      </c>
      <c r="N16" s="19">
        <f>K16-M16</f>
        <v>0.60512550061238501</v>
      </c>
      <c r="O16" s="67">
        <f>N16/($D$4/$D$2)</f>
        <v>0.76714084254472747</v>
      </c>
      <c r="P16" s="67"/>
      <c r="Q16" s="30"/>
      <c r="R16" s="108">
        <v>110</v>
      </c>
      <c r="S16" s="109">
        <v>60</v>
      </c>
      <c r="U16" s="14">
        <v>465.36</v>
      </c>
      <c r="V16" s="15"/>
      <c r="W16" s="110"/>
      <c r="X16" s="69">
        <v>0.32</v>
      </c>
      <c r="Y16" s="30">
        <v>115</v>
      </c>
      <c r="Z16" s="71">
        <v>49.726999999999997</v>
      </c>
      <c r="AA16" s="40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19"/>
      <c r="AY16" s="74"/>
      <c r="AZ16" s="74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40"/>
    </row>
    <row r="17" spans="1:67" ht="14.1" customHeight="1">
      <c r="A17" s="12">
        <v>115</v>
      </c>
      <c r="B17" s="75">
        <v>113</v>
      </c>
      <c r="C17" s="65"/>
      <c r="D17" s="104">
        <f>AVERAGE(U23:U24)</f>
        <v>335.21</v>
      </c>
      <c r="E17" s="66">
        <f>D17-$E$5</f>
        <v>296.69499999999999</v>
      </c>
      <c r="F17" s="116">
        <v>220</v>
      </c>
      <c r="G17" s="66">
        <f t="shared" si="0"/>
        <v>2119.1440375000002</v>
      </c>
      <c r="H17" s="78">
        <f t="shared" si="1"/>
        <v>1875.3487057522125</v>
      </c>
      <c r="I17" s="33">
        <f>$C$15*A17+$C$16</f>
        <v>2370.9110403571426</v>
      </c>
      <c r="J17" s="113">
        <f>((($N$2-(130*$D$2*(((B17+B16)*0.01)/2))*((I17-I16)/(A17-A16))))/((I17+I16)/2))/$D$2</f>
        <v>3.7501198695594158</v>
      </c>
      <c r="K17" s="67">
        <f>$N$2/H17/$D$2</f>
        <v>4.7487557654546144</v>
      </c>
      <c r="L17" s="67">
        <f>J17/($D$4/$D$2)</f>
        <v>4.7541710165348352</v>
      </c>
      <c r="M17" s="107">
        <f>(((S17/60)*$J$1)/$D$2)</f>
        <v>3.4833659491193738</v>
      </c>
      <c r="N17" s="19">
        <f>K17-M17</f>
        <v>1.2653898163352406</v>
      </c>
      <c r="O17" s="67">
        <f>N17/($D$4/$D$2)</f>
        <v>1.6041832791190531</v>
      </c>
      <c r="P17" s="67"/>
      <c r="Q17" s="30"/>
      <c r="R17" s="108">
        <v>115</v>
      </c>
      <c r="S17" s="117">
        <v>60</v>
      </c>
      <c r="T17" s="40">
        <v>90</v>
      </c>
      <c r="U17" s="14">
        <v>422.32</v>
      </c>
      <c r="V17" s="15"/>
      <c r="W17" s="110"/>
      <c r="X17" s="69">
        <v>0.28000000000000003</v>
      </c>
      <c r="Y17" s="30">
        <v>120</v>
      </c>
      <c r="Z17" s="71">
        <v>59.201999999999998</v>
      </c>
      <c r="AA17" s="40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19"/>
      <c r="AY17" s="74"/>
      <c r="AZ17" s="74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40"/>
    </row>
    <row r="18" spans="1:67" ht="14.1" customHeight="1">
      <c r="A18" s="12">
        <v>120</v>
      </c>
      <c r="B18" s="118">
        <v>112</v>
      </c>
      <c r="C18" s="65"/>
      <c r="D18" s="104">
        <f>AVERAGE(U25:U26)</f>
        <v>393.65</v>
      </c>
      <c r="E18" s="66">
        <f>D18-$E$5</f>
        <v>355.13499999999999</v>
      </c>
      <c r="F18" s="116">
        <v>225</v>
      </c>
      <c r="G18" s="66">
        <f t="shared" si="0"/>
        <v>2536.5517374999999</v>
      </c>
      <c r="H18" s="78">
        <f t="shared" si="1"/>
        <v>2264.7783370535712</v>
      </c>
      <c r="I18" s="33">
        <f>$C$15*A18+$C$16</f>
        <v>2371.4385649999999</v>
      </c>
      <c r="J18" s="113">
        <f>((($N$2-(130*$D$2*(((B18+B17)*0.01)/2))*((I18-I17)/(A18-A17))))/((I18+I17)/2))/$D$2</f>
        <v>3.7492566439355048</v>
      </c>
      <c r="K18" s="67">
        <f>$N$2/H18/$D$2</f>
        <v>3.9322051226720189</v>
      </c>
      <c r="L18" s="67">
        <f>J18/($D$4/$D$2)</f>
        <v>4.7530766722512725</v>
      </c>
      <c r="M18" s="107">
        <f>(((S18/60)*$J$1)/$D$2)</f>
        <v>3.4833659491193738</v>
      </c>
      <c r="N18" s="19">
        <f>K18-M18</f>
        <v>0.44883917355264513</v>
      </c>
      <c r="O18" s="67">
        <f>N18/($D$4/$D$2)</f>
        <v>0.569010662115217</v>
      </c>
      <c r="P18" s="67"/>
      <c r="Q18" s="30"/>
      <c r="R18" s="108">
        <v>120</v>
      </c>
      <c r="S18" s="117">
        <v>60</v>
      </c>
      <c r="T18" s="30"/>
      <c r="U18" s="14">
        <v>459.99</v>
      </c>
      <c r="V18" s="15"/>
      <c r="W18" s="110"/>
      <c r="X18" s="96">
        <f>AVERAGE(X13:X17)</f>
        <v>0.29199999999999998</v>
      </c>
      <c r="Y18" s="30" t="s">
        <v>107</v>
      </c>
      <c r="Z18" s="96">
        <f>AVERAGE(Z13:Z17)</f>
        <v>49.298200000000001</v>
      </c>
      <c r="AA18" s="30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5"/>
      <c r="AY18" s="95"/>
      <c r="AZ18" s="95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2"/>
      <c r="BO18" s="40"/>
    </row>
    <row r="19" spans="1:67" ht="14.1" customHeight="1" thickBot="1">
      <c r="A19" s="63"/>
      <c r="B19" s="98"/>
      <c r="C19" s="65"/>
      <c r="D19" s="99"/>
      <c r="E19" s="66"/>
      <c r="F19" s="63"/>
      <c r="G19" s="66"/>
      <c r="H19" s="66"/>
      <c r="I19" s="33"/>
      <c r="J19" s="113"/>
      <c r="K19" s="67"/>
      <c r="L19" s="67"/>
      <c r="M19" s="107"/>
      <c r="O19" s="67"/>
      <c r="P19" s="67"/>
      <c r="Q19" s="30"/>
      <c r="R19" s="108"/>
      <c r="S19" s="117"/>
      <c r="T19" s="41">
        <v>100</v>
      </c>
      <c r="U19" s="14">
        <v>364.24</v>
      </c>
      <c r="V19" s="15"/>
      <c r="W19" s="110"/>
      <c r="Y19" s="30"/>
      <c r="Z19" s="96"/>
      <c r="AA19" s="30"/>
      <c r="AB19" s="96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30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40"/>
    </row>
    <row r="20" spans="1:67" ht="14.1" customHeight="1" thickBot="1">
      <c r="A20" s="119" t="s">
        <v>112</v>
      </c>
      <c r="B20" s="120">
        <f>AVERAGE(B14:B19)</f>
        <v>112.2</v>
      </c>
      <c r="C20" s="121"/>
      <c r="D20" s="122">
        <f>AVERAGE(D14:D18)</f>
        <v>384.55399999999997</v>
      </c>
      <c r="E20" s="122">
        <f>AVERAGE(E14:E18)</f>
        <v>346.03899999999999</v>
      </c>
      <c r="F20" s="122"/>
      <c r="G20" s="122">
        <f>AVERAGE(G14:G18)</f>
        <v>2471.5835575000001</v>
      </c>
      <c r="H20" s="122">
        <f>AVERAGE(H14:H18)</f>
        <v>2201.4485391580411</v>
      </c>
      <c r="I20" s="122"/>
      <c r="J20" s="122">
        <f t="shared" ref="J20:O20" si="2">AVERAGE(J14:J18)</f>
        <v>3.7509912521893018</v>
      </c>
      <c r="K20" s="123">
        <f t="shared" si="2"/>
        <v>4.1721928019234511</v>
      </c>
      <c r="L20" s="122">
        <f t="shared" si="2"/>
        <v>4.7552757017682179</v>
      </c>
      <c r="M20" s="122">
        <f t="shared" si="2"/>
        <v>3.6807566862361383</v>
      </c>
      <c r="N20" s="123">
        <f t="shared" si="2"/>
        <v>0.68882685280407763</v>
      </c>
      <c r="O20" s="122">
        <f t="shared" si="2"/>
        <v>0.87325226203950501</v>
      </c>
      <c r="P20" s="124"/>
      <c r="Q20" s="30"/>
      <c r="R20" s="108"/>
      <c r="S20" s="117"/>
      <c r="T20" s="41"/>
      <c r="U20" s="14">
        <v>387.22</v>
      </c>
      <c r="V20" s="15"/>
      <c r="W20" s="110"/>
      <c r="X20" s="69">
        <v>0.01</v>
      </c>
      <c r="Y20" s="70">
        <v>210</v>
      </c>
      <c r="Z20" s="71">
        <v>149.57</v>
      </c>
      <c r="AA20" s="40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4"/>
      <c r="AY20" s="74"/>
      <c r="AZ20" s="74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40"/>
    </row>
    <row r="21" spans="1:67" ht="14.1" customHeight="1" thickBot="1">
      <c r="A21" s="70"/>
      <c r="B21" s="118"/>
      <c r="C21" s="36"/>
      <c r="D21" s="99"/>
      <c r="E21" s="33"/>
      <c r="F21" s="125" t="s">
        <v>113</v>
      </c>
      <c r="G21" s="33"/>
      <c r="H21" s="33"/>
      <c r="I21" s="126" t="s">
        <v>114</v>
      </c>
      <c r="J21" s="127">
        <f>J20-((B18-B15)*0.25*$D$2*10)/(30*$D$2)</f>
        <v>3.2509912521893018</v>
      </c>
      <c r="K21" s="74"/>
      <c r="L21" s="128" t="s">
        <v>33</v>
      </c>
      <c r="M21" s="129">
        <f>J21-M20</f>
        <v>-0.42976543404683643</v>
      </c>
      <c r="N21" s="19"/>
      <c r="O21" s="74"/>
      <c r="P21" s="130">
        <f>$M$20-(((B18-B14)*1.3)/(A18-A14))</f>
        <v>3.9840900195694715</v>
      </c>
      <c r="Q21" s="30"/>
      <c r="R21" s="131"/>
      <c r="S21" s="117"/>
      <c r="T21" s="41">
        <v>110</v>
      </c>
      <c r="U21" s="14">
        <v>371.13</v>
      </c>
      <c r="V21" s="15"/>
      <c r="W21" s="110"/>
      <c r="X21" s="69">
        <v>0.01</v>
      </c>
      <c r="Y21" s="70">
        <v>220</v>
      </c>
      <c r="Z21" s="71">
        <v>138.57</v>
      </c>
      <c r="AA21" s="40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4"/>
      <c r="AY21" s="74"/>
      <c r="AZ21" s="74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40"/>
    </row>
    <row r="22" spans="1:67" ht="14.1" customHeight="1" thickBot="1">
      <c r="A22" s="63"/>
      <c r="B22" s="98"/>
      <c r="C22" s="65"/>
      <c r="D22" s="99"/>
      <c r="E22" s="66"/>
      <c r="F22" s="63"/>
      <c r="G22" s="66"/>
      <c r="H22" s="66"/>
      <c r="I22" s="33"/>
      <c r="J22" s="132"/>
      <c r="K22" s="67"/>
      <c r="L22" s="133"/>
      <c r="M22" s="134"/>
      <c r="N22" s="101"/>
      <c r="O22" s="133"/>
      <c r="P22" s="133"/>
      <c r="Q22" s="30"/>
      <c r="R22" s="102" t="s">
        <v>25</v>
      </c>
      <c r="S22" s="103" t="s">
        <v>109</v>
      </c>
      <c r="T22" s="30"/>
      <c r="U22" s="14">
        <v>382.92</v>
      </c>
      <c r="V22" s="15"/>
      <c r="W22" s="110"/>
      <c r="X22" s="69">
        <v>0.01</v>
      </c>
      <c r="Y22" s="70">
        <v>230</v>
      </c>
      <c r="Z22" s="71">
        <v>123.83</v>
      </c>
      <c r="AA22" s="40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4"/>
      <c r="AY22" s="74"/>
      <c r="AZ22" s="74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40"/>
    </row>
    <row r="23" spans="1:67" ht="14.1" customHeight="1">
      <c r="A23" s="63">
        <v>210</v>
      </c>
      <c r="B23" s="75">
        <v>110</v>
      </c>
      <c r="C23" s="65"/>
      <c r="D23" s="104">
        <f>AVERAGE(U31:U32)</f>
        <v>210.36500000000001</v>
      </c>
      <c r="E23" s="78">
        <f>D23-$E$5</f>
        <v>171.85000000000002</v>
      </c>
      <c r="F23" s="78"/>
      <c r="G23" s="78">
        <f t="shared" si="0"/>
        <v>1227.4386250000002</v>
      </c>
      <c r="H23" s="78">
        <f t="shared" si="1"/>
        <v>1115.8532954545456</v>
      </c>
      <c r="I23" s="33">
        <f>$C$24*A23+$C$25</f>
        <v>980.70300321428567</v>
      </c>
      <c r="J23" s="105" t="s">
        <v>110</v>
      </c>
      <c r="K23" s="106" t="s">
        <v>111</v>
      </c>
      <c r="L23" s="67"/>
      <c r="M23" s="19">
        <f>(((S23/60)*$J$1)/$D$2)</f>
        <v>8.9986953685583835</v>
      </c>
      <c r="N23" s="101"/>
      <c r="O23" s="133"/>
      <c r="P23" s="133"/>
      <c r="Q23" s="30"/>
      <c r="R23" s="131">
        <v>210</v>
      </c>
      <c r="S23" s="117">
        <v>155</v>
      </c>
      <c r="T23" s="13">
        <v>115</v>
      </c>
      <c r="U23" s="14">
        <v>342.77</v>
      </c>
      <c r="V23" s="15"/>
      <c r="W23" s="110"/>
      <c r="X23" s="69">
        <v>0.01</v>
      </c>
      <c r="Y23" s="70">
        <v>235</v>
      </c>
      <c r="Z23" s="71">
        <v>114.35</v>
      </c>
      <c r="AA23" s="40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4"/>
      <c r="AY23" s="74"/>
      <c r="AZ23" s="74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40"/>
    </row>
    <row r="24" spans="1:67" ht="14.1" customHeight="1">
      <c r="A24" s="63">
        <v>220</v>
      </c>
      <c r="B24" s="75">
        <v>113</v>
      </c>
      <c r="C24" s="65">
        <f>SLOPE(G24:G27,A24:A27)</f>
        <v>8.9456751428571462</v>
      </c>
      <c r="D24" s="104">
        <f>AVERAGE(U33:U34)</f>
        <v>179.64</v>
      </c>
      <c r="E24" s="66">
        <f>D24-$E$5</f>
        <v>141.125</v>
      </c>
      <c r="F24" s="111">
        <v>180</v>
      </c>
      <c r="G24" s="112">
        <f t="shared" si="0"/>
        <v>1007.9853125</v>
      </c>
      <c r="H24" s="112">
        <f t="shared" si="1"/>
        <v>892.02240044247776</v>
      </c>
      <c r="I24" s="33">
        <f>$C$24*A24+$C$25</f>
        <v>1070.1597546428573</v>
      </c>
      <c r="J24" s="113">
        <f>((($N$2-(130*$D$2*(((B24+B23)*0.01)/2))*((I24-I23)/(A24-A23))))/((I24+I23)/2))/$D$2</f>
        <v>7.4201916608712795</v>
      </c>
      <c r="K24" s="114">
        <f>$N$2/H24/$D$2</f>
        <v>9.9835754957063383</v>
      </c>
      <c r="L24" s="114">
        <f>J24/($D$4/$D$2)</f>
        <v>9.4068620092915154</v>
      </c>
      <c r="M24" s="107">
        <f>(((S24/60)*$J$1)/$D$2)</f>
        <v>8.9986953685583835</v>
      </c>
      <c r="N24" s="19">
        <f>K24-M24</f>
        <v>0.98488012714795481</v>
      </c>
      <c r="O24" s="74">
        <f>N24/($D$4/$D$2)</f>
        <v>1.2485703705780613</v>
      </c>
      <c r="P24" s="74"/>
      <c r="Q24" s="30"/>
      <c r="R24" s="131">
        <v>220</v>
      </c>
      <c r="S24" s="117">
        <v>155</v>
      </c>
      <c r="U24" s="14">
        <v>327.64999999999998</v>
      </c>
      <c r="V24" s="15"/>
      <c r="W24" s="110"/>
      <c r="X24" s="69">
        <v>0.05</v>
      </c>
      <c r="Y24" s="70">
        <v>240</v>
      </c>
      <c r="Z24" s="71">
        <v>136.24</v>
      </c>
      <c r="AA24" s="40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4"/>
      <c r="AY24" s="74"/>
      <c r="AZ24" s="74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40"/>
    </row>
    <row r="25" spans="1:67" ht="14.1" customHeight="1">
      <c r="A25" s="63">
        <v>230</v>
      </c>
      <c r="B25" s="75">
        <v>107</v>
      </c>
      <c r="C25" s="65">
        <f>INTERCEPT(G24:G27,A24:A27)</f>
        <v>-897.88877678571498</v>
      </c>
      <c r="D25" s="104">
        <f>AVERAGE(U35:U36)</f>
        <v>217.44499999999999</v>
      </c>
      <c r="E25" s="66">
        <f>D25-$E$5</f>
        <v>178.93</v>
      </c>
      <c r="F25" s="111">
        <v>180</v>
      </c>
      <c r="G25" s="112">
        <f t="shared" si="0"/>
        <v>1278.007525</v>
      </c>
      <c r="H25" s="112">
        <f t="shared" si="1"/>
        <v>1194.3995560747662</v>
      </c>
      <c r="I25" s="33">
        <f>$C$24*A25+$C$25</f>
        <v>1159.6165060714288</v>
      </c>
      <c r="J25" s="113">
        <f>((($N$2-(130*$D$2*(((B25+B24)*0.01)/2))*((I25-I24)/(A25-A24))))/((I25+I24)/2))/$D$2</f>
        <v>6.8404544147465947</v>
      </c>
      <c r="K25" s="114">
        <f>$N$2/H25/$D$2</f>
        <v>7.4561087480186607</v>
      </c>
      <c r="L25" s="114">
        <f>J25/($D$4/$D$2)</f>
        <v>8.671906832230599</v>
      </c>
      <c r="M25" s="107">
        <f>(((S25/60)*$J$1)/$D$2)</f>
        <v>7.0247879973907361</v>
      </c>
      <c r="N25" s="19">
        <f>K25-M25</f>
        <v>0.43132075062792463</v>
      </c>
      <c r="O25" s="114">
        <f>N25/($D$4/$D$2)</f>
        <v>0.5468018844171616</v>
      </c>
      <c r="P25" s="74"/>
      <c r="Q25" s="30"/>
      <c r="R25" s="131">
        <v>230</v>
      </c>
      <c r="S25" s="117">
        <v>121</v>
      </c>
      <c r="T25" s="13">
        <v>120</v>
      </c>
      <c r="U25" s="14">
        <v>407.41</v>
      </c>
      <c r="V25" s="15"/>
      <c r="W25" s="110"/>
      <c r="X25" s="96">
        <f>AVERAGE(X20:X24)</f>
        <v>1.7999999999999999E-2</v>
      </c>
      <c r="Y25" s="57" t="s">
        <v>107</v>
      </c>
      <c r="Z25" s="96">
        <f>AVERAGE(Z20:Z24)</f>
        <v>132.512</v>
      </c>
      <c r="AA25" s="30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5"/>
      <c r="AY25" s="95"/>
      <c r="AZ25" s="95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40"/>
    </row>
    <row r="26" spans="1:67" ht="14.1" customHeight="1">
      <c r="A26" s="63">
        <v>235</v>
      </c>
      <c r="B26" s="75">
        <v>107</v>
      </c>
      <c r="C26" s="65"/>
      <c r="D26" s="104">
        <f>AVERAGE(U37:U38)</f>
        <v>208.8</v>
      </c>
      <c r="E26" s="66">
        <f>D26-$E$5</f>
        <v>170.28500000000003</v>
      </c>
      <c r="F26" s="111">
        <v>180</v>
      </c>
      <c r="G26" s="112">
        <f t="shared" si="0"/>
        <v>1216.2606125000002</v>
      </c>
      <c r="H26" s="112">
        <f t="shared" si="1"/>
        <v>1136.6921612149533</v>
      </c>
      <c r="I26" s="33">
        <f>$C$24*A26+$C$25</f>
        <v>1204.3448817857143</v>
      </c>
      <c r="J26" s="113">
        <f>((($N$2-(130*$D$2*(((B26+B25)*0.01)/2))*((I26-I25)/(A26-A25))))/((I26+I25)/2))/$D$2</f>
        <v>6.4816875653387145</v>
      </c>
      <c r="K26" s="114">
        <f>$N$2/H26/$D$2</f>
        <v>7.8346392123967386</v>
      </c>
      <c r="L26" s="114">
        <f>J26/($D$4/$D$2)</f>
        <v>8.2170843154909274</v>
      </c>
      <c r="M26" s="107">
        <f>(((S26/60)*$J$1)/$D$2)</f>
        <v>7.0247879973907361</v>
      </c>
      <c r="N26" s="19">
        <f>K26-M26</f>
        <v>0.80985121500600243</v>
      </c>
      <c r="O26" s="114">
        <f>N26/($D$4/$D$2)</f>
        <v>1.0266794950582199</v>
      </c>
      <c r="P26" s="74"/>
      <c r="Q26" s="30"/>
      <c r="R26" s="131">
        <v>235</v>
      </c>
      <c r="S26" s="117">
        <v>121</v>
      </c>
      <c r="U26" s="14">
        <v>379.89</v>
      </c>
      <c r="V26" s="15"/>
      <c r="W26" s="11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</row>
    <row r="27" spans="1:67" ht="14.1" customHeight="1">
      <c r="A27" s="63">
        <v>240</v>
      </c>
      <c r="B27" s="118">
        <v>105</v>
      </c>
      <c r="C27" s="65"/>
      <c r="D27" s="104">
        <f>AVERAGE(U39:U40)</f>
        <v>203.85499999999999</v>
      </c>
      <c r="E27" s="66">
        <f>D27-$E$5</f>
        <v>165.33999999999997</v>
      </c>
      <c r="F27" s="111">
        <v>180</v>
      </c>
      <c r="G27" s="112">
        <f t="shared" si="0"/>
        <v>1180.9409499999999</v>
      </c>
      <c r="H27" s="112">
        <f t="shared" si="1"/>
        <v>1124.7056666666665</v>
      </c>
      <c r="I27" s="33">
        <f>$C$24*A27+$C$25</f>
        <v>1249.0732575000002</v>
      </c>
      <c r="J27" s="113">
        <f>((($N$2-(130*$D$2*(((B27+B26)*0.01)/2))*((I27-I26)/(A27-A26))))/((I27+I26)/2))/$D$2</f>
        <v>6.2548318373702232</v>
      </c>
      <c r="K27" s="114">
        <f>$N$2/H27/$D$2</f>
        <v>7.9181364890535839</v>
      </c>
      <c r="L27" s="114">
        <f>J27/($D$4/$D$2)</f>
        <v>7.9294905946615657</v>
      </c>
      <c r="M27" s="107">
        <f>(((S27/60)*$J$1)/$D$2)</f>
        <v>7.0247879973907361</v>
      </c>
      <c r="N27" s="19">
        <f>K27-M27</f>
        <v>0.8933484916628478</v>
      </c>
      <c r="O27" s="114">
        <f>N27/($D$4/$D$2)</f>
        <v>1.1325322001580709</v>
      </c>
      <c r="P27" s="74"/>
      <c r="Q27" s="30"/>
      <c r="R27" s="131">
        <v>240</v>
      </c>
      <c r="S27" s="117">
        <v>121</v>
      </c>
      <c r="T27" s="13">
        <v>150</v>
      </c>
      <c r="U27" s="14">
        <v>308.11</v>
      </c>
      <c r="V27" s="15"/>
      <c r="W27" s="11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</row>
    <row r="28" spans="1:67" ht="14.1" customHeight="1" thickBot="1">
      <c r="A28" s="63"/>
      <c r="B28" s="118"/>
      <c r="C28" s="65"/>
      <c r="D28" s="99"/>
      <c r="E28" s="66"/>
      <c r="F28" s="135"/>
      <c r="G28" s="112"/>
      <c r="H28" s="112"/>
      <c r="I28" s="33"/>
      <c r="J28" s="113"/>
      <c r="K28" s="114"/>
      <c r="L28" s="114"/>
      <c r="M28" s="107"/>
      <c r="N28" s="107"/>
      <c r="O28" s="114"/>
      <c r="P28" s="74"/>
      <c r="Q28" s="30"/>
      <c r="R28" s="108"/>
      <c r="S28" s="117"/>
      <c r="U28" s="14">
        <v>284.63</v>
      </c>
      <c r="V28" s="15"/>
      <c r="W28" s="110"/>
      <c r="X28" s="69"/>
      <c r="Y28" s="13" t="s">
        <v>115</v>
      </c>
    </row>
    <row r="29" spans="1:67" ht="14.1" customHeight="1" thickBot="1">
      <c r="A29" s="119" t="s">
        <v>112</v>
      </c>
      <c r="B29" s="122">
        <f>AVERAGE(B23:B28)</f>
        <v>108.4</v>
      </c>
      <c r="C29" s="121"/>
      <c r="D29" s="122">
        <f>AVERAGE(D23:D28)</f>
        <v>204.02100000000002</v>
      </c>
      <c r="E29" s="122">
        <f>AVERAGE(E23:E28)</f>
        <v>165.506</v>
      </c>
      <c r="F29" s="122">
        <f>AVERAGE(F24:F28)</f>
        <v>180</v>
      </c>
      <c r="G29" s="122">
        <f>AVERAGE(G23:G28)</f>
        <v>1182.1266050000002</v>
      </c>
      <c r="H29" s="122">
        <f>AVERAGE(H23:H28)</f>
        <v>1092.7346159706819</v>
      </c>
      <c r="I29" s="122"/>
      <c r="J29" s="122">
        <f t="shared" ref="J29:O29" si="3">AVERAGE(J23:J28)</f>
        <v>6.7492913695817025</v>
      </c>
      <c r="K29" s="123">
        <f t="shared" si="3"/>
        <v>8.2981149862938288</v>
      </c>
      <c r="L29" s="122">
        <f t="shared" si="3"/>
        <v>8.5563359379186519</v>
      </c>
      <c r="M29" s="122">
        <f t="shared" si="3"/>
        <v>7.8143509458577949</v>
      </c>
      <c r="N29" s="123">
        <f t="shared" si="3"/>
        <v>0.77985014611118242</v>
      </c>
      <c r="O29" s="122">
        <f t="shared" si="3"/>
        <v>0.98864598755287836</v>
      </c>
      <c r="P29" s="122"/>
      <c r="Q29" s="136"/>
      <c r="R29" s="137"/>
      <c r="S29" s="138"/>
      <c r="T29" s="13">
        <v>180</v>
      </c>
      <c r="U29" s="14">
        <v>195.92</v>
      </c>
      <c r="V29" s="15"/>
      <c r="W29" s="110"/>
      <c r="X29" s="69"/>
      <c r="Y29" s="13" t="s">
        <v>116</v>
      </c>
    </row>
    <row r="30" spans="1:67" ht="14.1" customHeight="1">
      <c r="A30" s="70"/>
      <c r="B30" s="139"/>
      <c r="C30" s="36"/>
      <c r="D30" s="99"/>
      <c r="E30" s="33"/>
      <c r="F30" s="125" t="s">
        <v>117</v>
      </c>
      <c r="G30" s="33"/>
      <c r="H30" s="33"/>
      <c r="I30" s="140" t="s">
        <v>114</v>
      </c>
      <c r="J30" s="141">
        <f>J29-((B27-B24)*0.25*$D$2*10)/(20*$D$2)</f>
        <v>7.7492913695817025</v>
      </c>
      <c r="K30" s="74"/>
      <c r="L30" s="142" t="s">
        <v>33</v>
      </c>
      <c r="M30" s="143">
        <f>J30-M29</f>
        <v>-6.5059576276092379E-2</v>
      </c>
      <c r="N30" s="19">
        <f>AVERAGE(J24:J25)-M29</f>
        <v>-0.68402790804885782</v>
      </c>
      <c r="O30" s="74"/>
      <c r="P30" s="130">
        <f>$M$29-(((B27-B23)*1.3)/(A27-A23))</f>
        <v>8.0310176125244617</v>
      </c>
      <c r="Q30" s="30"/>
      <c r="R30" s="63"/>
      <c r="S30" s="144"/>
      <c r="U30" s="14">
        <v>209.12</v>
      </c>
      <c r="V30" s="15"/>
      <c r="W30" s="110"/>
      <c r="X30" s="69"/>
      <c r="Y30" s="13" t="s">
        <v>118</v>
      </c>
    </row>
    <row r="31" spans="1:67" ht="14.1" customHeight="1">
      <c r="A31" s="145"/>
      <c r="B31" s="139"/>
      <c r="C31" s="146"/>
      <c r="D31" s="147"/>
      <c r="E31" s="148"/>
      <c r="F31" s="145"/>
      <c r="G31" s="148"/>
      <c r="H31" s="148"/>
      <c r="I31" s="148"/>
      <c r="J31" s="149"/>
      <c r="K31" s="150"/>
      <c r="L31" s="133"/>
      <c r="M31" s="134"/>
      <c r="N31" s="101"/>
      <c r="O31" s="150"/>
      <c r="P31" s="150"/>
      <c r="Q31" s="96"/>
      <c r="R31" s="151"/>
      <c r="S31" s="101" t="s">
        <v>32</v>
      </c>
      <c r="T31" s="13">
        <v>210</v>
      </c>
      <c r="U31" s="14">
        <v>207.62</v>
      </c>
      <c r="V31" s="15"/>
      <c r="W31" s="110"/>
      <c r="X31" s="69"/>
      <c r="Y31" s="13" t="s">
        <v>119</v>
      </c>
    </row>
    <row r="32" spans="1:67" ht="14.1" customHeight="1">
      <c r="A32" s="145"/>
      <c r="B32" s="148"/>
      <c r="C32" s="146"/>
      <c r="D32" s="147"/>
      <c r="E32" s="148"/>
      <c r="F32" s="148"/>
      <c r="G32" s="148"/>
      <c r="H32" s="148"/>
      <c r="I32" s="148"/>
      <c r="J32" s="152"/>
      <c r="K32" s="153"/>
      <c r="L32" s="58"/>
      <c r="M32" s="124"/>
      <c r="N32" s="101"/>
      <c r="O32" s="150"/>
      <c r="P32" s="150"/>
      <c r="Q32" s="96"/>
      <c r="R32" s="145"/>
      <c r="S32" s="58"/>
      <c r="U32" s="14">
        <v>213.11</v>
      </c>
      <c r="V32" s="15"/>
      <c r="W32" s="110"/>
      <c r="X32" s="69"/>
      <c r="Y32" s="13" t="s">
        <v>120</v>
      </c>
    </row>
    <row r="33" spans="1:99" ht="14.1" customHeight="1">
      <c r="A33" s="145"/>
      <c r="B33" s="148"/>
      <c r="C33" s="146"/>
      <c r="D33" s="147"/>
      <c r="E33" s="148"/>
      <c r="F33" s="145"/>
      <c r="G33" s="148"/>
      <c r="H33" s="148"/>
      <c r="I33" s="148"/>
      <c r="J33" s="149"/>
      <c r="K33" s="150"/>
      <c r="L33" s="150"/>
      <c r="M33" s="124"/>
      <c r="N33" s="124"/>
      <c r="O33" s="150"/>
      <c r="P33" s="150"/>
      <c r="Q33" s="96"/>
      <c r="R33" s="145"/>
      <c r="S33" s="58"/>
      <c r="T33" s="13">
        <v>220</v>
      </c>
      <c r="U33" s="14">
        <v>188.37</v>
      </c>
      <c r="V33" s="15"/>
      <c r="W33" s="110"/>
      <c r="X33" s="69"/>
      <c r="Y33" s="20" t="s">
        <v>121</v>
      </c>
    </row>
    <row r="34" spans="1:99" ht="14.1" customHeight="1">
      <c r="A34" s="145"/>
      <c r="B34" s="148"/>
      <c r="C34" s="146"/>
      <c r="D34" s="147"/>
      <c r="E34" s="148"/>
      <c r="F34" s="145"/>
      <c r="G34" s="148"/>
      <c r="H34" s="148"/>
      <c r="I34" s="148"/>
      <c r="J34" s="149"/>
      <c r="K34" s="150"/>
      <c r="L34" s="150"/>
      <c r="M34" s="124"/>
      <c r="N34" s="124"/>
      <c r="O34" s="150"/>
      <c r="P34" s="150"/>
      <c r="Q34" s="96"/>
      <c r="R34" s="145"/>
      <c r="S34" s="58"/>
      <c r="U34" s="14">
        <v>170.91</v>
      </c>
      <c r="V34" s="15"/>
      <c r="W34" s="110"/>
    </row>
    <row r="35" spans="1:99" ht="14.1" customHeight="1">
      <c r="A35" s="145"/>
      <c r="B35" s="148"/>
      <c r="C35" s="146"/>
      <c r="D35" s="147"/>
      <c r="E35" s="148"/>
      <c r="F35" s="145"/>
      <c r="G35" s="148"/>
      <c r="H35" s="148"/>
      <c r="I35" s="148"/>
      <c r="J35" s="149"/>
      <c r="K35" s="150"/>
      <c r="L35" s="150"/>
      <c r="M35" s="124"/>
      <c r="N35" s="124"/>
      <c r="O35" s="150"/>
      <c r="P35" s="150"/>
      <c r="Q35" s="96"/>
      <c r="R35" s="145"/>
      <c r="S35" s="58"/>
      <c r="T35" s="13">
        <v>230</v>
      </c>
      <c r="U35" s="14">
        <v>213.54</v>
      </c>
      <c r="V35" s="15"/>
      <c r="W35" s="110"/>
    </row>
    <row r="36" spans="1:99" ht="14.1" customHeight="1">
      <c r="A36" s="145"/>
      <c r="B36" s="139"/>
      <c r="C36" s="146"/>
      <c r="D36" s="147"/>
      <c r="E36" s="148"/>
      <c r="F36" s="145"/>
      <c r="G36" s="148"/>
      <c r="H36" s="148"/>
      <c r="I36" s="148"/>
      <c r="J36" s="149"/>
      <c r="K36" s="150"/>
      <c r="L36" s="150"/>
      <c r="M36" s="124"/>
      <c r="N36" s="124"/>
      <c r="O36" s="150"/>
      <c r="P36" s="150"/>
      <c r="Q36" s="96"/>
      <c r="R36" s="145"/>
      <c r="S36" s="58"/>
      <c r="U36" s="14">
        <v>221.35</v>
      </c>
      <c r="V36" s="15"/>
      <c r="W36" s="110"/>
      <c r="X36"/>
    </row>
    <row r="37" spans="1:99" ht="14.1" customHeight="1">
      <c r="A37" s="145"/>
      <c r="B37" s="139"/>
      <c r="C37" s="146"/>
      <c r="D37" s="147"/>
      <c r="E37" s="148"/>
      <c r="F37" s="145"/>
      <c r="G37" s="148"/>
      <c r="H37" s="148"/>
      <c r="I37" s="148"/>
      <c r="J37" s="149"/>
      <c r="K37" s="150"/>
      <c r="L37" s="150"/>
      <c r="M37" s="124"/>
      <c r="N37" s="124"/>
      <c r="O37" s="150"/>
      <c r="P37" s="150"/>
      <c r="Q37" s="96"/>
      <c r="R37" s="96"/>
      <c r="S37" s="58"/>
      <c r="T37" s="13">
        <v>235</v>
      </c>
      <c r="U37" s="14">
        <v>221.03</v>
      </c>
      <c r="V37" s="15"/>
      <c r="W37" s="15"/>
      <c r="X37" s="6"/>
    </row>
    <row r="38" spans="1:99" s="156" customFormat="1" ht="14.1" customHeight="1">
      <c r="A38" s="154"/>
      <c r="B38" s="139"/>
      <c r="C38" s="155"/>
      <c r="D38" s="139"/>
      <c r="E38" s="139"/>
      <c r="F38" s="139"/>
      <c r="G38" s="139"/>
      <c r="H38" s="139"/>
      <c r="I38" s="139"/>
      <c r="J38" s="124"/>
      <c r="K38" s="124"/>
      <c r="L38" s="124"/>
      <c r="M38" s="124"/>
      <c r="N38" s="124"/>
      <c r="O38" s="124"/>
      <c r="P38" s="124"/>
      <c r="Q38" s="155"/>
      <c r="R38" s="145"/>
      <c r="S38" s="58"/>
      <c r="T38" s="13"/>
      <c r="U38" s="14">
        <v>196.57</v>
      </c>
      <c r="V38" s="15"/>
      <c r="W38" s="15"/>
      <c r="X38" s="6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</row>
    <row r="39" spans="1:99" s="3" customFormat="1" ht="14.1" customHeight="1">
      <c r="A39" s="157"/>
      <c r="B39" s="158"/>
      <c r="C39" s="159"/>
      <c r="D39" s="160"/>
      <c r="E39" s="160"/>
      <c r="F39" s="161"/>
      <c r="G39" s="160"/>
      <c r="H39" s="148"/>
      <c r="I39" s="162"/>
      <c r="J39" s="163"/>
      <c r="K39" s="150"/>
      <c r="L39" s="155"/>
      <c r="M39" s="134"/>
      <c r="N39" s="155"/>
      <c r="O39" s="155"/>
      <c r="P39" s="155"/>
      <c r="Q39" s="58"/>
      <c r="R39" s="58"/>
      <c r="S39" s="58"/>
      <c r="T39" s="13">
        <v>240</v>
      </c>
      <c r="U39" s="14">
        <v>204.64</v>
      </c>
      <c r="V39" s="15"/>
      <c r="W39" s="15"/>
      <c r="X39" s="6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</row>
    <row r="40" spans="1:99" ht="14.1" customHeight="1">
      <c r="A40" s="164"/>
      <c r="B40" s="165"/>
      <c r="C40" s="164"/>
      <c r="D40" s="148"/>
      <c r="E40" s="164"/>
      <c r="F40" s="164"/>
      <c r="G40" s="96"/>
      <c r="H40" s="101"/>
      <c r="I40" s="58"/>
      <c r="J40" s="155"/>
      <c r="K40" s="166"/>
      <c r="L40" s="167"/>
      <c r="M40" s="168"/>
      <c r="N40" s="134"/>
      <c r="O40" s="169"/>
      <c r="P40" s="169"/>
      <c r="Q40" s="58"/>
      <c r="R40" s="58"/>
      <c r="S40" s="58"/>
      <c r="U40" s="14">
        <v>203.07</v>
      </c>
      <c r="V40" s="15"/>
      <c r="W40" s="15"/>
    </row>
    <row r="41" spans="1:99" ht="14.1" customHeight="1">
      <c r="A41" s="164"/>
      <c r="B41" s="170"/>
      <c r="C41" s="164"/>
      <c r="D41" s="171"/>
      <c r="E41" s="164"/>
      <c r="F41" s="164"/>
      <c r="G41" s="124"/>
      <c r="H41" s="58"/>
      <c r="I41" s="58"/>
      <c r="J41" s="170"/>
      <c r="K41" s="170"/>
      <c r="L41" s="96"/>
      <c r="M41" s="172"/>
      <c r="N41" s="160"/>
      <c r="O41" s="58"/>
      <c r="P41" s="58"/>
      <c r="Q41" s="58"/>
      <c r="R41" s="58"/>
      <c r="S41" s="58"/>
      <c r="U41" s="173"/>
      <c r="V41" s="174"/>
      <c r="W41" s="175"/>
    </row>
    <row r="42" spans="1:99" ht="14.1" customHeight="1">
      <c r="A42" s="3"/>
      <c r="B42" s="3"/>
      <c r="C42" s="3"/>
      <c r="D42" s="33"/>
      <c r="E42" s="3"/>
      <c r="F42" s="3"/>
      <c r="G42" s="19"/>
      <c r="H42" s="40"/>
      <c r="I42" s="40"/>
      <c r="J42" s="30"/>
      <c r="K42" s="30"/>
      <c r="L42" s="30"/>
      <c r="M42" s="30"/>
      <c r="N42" s="33"/>
      <c r="O42" s="33"/>
      <c r="P42" s="33"/>
      <c r="Q42" s="40"/>
      <c r="R42" s="40"/>
      <c r="U42" s="173"/>
      <c r="V42" s="174"/>
      <c r="W42" s="175"/>
    </row>
    <row r="43" spans="1:99" ht="14.1" customHeight="1">
      <c r="A43" s="30"/>
      <c r="B43" s="176"/>
      <c r="C43" s="3"/>
      <c r="D43" s="33"/>
      <c r="E43" s="177"/>
      <c r="F43" s="177"/>
      <c r="G43" s="33"/>
      <c r="H43" s="174"/>
      <c r="I43" s="40"/>
      <c r="J43" s="30"/>
      <c r="K43" s="30"/>
      <c r="L43" s="30"/>
      <c r="M43" s="33"/>
      <c r="N43" s="178"/>
      <c r="O43" s="33"/>
      <c r="P43" s="33"/>
      <c r="Q43" s="40"/>
      <c r="R43" s="40"/>
      <c r="U43" s="173"/>
      <c r="V43" s="174"/>
      <c r="W43" s="175"/>
    </row>
    <row r="44" spans="1:99" ht="14.1" customHeight="1">
      <c r="A44" s="3"/>
      <c r="B44" s="30"/>
      <c r="C44" s="3"/>
      <c r="D44" s="41"/>
      <c r="E44" s="42"/>
      <c r="F44" s="42"/>
      <c r="G44" s="19"/>
      <c r="H44" s="19"/>
      <c r="I44" s="30"/>
      <c r="J44" s="179"/>
      <c r="K44" s="179"/>
      <c r="L44" s="180"/>
      <c r="M44" s="39"/>
      <c r="N44" s="179"/>
      <c r="O44" s="180"/>
      <c r="P44" s="180"/>
      <c r="Q44" s="46"/>
      <c r="R44" s="46"/>
      <c r="U44" s="173"/>
      <c r="V44" s="174"/>
      <c r="W44" s="175"/>
    </row>
    <row r="45" spans="1:99" s="1" customFormat="1" ht="14.1" customHeight="1">
      <c r="A45" s="3"/>
      <c r="B45" s="181"/>
      <c r="C45" s="181"/>
      <c r="D45" s="25"/>
      <c r="E45" s="181"/>
      <c r="F45" s="181"/>
      <c r="G45" s="181"/>
      <c r="H45" s="95"/>
      <c r="I45" s="95"/>
      <c r="J45" s="182"/>
      <c r="K45" s="182"/>
      <c r="L45" s="182"/>
      <c r="M45" s="182"/>
      <c r="N45" s="182"/>
      <c r="O45" s="54"/>
      <c r="P45" s="54"/>
      <c r="Q45" s="55"/>
      <c r="R45" s="55"/>
      <c r="S45" s="13"/>
      <c r="T45" s="13"/>
      <c r="U45" s="173"/>
      <c r="V45" s="40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</row>
    <row r="46" spans="1:99" ht="14.1" customHeight="1">
      <c r="A46" s="70"/>
      <c r="B46" s="33"/>
      <c r="C46" s="36"/>
      <c r="D46" s="33"/>
      <c r="E46" s="33"/>
      <c r="F46" s="33"/>
      <c r="G46" s="33"/>
      <c r="H46" s="33"/>
      <c r="I46" s="33"/>
      <c r="J46" s="74"/>
      <c r="K46" s="74"/>
      <c r="L46" s="74"/>
      <c r="M46" s="30"/>
      <c r="N46" s="19"/>
      <c r="O46" s="74"/>
      <c r="P46" s="74"/>
      <c r="Q46" s="30"/>
      <c r="R46" s="30"/>
      <c r="U46" s="173"/>
    </row>
    <row r="47" spans="1:99" ht="14.1" customHeight="1">
      <c r="A47" s="70"/>
      <c r="B47" s="33"/>
      <c r="C47" s="36"/>
      <c r="D47" s="33"/>
      <c r="E47" s="33"/>
      <c r="F47" s="33"/>
      <c r="G47" s="33"/>
      <c r="H47" s="33"/>
      <c r="I47" s="33"/>
      <c r="J47" s="74"/>
      <c r="K47" s="74"/>
      <c r="L47" s="74"/>
      <c r="M47" s="30"/>
      <c r="N47" s="19"/>
      <c r="O47" s="74"/>
      <c r="P47" s="74"/>
      <c r="Q47" s="30"/>
      <c r="R47" s="30"/>
      <c r="T47" s="40"/>
      <c r="U47" s="173"/>
    </row>
    <row r="48" spans="1:99" s="80" customFormat="1" ht="14.1" customHeight="1">
      <c r="A48" s="183"/>
      <c r="B48" s="25"/>
      <c r="C48" s="184"/>
      <c r="D48" s="25"/>
      <c r="E48" s="25"/>
      <c r="F48" s="25"/>
      <c r="G48" s="25"/>
      <c r="H48" s="25"/>
      <c r="I48" s="25"/>
      <c r="J48" s="95"/>
      <c r="K48" s="95"/>
      <c r="L48" s="95"/>
      <c r="M48" s="95"/>
      <c r="N48" s="95"/>
      <c r="O48" s="95"/>
      <c r="P48" s="95"/>
      <c r="Q48" s="95"/>
      <c r="R48" s="95"/>
      <c r="S48" s="13"/>
      <c r="T48" s="40"/>
      <c r="U48" s="17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</row>
    <row r="49" spans="1:99" ht="14.1" customHeight="1">
      <c r="A49" s="30"/>
      <c r="B49" s="176"/>
      <c r="C49" s="185"/>
      <c r="D49" s="33"/>
      <c r="E49" s="40"/>
      <c r="F49" s="40"/>
      <c r="G49" s="40"/>
      <c r="H49" s="40"/>
      <c r="I49" s="40"/>
      <c r="J49" s="40"/>
      <c r="K49" s="40"/>
      <c r="L49" s="40"/>
      <c r="M49" s="30"/>
      <c r="N49" s="40"/>
      <c r="O49" s="40"/>
      <c r="P49" s="40"/>
      <c r="Q49" s="30"/>
      <c r="R49" s="30"/>
      <c r="T49" s="40"/>
      <c r="U49" s="173"/>
    </row>
    <row r="50" spans="1:99" ht="14.1" customHeight="1">
      <c r="A50" s="30"/>
      <c r="B50" s="176"/>
      <c r="C50" s="185"/>
      <c r="D50" s="33"/>
      <c r="E50" s="40"/>
      <c r="F50" s="40"/>
      <c r="G50" s="40"/>
      <c r="H50" s="40"/>
      <c r="I50" s="40"/>
      <c r="J50" s="40"/>
      <c r="K50" s="40"/>
      <c r="L50" s="40"/>
      <c r="M50" s="30"/>
      <c r="N50" s="40"/>
      <c r="O50" s="40"/>
      <c r="P50" s="40"/>
      <c r="Q50" s="30"/>
      <c r="R50" s="30"/>
      <c r="T50" s="40"/>
      <c r="U50" s="173"/>
    </row>
    <row r="51" spans="1:99" ht="14.1" customHeight="1">
      <c r="A51" s="30"/>
      <c r="B51" s="176"/>
      <c r="C51" s="185"/>
      <c r="D51" s="33"/>
      <c r="E51" s="40"/>
      <c r="F51" s="40"/>
      <c r="G51" s="40"/>
      <c r="H51" s="40"/>
      <c r="I51" s="40"/>
      <c r="J51" s="40"/>
      <c r="K51" s="40"/>
      <c r="L51" s="40"/>
      <c r="M51" s="19"/>
      <c r="N51" s="40"/>
      <c r="O51" s="40"/>
      <c r="P51" s="40"/>
      <c r="Q51" s="30"/>
      <c r="R51" s="30"/>
      <c r="T51" s="40"/>
      <c r="U51" s="173"/>
    </row>
    <row r="52" spans="1:99" ht="14.1" customHeight="1">
      <c r="A52" s="30"/>
      <c r="B52" s="176"/>
      <c r="C52" s="185"/>
      <c r="D52" s="33"/>
      <c r="E52" s="40"/>
      <c r="F52" s="40"/>
      <c r="G52" s="40"/>
      <c r="H52" s="40"/>
      <c r="I52" s="40"/>
      <c r="J52" s="40"/>
      <c r="K52" s="40"/>
      <c r="L52" s="40"/>
      <c r="M52" s="19"/>
      <c r="N52" s="40"/>
      <c r="O52" s="40"/>
      <c r="P52" s="40"/>
      <c r="Q52" s="30"/>
      <c r="R52" s="30"/>
      <c r="U52" s="173"/>
    </row>
    <row r="53" spans="1:99" ht="14.1" customHeight="1">
      <c r="A53" s="30"/>
      <c r="B53" s="176"/>
      <c r="C53" s="186"/>
      <c r="D53" s="33"/>
      <c r="E53" s="33"/>
      <c r="F53" s="33"/>
      <c r="G53" s="33"/>
      <c r="H53" s="33"/>
      <c r="I53" s="33"/>
      <c r="J53" s="187"/>
      <c r="K53" s="188"/>
      <c r="L53" s="40"/>
      <c r="M53" s="19"/>
      <c r="N53" s="40"/>
      <c r="O53" s="40"/>
      <c r="P53" s="40"/>
      <c r="Q53" s="30"/>
      <c r="R53" s="30"/>
      <c r="U53" s="173"/>
    </row>
    <row r="54" spans="1:99" ht="14.1" customHeight="1">
      <c r="A54" s="70"/>
      <c r="B54" s="189"/>
      <c r="C54" s="36"/>
      <c r="D54" s="33"/>
      <c r="E54" s="33"/>
      <c r="F54" s="33"/>
      <c r="G54" s="33"/>
      <c r="H54" s="33"/>
      <c r="I54" s="33"/>
      <c r="J54" s="132"/>
      <c r="K54" s="74"/>
      <c r="L54" s="74"/>
      <c r="M54" s="19"/>
      <c r="N54" s="19"/>
      <c r="O54" s="74"/>
      <c r="P54" s="74"/>
      <c r="Q54" s="30"/>
      <c r="R54" s="30"/>
      <c r="U54" s="173"/>
    </row>
    <row r="55" spans="1:99" ht="14.1" customHeight="1">
      <c r="A55" s="70"/>
      <c r="B55" s="189"/>
      <c r="C55" s="36"/>
      <c r="D55" s="33"/>
      <c r="E55" s="33"/>
      <c r="F55" s="33"/>
      <c r="G55" s="33"/>
      <c r="H55" s="33"/>
      <c r="I55" s="33"/>
      <c r="J55" s="132"/>
      <c r="K55" s="74"/>
      <c r="L55" s="74"/>
      <c r="M55" s="19"/>
      <c r="N55" s="19"/>
      <c r="O55" s="74"/>
      <c r="P55" s="74"/>
      <c r="Q55" s="30"/>
      <c r="R55" s="30"/>
      <c r="U55" s="173"/>
    </row>
    <row r="56" spans="1:99" s="30" customFormat="1" ht="14.1" customHeight="1">
      <c r="A56" s="70"/>
      <c r="B56" s="189"/>
      <c r="C56" s="36"/>
      <c r="D56" s="33"/>
      <c r="E56" s="33"/>
      <c r="F56" s="33"/>
      <c r="G56" s="33"/>
      <c r="H56" s="33"/>
      <c r="I56" s="33"/>
      <c r="J56" s="132"/>
      <c r="K56" s="74"/>
      <c r="L56" s="74"/>
      <c r="M56" s="19"/>
      <c r="N56" s="19"/>
      <c r="O56" s="74"/>
      <c r="P56" s="74"/>
      <c r="S56" s="13"/>
      <c r="T56" s="13"/>
      <c r="U56" s="17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</row>
    <row r="57" spans="1:99" ht="14.1" customHeight="1">
      <c r="A57" s="70"/>
      <c r="B57" s="189"/>
      <c r="C57" s="36"/>
      <c r="D57" s="33"/>
      <c r="E57" s="33"/>
      <c r="F57" s="33"/>
      <c r="G57" s="33"/>
      <c r="H57" s="33"/>
      <c r="I57" s="33"/>
      <c r="J57" s="132"/>
      <c r="K57" s="74"/>
      <c r="L57" s="74"/>
      <c r="M57" s="19"/>
      <c r="N57" s="19"/>
      <c r="O57" s="74"/>
      <c r="P57" s="74"/>
      <c r="Q57" s="30"/>
      <c r="R57" s="30"/>
      <c r="U57" s="173"/>
    </row>
    <row r="58" spans="1:99" ht="14.1" customHeight="1">
      <c r="A58" s="183"/>
      <c r="B58" s="25"/>
      <c r="C58" s="184"/>
      <c r="D58" s="25"/>
      <c r="E58" s="25"/>
      <c r="F58" s="25"/>
      <c r="G58" s="25"/>
      <c r="H58" s="25"/>
      <c r="I58" s="25"/>
      <c r="J58" s="95"/>
      <c r="K58" s="95"/>
      <c r="L58" s="95"/>
      <c r="M58" s="95"/>
      <c r="N58" s="95"/>
      <c r="O58" s="95"/>
      <c r="P58" s="95"/>
      <c r="Q58" s="95"/>
      <c r="R58" s="95"/>
      <c r="U58" s="173"/>
    </row>
    <row r="59" spans="1:99" s="115" customFormat="1" ht="14.1" customHeight="1">
      <c r="A59" s="40"/>
      <c r="B59" s="40"/>
      <c r="C59" s="40"/>
      <c r="D59" s="19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13"/>
      <c r="T59" s="13"/>
      <c r="U59" s="17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</row>
    <row r="60" spans="1:99" s="30" customFormat="1" ht="14.1" customHeight="1">
      <c r="A60" s="191"/>
      <c r="B60" s="40"/>
      <c r="C60" s="40"/>
      <c r="D60" s="19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13"/>
      <c r="T60" s="13"/>
      <c r="U60" s="17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</row>
    <row r="61" spans="1:99" ht="14.1" customHeight="1">
      <c r="A61" s="40"/>
      <c r="B61" s="40"/>
      <c r="C61" s="40"/>
      <c r="D61" s="19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U61" s="173"/>
    </row>
    <row r="62" spans="1:99" ht="14.1" customHeight="1">
      <c r="A62" s="40"/>
      <c r="B62" s="40"/>
      <c r="C62" s="40"/>
      <c r="D62" s="19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U62" s="173"/>
    </row>
    <row r="63" spans="1:99" ht="14.1" customHeight="1">
      <c r="A63" s="40"/>
      <c r="B63" s="40"/>
      <c r="C63" s="40"/>
      <c r="D63" s="19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U63" s="173"/>
    </row>
    <row r="64" spans="1:99" s="156" customFormat="1" ht="14.1" customHeight="1">
      <c r="A64" s="30"/>
      <c r="B64" s="189"/>
      <c r="C64" s="36"/>
      <c r="D64" s="33"/>
      <c r="E64" s="189"/>
      <c r="F64" s="189"/>
      <c r="G64" s="19"/>
      <c r="H64" s="30"/>
      <c r="I64" s="30"/>
      <c r="J64" s="30"/>
      <c r="K64" s="30"/>
      <c r="L64" s="30"/>
      <c r="M64" s="30"/>
      <c r="N64" s="19"/>
      <c r="O64" s="30"/>
      <c r="P64" s="30"/>
      <c r="Q64" s="40"/>
      <c r="R64" s="40"/>
      <c r="S64" s="13"/>
      <c r="T64" s="13"/>
      <c r="U64" s="17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</row>
    <row r="65" spans="1:21" s="13" customFormat="1" ht="14.1" customHeight="1">
      <c r="A65" s="30"/>
      <c r="B65" s="189"/>
      <c r="C65" s="36"/>
      <c r="D65" s="33"/>
      <c r="E65" s="189"/>
      <c r="F65" s="189"/>
      <c r="G65" s="19"/>
      <c r="H65" s="30"/>
      <c r="I65" s="30"/>
      <c r="J65" s="30"/>
      <c r="K65" s="30"/>
      <c r="L65" s="30"/>
      <c r="M65" s="30"/>
      <c r="N65" s="19"/>
      <c r="O65" s="30"/>
      <c r="P65" s="30"/>
      <c r="Q65" s="40"/>
      <c r="R65" s="40"/>
      <c r="U65" s="173"/>
    </row>
    <row r="66" spans="1:21" s="13" customFormat="1" ht="14.1" customHeight="1">
      <c r="A66" s="12"/>
      <c r="B66" s="192"/>
      <c r="C66" s="65"/>
      <c r="D66" s="66"/>
      <c r="E66" s="192"/>
      <c r="F66" s="192"/>
      <c r="G66" s="68"/>
      <c r="H66" s="12"/>
      <c r="I66" s="12"/>
      <c r="J66" s="12"/>
      <c r="K66" s="12"/>
      <c r="L66" s="12"/>
      <c r="M66" s="12"/>
      <c r="N66" s="68"/>
      <c r="O66" s="12"/>
      <c r="P66" s="12"/>
      <c r="U66" s="173"/>
    </row>
    <row r="67" spans="1:21" ht="14.1" customHeight="1">
      <c r="C67" s="65"/>
      <c r="U67" s="173"/>
    </row>
    <row r="68" spans="1:21" ht="14.1" customHeight="1">
      <c r="A68" s="13"/>
      <c r="B68" s="13"/>
      <c r="C68" s="13"/>
      <c r="D68" s="97"/>
      <c r="E68" s="13"/>
      <c r="F68" s="13"/>
      <c r="G68" s="13"/>
      <c r="H68" s="13"/>
      <c r="I68" s="13"/>
      <c r="J68" s="13"/>
      <c r="M68" s="13"/>
      <c r="N68" s="13"/>
      <c r="O68" s="13"/>
      <c r="P68" s="13"/>
      <c r="U68" s="173"/>
    </row>
    <row r="69" spans="1:21" ht="14.1" customHeight="1">
      <c r="A69" s="13"/>
      <c r="B69" s="13"/>
      <c r="C69" s="13"/>
      <c r="D69" s="97"/>
      <c r="E69" s="13"/>
      <c r="F69" s="13"/>
      <c r="G69" s="13"/>
      <c r="H69" s="13"/>
      <c r="I69" s="13"/>
      <c r="J69" s="13"/>
      <c r="M69" s="13"/>
      <c r="N69" s="13"/>
      <c r="O69" s="13"/>
      <c r="P69" s="13"/>
      <c r="U69" s="173"/>
    </row>
    <row r="70" spans="1:21" ht="14.1" customHeight="1">
      <c r="C70" s="65"/>
      <c r="U70" s="173"/>
    </row>
    <row r="71" spans="1:21" ht="14.1" customHeight="1">
      <c r="C71" s="65"/>
      <c r="Q71" s="13"/>
      <c r="R71" s="13"/>
    </row>
    <row r="72" spans="1:21" ht="14.1" customHeight="1">
      <c r="C72" s="65"/>
      <c r="Q72" s="13"/>
      <c r="R72" s="13"/>
    </row>
    <row r="73" spans="1:21" ht="14.1" customHeight="1">
      <c r="C73" s="65"/>
    </row>
    <row r="74" spans="1:21" ht="14.1" customHeight="1">
      <c r="C74" s="65"/>
    </row>
  </sheetData>
  <pageMargins left="0.75" right="0.5" top="1" bottom="0.5" header="0.5" footer="0.5"/>
  <pageSetup scale="70" orientation="landscape" r:id="rId1"/>
  <headerFooter alignWithMargins="0">
    <oddHeader>&amp;R&amp;D</oddHeader>
  </headerFooter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R113"/>
  <sheetViews>
    <sheetView tabSelected="1" topLeftCell="AR1" zoomScaleNormal="100" workbookViewId="0">
      <selection activeCell="BO38" sqref="BO38"/>
    </sheetView>
  </sheetViews>
  <sheetFormatPr defaultRowHeight="12.75"/>
  <cols>
    <col min="39" max="39" width="6.28515625" customWidth="1"/>
    <col min="55" max="55" width="17.7109375" customWidth="1"/>
    <col min="56" max="56" width="16.42578125" customWidth="1"/>
  </cols>
  <sheetData>
    <row r="1" spans="1:69">
      <c r="A1" s="205" t="s">
        <v>174</v>
      </c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E1" s="69"/>
      <c r="BF1" s="69"/>
      <c r="BG1" s="69"/>
    </row>
    <row r="2" spans="1:69" s="200" customFormat="1">
      <c r="A2" s="200" t="s">
        <v>141</v>
      </c>
      <c r="B2" s="200" t="s">
        <v>40</v>
      </c>
      <c r="C2" s="200" t="s">
        <v>41</v>
      </c>
      <c r="D2" s="200" t="s">
        <v>42</v>
      </c>
      <c r="E2" s="200" t="s">
        <v>43</v>
      </c>
      <c r="F2" s="200" t="s">
        <v>44</v>
      </c>
      <c r="G2" s="200" t="s">
        <v>45</v>
      </c>
      <c r="H2" s="200" t="s">
        <v>46</v>
      </c>
      <c r="I2" s="200" t="s">
        <v>47</v>
      </c>
      <c r="J2" s="200" t="s">
        <v>48</v>
      </c>
      <c r="K2" s="200" t="s">
        <v>49</v>
      </c>
      <c r="L2" s="200" t="s">
        <v>50</v>
      </c>
      <c r="M2" s="200" t="s">
        <v>51</v>
      </c>
      <c r="N2" s="200" t="s">
        <v>52</v>
      </c>
      <c r="O2" s="200" t="s">
        <v>53</v>
      </c>
      <c r="P2" s="200" t="s">
        <v>54</v>
      </c>
      <c r="Q2" s="200" t="s">
        <v>55</v>
      </c>
      <c r="R2" s="200" t="s">
        <v>56</v>
      </c>
      <c r="S2" s="200" t="s">
        <v>57</v>
      </c>
      <c r="T2" s="200" t="s">
        <v>58</v>
      </c>
      <c r="U2" s="200" t="s">
        <v>59</v>
      </c>
      <c r="V2" s="200" t="s">
        <v>60</v>
      </c>
      <c r="W2" s="200" t="s">
        <v>61</v>
      </c>
      <c r="X2" s="200" t="s">
        <v>62</v>
      </c>
      <c r="Y2" s="200" t="s">
        <v>63</v>
      </c>
      <c r="Z2" s="200" t="s">
        <v>64</v>
      </c>
      <c r="AA2" s="200" t="s">
        <v>65</v>
      </c>
      <c r="AB2" s="200" t="s">
        <v>66</v>
      </c>
      <c r="AC2" s="200" t="s">
        <v>67</v>
      </c>
      <c r="AD2" s="200" t="s">
        <v>68</v>
      </c>
      <c r="AE2" s="200" t="s">
        <v>69</v>
      </c>
      <c r="AF2" s="200" t="s">
        <v>70</v>
      </c>
      <c r="AG2" s="200" t="s">
        <v>71</v>
      </c>
      <c r="AH2" s="200" t="s">
        <v>72</v>
      </c>
      <c r="AI2" s="200" t="s">
        <v>73</v>
      </c>
      <c r="AJ2" s="200" t="s">
        <v>74</v>
      </c>
      <c r="AK2" s="200" t="s">
        <v>75</v>
      </c>
      <c r="AL2" s="200" t="s">
        <v>76</v>
      </c>
      <c r="AM2" s="200" t="s">
        <v>77</v>
      </c>
      <c r="AN2" s="200" t="s">
        <v>78</v>
      </c>
      <c r="AO2" s="200" t="s">
        <v>79</v>
      </c>
      <c r="AP2" s="200" t="s">
        <v>80</v>
      </c>
      <c r="AQ2" s="200" t="s">
        <v>81</v>
      </c>
      <c r="AR2" s="200" t="s">
        <v>82</v>
      </c>
      <c r="AS2" s="200" t="s">
        <v>83</v>
      </c>
      <c r="AT2" s="200" t="s">
        <v>84</v>
      </c>
      <c r="AU2" s="200" t="s">
        <v>85</v>
      </c>
      <c r="AV2" s="200" t="s">
        <v>86</v>
      </c>
      <c r="AW2" s="200" t="s">
        <v>87</v>
      </c>
      <c r="AX2" s="200" t="s">
        <v>88</v>
      </c>
      <c r="AY2" s="200" t="s">
        <v>89</v>
      </c>
      <c r="AZ2" s="200" t="s">
        <v>90</v>
      </c>
      <c r="BA2" s="200" t="s">
        <v>91</v>
      </c>
      <c r="BB2" s="200" t="s">
        <v>92</v>
      </c>
      <c r="BC2" s="200" t="s">
        <v>93</v>
      </c>
      <c r="BE2" s="200" t="s">
        <v>94</v>
      </c>
      <c r="BF2" s="200" t="s">
        <v>95</v>
      </c>
      <c r="BG2" s="200" t="s">
        <v>96</v>
      </c>
      <c r="BI2" s="200" t="s">
        <v>97</v>
      </c>
      <c r="BJ2" s="200" t="s">
        <v>98</v>
      </c>
      <c r="BK2" s="200" t="s">
        <v>99</v>
      </c>
      <c r="BL2" s="200" t="s">
        <v>100</v>
      </c>
      <c r="BM2" s="200" t="s">
        <v>101</v>
      </c>
      <c r="BN2" s="200" t="s">
        <v>102</v>
      </c>
      <c r="BO2" s="200" t="s">
        <v>103</v>
      </c>
      <c r="BP2" s="200" t="s">
        <v>104</v>
      </c>
      <c r="BQ2" s="200" t="s">
        <v>105</v>
      </c>
    </row>
    <row r="3" spans="1:69">
      <c r="A3" t="s">
        <v>145</v>
      </c>
    </row>
    <row r="4" spans="1:69">
      <c r="A4" s="194" t="s">
        <v>147</v>
      </c>
      <c r="B4">
        <v>1.8489999048706438</v>
      </c>
      <c r="C4">
        <v>3.3653468125170756</v>
      </c>
      <c r="D4">
        <v>0.15617872327651353</v>
      </c>
      <c r="E4">
        <v>0.28425938107247872</v>
      </c>
      <c r="F4">
        <v>0.43797534705323965</v>
      </c>
      <c r="G4">
        <v>0.79715468577582049</v>
      </c>
      <c r="H4">
        <v>9.7206023351452762E-3</v>
      </c>
      <c r="I4">
        <v>1.7692374130552385E-2</v>
      </c>
      <c r="J4">
        <v>76.31285183414434</v>
      </c>
      <c r="K4">
        <v>76.31285183414434</v>
      </c>
      <c r="L4">
        <v>93.775975285740429</v>
      </c>
      <c r="M4">
        <v>93.775975285740429</v>
      </c>
      <c r="N4">
        <v>-0.88019705125128733</v>
      </c>
      <c r="O4">
        <v>-1.6020381250493803</v>
      </c>
      <c r="P4">
        <v>-4.0014413385974787E-3</v>
      </c>
      <c r="Q4">
        <v>-7.2829846117624239E-3</v>
      </c>
      <c r="R4">
        <v>147.60395330106121</v>
      </c>
      <c r="S4">
        <v>147.60395330106121</v>
      </c>
      <c r="T4">
        <v>102.56209120848871</v>
      </c>
      <c r="U4">
        <v>102.56209120848871</v>
      </c>
      <c r="V4">
        <v>1.8489999048706438</v>
      </c>
      <c r="W4">
        <v>3.3653468125170756</v>
      </c>
      <c r="X4">
        <v>1.4849474066013781</v>
      </c>
      <c r="Y4">
        <v>2.7027383875993554</v>
      </c>
      <c r="Z4">
        <v>0.12542844890627403</v>
      </c>
      <c r="AA4">
        <v>0.22829110462026819</v>
      </c>
      <c r="AB4">
        <v>1.354947406601378</v>
      </c>
      <c r="AC4">
        <v>2.4661266471256171</v>
      </c>
      <c r="AD4">
        <v>3.0072251813313491E-2</v>
      </c>
      <c r="AE4">
        <v>5.4734214165481861E-2</v>
      </c>
      <c r="AF4">
        <v>1.9229227536546176</v>
      </c>
      <c r="AG4">
        <v>3.4998930733751759</v>
      </c>
      <c r="AH4">
        <v>4.267812682892147E-2</v>
      </c>
      <c r="AI4">
        <v>7.7678045147308167E-2</v>
      </c>
      <c r="AJ4">
        <v>1.7710813774294452</v>
      </c>
      <c r="AK4">
        <v>3.2235280556477468</v>
      </c>
      <c r="AL4">
        <v>3.9308097793641861E-2</v>
      </c>
      <c r="AM4">
        <v>7.1544287951273211E-2</v>
      </c>
      <c r="AN4">
        <v>6.0882843670656515</v>
      </c>
      <c r="AO4">
        <v>11.081227389157361</v>
      </c>
      <c r="AP4">
        <v>2.7677794094947729E-2</v>
      </c>
      <c r="AQ4">
        <v>5.037608487137956E-2</v>
      </c>
      <c r="AR4">
        <v>6.2182843670656514</v>
      </c>
      <c r="AS4">
        <v>11.317839129631098</v>
      </c>
      <c r="AT4">
        <v>2.8268783775358696E-2</v>
      </c>
      <c r="AU4">
        <v>5.1451739462795382E-2</v>
      </c>
      <c r="AV4">
        <v>5.3581961297425469</v>
      </c>
      <c r="AW4">
        <v>9.7524008619848708</v>
      </c>
      <c r="AX4">
        <v>2.4358758602275526E-2</v>
      </c>
      <c r="AY4">
        <v>4.4335140528185081E-2</v>
      </c>
      <c r="AZ4">
        <v>5.9356800533440648</v>
      </c>
      <c r="BA4">
        <v>10.803473756284552</v>
      </c>
      <c r="BB4">
        <v>2.6984043521134999E-2</v>
      </c>
      <c r="BC4">
        <v>4.9113396173498899E-2</v>
      </c>
      <c r="BE4">
        <v>98</v>
      </c>
      <c r="BF4">
        <v>11.839</v>
      </c>
      <c r="BG4">
        <v>2.864745679012346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0.50524999999999998</v>
      </c>
      <c r="BP4">
        <v>8.3000000000000004E-2</v>
      </c>
      <c r="BQ4">
        <v>4.02E-2</v>
      </c>
    </row>
    <row r="5" spans="1:69">
      <c r="A5" s="194" t="s">
        <v>150</v>
      </c>
      <c r="B5">
        <v>1.6550000881979205</v>
      </c>
      <c r="C5">
        <v>2.917746358110187</v>
      </c>
      <c r="D5">
        <v>0.12415371716193774</v>
      </c>
      <c r="E5">
        <v>0.2188815932266977</v>
      </c>
      <c r="F5">
        <v>-0.25432904740998991</v>
      </c>
      <c r="G5">
        <v>-0.44837922193112761</v>
      </c>
      <c r="H5">
        <v>-5.1660135728966569E-3</v>
      </c>
      <c r="I5">
        <v>-9.107623253772559E-3</v>
      </c>
      <c r="J5">
        <v>115.367313223948</v>
      </c>
      <c r="K5">
        <v>115.367313223948</v>
      </c>
      <c r="L5">
        <v>104.16098179819977</v>
      </c>
      <c r="M5">
        <v>104.16098179819977</v>
      </c>
      <c r="N5">
        <v>-3.0328006601245008</v>
      </c>
      <c r="O5">
        <v>-5.3467931174479748</v>
      </c>
      <c r="P5">
        <v>-1.497265279786578E-2</v>
      </c>
      <c r="Q5">
        <v>-2.6396616824226265E-2</v>
      </c>
      <c r="R5">
        <v>283.25078540792259</v>
      </c>
      <c r="S5">
        <v>283.25078540792259</v>
      </c>
      <c r="T5">
        <v>112.05977004968481</v>
      </c>
      <c r="U5">
        <v>112.05977004968481</v>
      </c>
      <c r="V5">
        <v>1.6550000881979205</v>
      </c>
      <c r="W5">
        <v>2.917746358110187</v>
      </c>
      <c r="X5">
        <v>1.796119016817594</v>
      </c>
      <c r="Y5">
        <v>3.1665374264471109</v>
      </c>
      <c r="Z5">
        <v>0.13474008490595404</v>
      </c>
      <c r="AA5">
        <v>0.23754523932012611</v>
      </c>
      <c r="AB5">
        <v>1.9694523501509273</v>
      </c>
      <c r="AC5">
        <v>3.4721221244051153</v>
      </c>
      <c r="AD5">
        <v>4.0004150826120979E-2</v>
      </c>
      <c r="AE5">
        <v>7.0526863541922905E-2</v>
      </c>
      <c r="AF5">
        <v>1.6166282617750038</v>
      </c>
      <c r="AG5">
        <v>2.8500972639512794</v>
      </c>
      <c r="AH5">
        <v>3.2837474239405168E-2</v>
      </c>
      <c r="AI5">
        <v>5.7892094118186826E-2</v>
      </c>
      <c r="AJ5">
        <v>2.3177092194440041</v>
      </c>
      <c r="AK5">
        <v>4.0860950294900684</v>
      </c>
      <c r="AL5">
        <v>4.7078056586961195E-2</v>
      </c>
      <c r="AM5">
        <v>8.2998079053325291E-2</v>
      </c>
      <c r="AN5">
        <v>6.9849072876239759</v>
      </c>
      <c r="AO5">
        <v>12.314312213960985</v>
      </c>
      <c r="AP5">
        <v>3.4483833051718912E-2</v>
      </c>
      <c r="AQ5">
        <v>6.0794606005060259E-2</v>
      </c>
      <c r="AR5">
        <v>6.6815739542906423</v>
      </c>
      <c r="AS5">
        <v>11.779538992534476</v>
      </c>
      <c r="AT5">
        <v>3.2986304796158314E-2</v>
      </c>
      <c r="AU5">
        <v>5.815448069933489E-2</v>
      </c>
      <c r="AV5">
        <v>4.3262980893364738</v>
      </c>
      <c r="AW5">
        <v>7.6272143936894912</v>
      </c>
      <c r="AX5">
        <v>2.1358528453052361E-2</v>
      </c>
      <c r="AY5">
        <v>3.7654843073962219E-2</v>
      </c>
      <c r="AZ5">
        <v>2.6020357003859491</v>
      </c>
      <c r="BA5">
        <v>4.5873593860291448</v>
      </c>
      <c r="BB5">
        <v>1.2846006538369386E-2</v>
      </c>
      <c r="BC5">
        <v>2.2647363623043235E-2</v>
      </c>
      <c r="BE5">
        <v>98.5</v>
      </c>
      <c r="BF5">
        <v>13.330249999999999</v>
      </c>
      <c r="BG5">
        <v>3.2420484567901231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0.67700000000000005</v>
      </c>
      <c r="BP5">
        <v>0.1368</v>
      </c>
      <c r="BQ5">
        <v>7.7600000000000002E-2</v>
      </c>
    </row>
    <row r="6" spans="1:69">
      <c r="A6" s="194" t="s">
        <v>151</v>
      </c>
      <c r="B6">
        <v>3.2026613435747029</v>
      </c>
      <c r="C6">
        <v>5.5133009178129537</v>
      </c>
      <c r="D6">
        <v>0.19209532867937459</v>
      </c>
      <c r="E6">
        <v>0.33068727483170862</v>
      </c>
      <c r="F6">
        <v>1.8660893757113355</v>
      </c>
      <c r="G6">
        <v>3.2124259058707842</v>
      </c>
      <c r="H6">
        <v>3.7557800734039422E-2</v>
      </c>
      <c r="I6">
        <v>6.4654808936774388E-2</v>
      </c>
      <c r="J6">
        <v>41.733165779293131</v>
      </c>
      <c r="K6">
        <v>41.733165779293124</v>
      </c>
      <c r="L6">
        <v>80.448352912981562</v>
      </c>
      <c r="M6">
        <v>80.448352912981562</v>
      </c>
      <c r="N6">
        <v>2.9453558673986633</v>
      </c>
      <c r="O6">
        <v>5.0703560148791134</v>
      </c>
      <c r="P6">
        <v>1.1534673729180033E-2</v>
      </c>
      <c r="Q6">
        <v>1.9856650590093179E-2</v>
      </c>
      <c r="R6">
        <v>8.0341143996462616</v>
      </c>
      <c r="S6">
        <v>8.0341143996462687</v>
      </c>
      <c r="T6">
        <v>93.995338768267231</v>
      </c>
      <c r="U6">
        <v>93.995338768267246</v>
      </c>
      <c r="V6">
        <v>3.2026613435747029</v>
      </c>
      <c r="W6">
        <v>5.5133009178129537</v>
      </c>
      <c r="X6">
        <v>1.6056922334780512</v>
      </c>
      <c r="Y6">
        <v>2.7641587776116925</v>
      </c>
      <c r="Z6">
        <v>9.6309270403098043E-2</v>
      </c>
      <c r="AA6">
        <v>0.16579398567150161</v>
      </c>
      <c r="AB6">
        <v>2.1690255668113845</v>
      </c>
      <c r="AC6">
        <v>3.7339229363893041</v>
      </c>
      <c r="AD6">
        <v>4.3654838340358507E-2</v>
      </c>
      <c r="AE6">
        <v>7.515070576279953E-2</v>
      </c>
      <c r="AF6">
        <v>3.3687425353833085</v>
      </c>
      <c r="AG6">
        <v>5.7992055105876084</v>
      </c>
      <c r="AH6">
        <v>6.7800911636389252E-2</v>
      </c>
      <c r="AI6">
        <v>0.11671756338003231</v>
      </c>
      <c r="AJ6">
        <v>4.2340296156571231</v>
      </c>
      <c r="AK6">
        <v>7.2887754469832382</v>
      </c>
      <c r="AL6">
        <v>8.521609022411078E-2</v>
      </c>
      <c r="AM6">
        <v>0.14669735511923404</v>
      </c>
      <c r="AN6">
        <v>5.7014954172696575</v>
      </c>
      <c r="AO6">
        <v>9.8149809001826931</v>
      </c>
      <c r="AP6">
        <v>2.232833394923656E-2</v>
      </c>
      <c r="AQ6">
        <v>3.8437665069562685E-2</v>
      </c>
      <c r="AR6">
        <v>5.181495417269657</v>
      </c>
      <c r="AS6">
        <v>8.9198139843879751</v>
      </c>
      <c r="AT6">
        <v>2.0291897399899967E-2</v>
      </c>
      <c r="AU6">
        <v>3.4931990790560231E-2</v>
      </c>
      <c r="AV6">
        <v>8.8271696638289576</v>
      </c>
      <c r="AW6">
        <v>15.195750467627827</v>
      </c>
      <c r="AX6">
        <v>3.4569174866570157E-2</v>
      </c>
      <c r="AY6">
        <v>5.9509964705530591E-2</v>
      </c>
      <c r="AZ6">
        <v>7.8894818063612391</v>
      </c>
      <c r="BA6">
        <v>13.581544415036413</v>
      </c>
      <c r="BB6">
        <v>3.0896979049615577E-2</v>
      </c>
      <c r="BC6">
        <v>5.3188372006189248E-2</v>
      </c>
      <c r="BE6">
        <v>96.75</v>
      </c>
      <c r="BF6">
        <v>16.672249999999998</v>
      </c>
      <c r="BG6">
        <v>3.9828152777777772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0.59499999999999997</v>
      </c>
      <c r="BP6">
        <v>9.7000000000000003E-2</v>
      </c>
      <c r="BQ6">
        <v>4.5999999999999999E-2</v>
      </c>
    </row>
    <row r="7" spans="1:69">
      <c r="A7" s="194" t="s">
        <v>153</v>
      </c>
      <c r="B7">
        <v>1.869277183719086</v>
      </c>
      <c r="C7">
        <v>2.562372440914412</v>
      </c>
      <c r="D7">
        <v>8.9180944334299572E-2</v>
      </c>
      <c r="E7">
        <v>0.12224767734139987</v>
      </c>
      <c r="F7">
        <v>-0.13208155600666471</v>
      </c>
      <c r="G7">
        <v>-0.18105508482760788</v>
      </c>
      <c r="H7">
        <v>-2.2699963909865411E-3</v>
      </c>
      <c r="I7">
        <v>-3.1116713154688575E-3</v>
      </c>
      <c r="J7">
        <v>107.06591602128674</v>
      </c>
      <c r="K7">
        <v>107.06591602128674</v>
      </c>
      <c r="L7">
        <v>102.54538276975107</v>
      </c>
      <c r="M7">
        <v>102.54538276975107</v>
      </c>
      <c r="N7">
        <v>-1.7479148593939808</v>
      </c>
      <c r="O7">
        <v>-2.3960110912309722</v>
      </c>
      <c r="P7">
        <v>-7.0069064660460397E-3</v>
      </c>
      <c r="Q7">
        <v>-9.6049447246447164E-3</v>
      </c>
      <c r="R7">
        <v>193.50752657860809</v>
      </c>
      <c r="S7">
        <v>193.50752657860809</v>
      </c>
      <c r="T7">
        <v>107.85695477699842</v>
      </c>
      <c r="U7">
        <v>107.85695477699842</v>
      </c>
      <c r="V7">
        <v>1.869277183719086</v>
      </c>
      <c r="W7">
        <v>2.562372440914412</v>
      </c>
      <c r="X7">
        <v>1.8852375770765324</v>
      </c>
      <c r="Y7">
        <v>2.5842506687350215</v>
      </c>
      <c r="Z7">
        <v>8.9942395318648519E-2</v>
      </c>
      <c r="AA7">
        <v>0.12329146102120758</v>
      </c>
      <c r="AB7">
        <v>2.1885709104098656</v>
      </c>
      <c r="AC7">
        <v>3.0000546920835691</v>
      </c>
      <c r="AD7">
        <v>3.7613488349560638E-2</v>
      </c>
      <c r="AE7">
        <v>5.155991138875067E-2</v>
      </c>
      <c r="AF7">
        <v>1.8532285636886563</v>
      </c>
      <c r="AG7">
        <v>2.5403732735149238</v>
      </c>
      <c r="AH7">
        <v>3.1850186191281313E-2</v>
      </c>
      <c r="AI7">
        <v>4.3659677679346566E-2</v>
      </c>
      <c r="AJ7">
        <v>3.0878642973303467</v>
      </c>
      <c r="AK7">
        <v>4.232790324343827</v>
      </c>
      <c r="AL7">
        <v>5.3069035698234727E-2</v>
      </c>
      <c r="AM7">
        <v>7.2746105138089129E-2</v>
      </c>
      <c r="AN7">
        <v>6.0043525571273131</v>
      </c>
      <c r="AO7">
        <v>8.230661376450584</v>
      </c>
      <c r="AP7">
        <v>2.4069786083025919E-2</v>
      </c>
      <c r="AQ7">
        <v>3.2994441410311173E-2</v>
      </c>
      <c r="AR7">
        <v>6.2643525571273129</v>
      </c>
      <c r="AS7">
        <v>8.5870648250350534</v>
      </c>
      <c r="AT7">
        <v>2.5112054058139766E-2</v>
      </c>
      <c r="AU7">
        <v>3.4423164105233203E-2</v>
      </c>
      <c r="AV7">
        <v>4.2564376977333325</v>
      </c>
      <c r="AW7">
        <v>5.8346502852196123</v>
      </c>
      <c r="AX7">
        <v>1.706287961697988E-2</v>
      </c>
      <c r="AY7">
        <v>2.338949668566646E-2</v>
      </c>
      <c r="AZ7">
        <v>5.2518255981139248</v>
      </c>
      <c r="BA7">
        <v>7.1991105943538329</v>
      </c>
      <c r="BB7">
        <v>2.105311396845105E-2</v>
      </c>
      <c r="BC7">
        <v>2.8859240083837764E-2</v>
      </c>
      <c r="BE7">
        <v>102.25</v>
      </c>
      <c r="BF7">
        <v>20.9605</v>
      </c>
      <c r="BG7">
        <v>5.291879320987654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0.48049999999999998</v>
      </c>
      <c r="BP7">
        <v>8.9800000000000019E-2</v>
      </c>
      <c r="BQ7">
        <v>7.000000000000001E-3</v>
      </c>
    </row>
    <row r="8" spans="1:69">
      <c r="A8" s="194" t="s">
        <v>156</v>
      </c>
      <c r="B8">
        <v>1.6753612372701767</v>
      </c>
      <c r="C8">
        <v>2.5325136646922215</v>
      </c>
      <c r="D8">
        <v>9.5350800334092739E-2</v>
      </c>
      <c r="E8">
        <v>0.14413441078468006</v>
      </c>
      <c r="F8">
        <v>0.63156075990002469</v>
      </c>
      <c r="G8">
        <v>0.95468142568245606</v>
      </c>
      <c r="H8">
        <v>9.5675658136727248E-3</v>
      </c>
      <c r="I8">
        <v>1.4462547313347495E-2</v>
      </c>
      <c r="J8">
        <v>62.303009891222857</v>
      </c>
      <c r="K8">
        <v>62.303009891222857</v>
      </c>
      <c r="L8">
        <v>89.96593024898624</v>
      </c>
      <c r="M8">
        <v>89.96593024898624</v>
      </c>
      <c r="N8">
        <v>-0.96863721503069489</v>
      </c>
      <c r="O8">
        <v>-1.4642137639472292</v>
      </c>
      <c r="P8">
        <v>-3.1571651631020748E-3</v>
      </c>
      <c r="Q8">
        <v>-4.772441751293096E-3</v>
      </c>
      <c r="R8">
        <v>157.81661849888485</v>
      </c>
      <c r="S8">
        <v>157.81661849888485</v>
      </c>
      <c r="T8">
        <v>103.31110504792819</v>
      </c>
      <c r="U8">
        <v>103.31110504792819</v>
      </c>
      <c r="V8">
        <v>1.6753612372701767</v>
      </c>
      <c r="W8">
        <v>2.5325136646922215</v>
      </c>
      <c r="X8">
        <v>1.0124095139607032</v>
      </c>
      <c r="Y8">
        <v>1.5303809538697224</v>
      </c>
      <c r="Z8">
        <v>5.7619846558760596E-2</v>
      </c>
      <c r="AA8">
        <v>8.7099453849903086E-2</v>
      </c>
      <c r="AB8">
        <v>1.3157428472940365</v>
      </c>
      <c r="AC8">
        <v>1.9889064315601341</v>
      </c>
      <c r="AD8">
        <v>1.9932296438663434E-2</v>
      </c>
      <c r="AE8">
        <v>3.0130106854961692E-2</v>
      </c>
      <c r="AF8">
        <v>1.6439702738607278</v>
      </c>
      <c r="AG8">
        <v>2.4850623795521782</v>
      </c>
      <c r="AH8">
        <v>2.4904640676811418E-2</v>
      </c>
      <c r="AI8">
        <v>3.764641405398797E-2</v>
      </c>
      <c r="AJ8">
        <v>2.7653945352722777</v>
      </c>
      <c r="AK8">
        <v>4.1802324734775018</v>
      </c>
      <c r="AL8">
        <v>4.1893188901059496E-2</v>
      </c>
      <c r="AM8">
        <v>6.332668500933944E-2</v>
      </c>
      <c r="AN8">
        <v>4.0066873491899342</v>
      </c>
      <c r="AO8">
        <v>6.0565985628904766</v>
      </c>
      <c r="AP8">
        <v>1.3059351346420655E-2</v>
      </c>
      <c r="AQ8">
        <v>1.9740808728937759E-2</v>
      </c>
      <c r="AR8">
        <v>4.4833540158566008</v>
      </c>
      <c r="AS8">
        <v>6.7771385992611233</v>
      </c>
      <c r="AT8">
        <v>1.4612993278673174E-2</v>
      </c>
      <c r="AU8">
        <v>2.2089328759089213E-2</v>
      </c>
      <c r="AV8">
        <v>3.2880846050313526</v>
      </c>
      <c r="AW8">
        <v>4.970342519368649</v>
      </c>
      <c r="AX8">
        <v>1.0717145704553866E-2</v>
      </c>
      <c r="AY8">
        <v>1.620027808898343E-2</v>
      </c>
      <c r="AZ8">
        <v>4.3907604987807227</v>
      </c>
      <c r="BA8">
        <v>6.6371721597613904</v>
      </c>
      <c r="BB8">
        <v>1.431119501828753E-2</v>
      </c>
      <c r="BC8">
        <v>2.163312373213494E-2</v>
      </c>
      <c r="BE8">
        <v>97.25</v>
      </c>
      <c r="BF8">
        <v>17.570500000000003</v>
      </c>
      <c r="BG8">
        <v>4.2190891975308649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0.49333333333333335</v>
      </c>
      <c r="BP8">
        <v>0.1414</v>
      </c>
      <c r="BQ8">
        <v>7.1800000000000003E-2</v>
      </c>
    </row>
    <row r="9" spans="1:69">
      <c r="A9" s="194" t="s">
        <v>157</v>
      </c>
      <c r="B9">
        <v>1.9981433802281037</v>
      </c>
      <c r="C9">
        <v>3.4978761063144992</v>
      </c>
      <c r="D9">
        <v>0.10283143803039453</v>
      </c>
      <c r="E9">
        <v>0.18001292280807973</v>
      </c>
      <c r="F9">
        <v>3.1367427789484481E-2</v>
      </c>
      <c r="G9">
        <v>5.4910662201256982E-2</v>
      </c>
      <c r="H9">
        <v>3.3240179502664604E-4</v>
      </c>
      <c r="I9">
        <v>5.8189032279906943E-4</v>
      </c>
      <c r="J9">
        <v>98.430171323045712</v>
      </c>
      <c r="K9">
        <v>98.430171323045712</v>
      </c>
      <c r="L9">
        <v>99.676750805596626</v>
      </c>
      <c r="M9">
        <v>99.67675080559664</v>
      </c>
      <c r="N9">
        <v>-1.8467599611144332</v>
      </c>
      <c r="O9">
        <v>-3.232869876106208</v>
      </c>
      <c r="P9">
        <v>-5.7819298599083076E-3</v>
      </c>
      <c r="Q9">
        <v>-1.0121633164808637E-2</v>
      </c>
      <c r="R9">
        <v>192.42379597922604</v>
      </c>
      <c r="S9">
        <v>192.42379597922604</v>
      </c>
      <c r="T9">
        <v>105.62272586152039</v>
      </c>
      <c r="U9">
        <v>105.62272586152039</v>
      </c>
      <c r="V9">
        <v>1.9981433802281037</v>
      </c>
      <c r="W9">
        <v>3.4978761063144992</v>
      </c>
      <c r="X9">
        <v>2.2073659673659671</v>
      </c>
      <c r="Y9">
        <v>3.8641334508536542</v>
      </c>
      <c r="Z9">
        <v>0.11359876319670466</v>
      </c>
      <c r="AA9">
        <v>0.19886180512595197</v>
      </c>
      <c r="AB9">
        <v>1.9040326340326339</v>
      </c>
      <c r="AC9">
        <v>3.3331293049978776</v>
      </c>
      <c r="AD9">
        <v>2.0177104402355022E-2</v>
      </c>
      <c r="AE9">
        <v>3.5321294798951713E-2</v>
      </c>
      <c r="AF9">
        <v>2.3549105513326083</v>
      </c>
      <c r="AG9">
        <v>4.1224195578366833</v>
      </c>
      <c r="AH9">
        <v>2.4955074405321919E-2</v>
      </c>
      <c r="AI9">
        <v>4.36854328660395E-2</v>
      </c>
      <c r="AJ9">
        <v>2.5434333049593678</v>
      </c>
      <c r="AK9">
        <v>4.4524405372782976</v>
      </c>
      <c r="AL9">
        <v>2.6952857013748256E-2</v>
      </c>
      <c r="AM9">
        <v>4.7182677418543727E-2</v>
      </c>
      <c r="AN9">
        <v>6.1573892773892789</v>
      </c>
      <c r="AO9">
        <v>10.778898573433882</v>
      </c>
      <c r="AP9">
        <v>1.9277867005808601E-2</v>
      </c>
      <c r="AQ9">
        <v>3.3747122978046107E-2</v>
      </c>
      <c r="AR9">
        <v>6.027389277389279</v>
      </c>
      <c r="AS9">
        <v>10.55132536806712</v>
      </c>
      <c r="AT9">
        <v>1.8870856404747869E-2</v>
      </c>
      <c r="AU9">
        <v>3.3034625231110393E-2</v>
      </c>
      <c r="AV9">
        <v>4.3977621834077123</v>
      </c>
      <c r="AW9">
        <v>7.6985602809140001</v>
      </c>
      <c r="AX9">
        <v>1.3768737150699472E-2</v>
      </c>
      <c r="AY9">
        <v>2.4103043440285285E-2</v>
      </c>
      <c r="AZ9">
        <v>4.4905896009312629</v>
      </c>
      <c r="BA9">
        <v>7.8610605343890239</v>
      </c>
      <c r="BB9">
        <v>1.4059365943016209E-2</v>
      </c>
      <c r="BC9">
        <v>2.4611807485203675E-2</v>
      </c>
      <c r="BE9">
        <v>98.5</v>
      </c>
      <c r="BF9">
        <v>19.431249999999999</v>
      </c>
      <c r="BG9">
        <v>4.7258719135802467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0.48799999999999999</v>
      </c>
      <c r="BP9">
        <v>6.08E-2</v>
      </c>
      <c r="BQ9">
        <v>3.8800000000000001E-2</v>
      </c>
    </row>
    <row r="10" spans="1:69">
      <c r="A10" s="194" t="s">
        <v>161</v>
      </c>
      <c r="B10">
        <v>1.8280437621639283</v>
      </c>
      <c r="C10">
        <v>3.4649121322286889</v>
      </c>
      <c r="D10">
        <v>8.823456714759767E-2</v>
      </c>
      <c r="E10">
        <v>0.16724163202185005</v>
      </c>
      <c r="F10">
        <v>0.31266193996718528</v>
      </c>
      <c r="G10">
        <v>0.59262593790208729</v>
      </c>
      <c r="H10">
        <v>4.6951877097426908E-3</v>
      </c>
      <c r="I10">
        <v>8.8993563476406669E-3</v>
      </c>
      <c r="J10">
        <v>82.896364603598172</v>
      </c>
      <c r="K10">
        <v>82.896364603598187</v>
      </c>
      <c r="L10">
        <v>94.678743420491159</v>
      </c>
      <c r="M10">
        <v>94.678743420491159</v>
      </c>
      <c r="N10">
        <v>-2.4440300243716098</v>
      </c>
      <c r="O10">
        <v>-4.632465293364775</v>
      </c>
      <c r="P10">
        <v>-1.0371528824227703E-2</v>
      </c>
      <c r="Q10">
        <v>-1.9658411246285881E-2</v>
      </c>
      <c r="R10">
        <v>233.6964724235329</v>
      </c>
      <c r="S10">
        <v>233.6964724235329</v>
      </c>
      <c r="T10">
        <v>111.75449617934696</v>
      </c>
      <c r="U10">
        <v>111.75449617934696</v>
      </c>
      <c r="V10">
        <v>1.8280437621639283</v>
      </c>
      <c r="W10">
        <v>3.4649121322286889</v>
      </c>
      <c r="X10">
        <v>2.2023289665211068</v>
      </c>
      <c r="Y10">
        <v>4.1743400859422968</v>
      </c>
      <c r="Z10">
        <v>0.106300268680428</v>
      </c>
      <c r="AA10">
        <v>0.20148373809934828</v>
      </c>
      <c r="AB10">
        <v>2.5489956331877734</v>
      </c>
      <c r="AC10">
        <v>4.831419289424133</v>
      </c>
      <c r="AD10">
        <v>3.8277805640133555E-2</v>
      </c>
      <c r="AE10">
        <v>7.255254819534078E-2</v>
      </c>
      <c r="AF10">
        <v>2.4421197274489908</v>
      </c>
      <c r="AG10">
        <v>4.6288444768830583</v>
      </c>
      <c r="AH10">
        <v>3.6672869525603537E-2</v>
      </c>
      <c r="AI10">
        <v>6.9510518934452467E-2</v>
      </c>
      <c r="AJ10">
        <v>3.108267635186913</v>
      </c>
      <c r="AK10">
        <v>5.8914750632797661</v>
      </c>
      <c r="AL10">
        <v>4.6676291974815487E-2</v>
      </c>
      <c r="AM10">
        <v>8.8471213708550073E-2</v>
      </c>
      <c r="AN10">
        <v>7.6045123726346429</v>
      </c>
      <c r="AO10">
        <v>14.413750767341927</v>
      </c>
      <c r="AP10">
        <v>3.2270642537321099E-2</v>
      </c>
      <c r="AQ10">
        <v>6.1166446425778821E-2</v>
      </c>
      <c r="AR10">
        <v>6.5211790393013098</v>
      </c>
      <c r="AS10">
        <v>12.360378256461191</v>
      </c>
      <c r="AT10">
        <v>2.7673390138262619E-2</v>
      </c>
      <c r="AU10">
        <v>5.2452718701033706E-2</v>
      </c>
      <c r="AV10">
        <v>5.4341541095439645</v>
      </c>
      <c r="AW10">
        <v>10.300008617009688</v>
      </c>
      <c r="AX10">
        <v>2.3060472015650313E-2</v>
      </c>
      <c r="AY10">
        <v>4.3709297838342306E-2</v>
      </c>
      <c r="AZ10">
        <v>3.6937593636907966</v>
      </c>
      <c r="BA10">
        <v>7.001228251579386</v>
      </c>
      <c r="BB10">
        <v>1.5674902242712847E-2</v>
      </c>
      <c r="BC10">
        <v>2.9710535423934793E-2</v>
      </c>
      <c r="BE10">
        <v>88.5</v>
      </c>
      <c r="BF10">
        <v>20.717999999999996</v>
      </c>
      <c r="BG10">
        <v>4.5272666666666659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0.50700000000000001</v>
      </c>
      <c r="BP10">
        <v>6.8200000000000011E-2</v>
      </c>
      <c r="BQ10">
        <v>3.9800000000000002E-2</v>
      </c>
    </row>
    <row r="11" spans="1:69">
      <c r="A11" s="194" t="s">
        <v>175</v>
      </c>
      <c r="B11">
        <v>1.9720037691378052</v>
      </c>
      <c r="C11">
        <v>2.6918253441551814</v>
      </c>
      <c r="D11">
        <v>9.1001558335847027E-2</v>
      </c>
      <c r="E11">
        <v>0.12421898219451689</v>
      </c>
      <c r="F11">
        <v>0.50414159675143866</v>
      </c>
      <c r="G11">
        <v>0.688163556488391</v>
      </c>
      <c r="H11">
        <v>7.7457525059296557E-3</v>
      </c>
      <c r="I11">
        <v>1.057311006770085E-2</v>
      </c>
      <c r="J11">
        <v>74.435059169696302</v>
      </c>
      <c r="K11">
        <v>74.435059169696302</v>
      </c>
      <c r="L11">
        <v>91.488329818107658</v>
      </c>
      <c r="M11">
        <v>91.488329818107644</v>
      </c>
      <c r="N11">
        <v>0.66698674238974442</v>
      </c>
      <c r="O11">
        <v>0.91045049988175364</v>
      </c>
      <c r="P11">
        <v>3.3253566846967956E-3</v>
      </c>
      <c r="Q11">
        <v>4.5391796619822598E-3</v>
      </c>
      <c r="R11">
        <v>66.17720752727756</v>
      </c>
      <c r="S11">
        <v>66.17720752727756</v>
      </c>
      <c r="T11">
        <v>96.345824461132452</v>
      </c>
      <c r="U11">
        <v>96.345824461132452</v>
      </c>
      <c r="V11">
        <v>1.9720037691378052</v>
      </c>
      <c r="W11">
        <v>2.6918253441551814</v>
      </c>
      <c r="X11">
        <v>1.3010712035286707</v>
      </c>
      <c r="Y11">
        <v>1.7759887151433835</v>
      </c>
      <c r="Z11">
        <v>6.0040203208521943E-2</v>
      </c>
      <c r="AA11">
        <v>8.1956101298725589E-2</v>
      </c>
      <c r="AB11">
        <v>0.86773787019533732</v>
      </c>
      <c r="AC11">
        <v>1.184479881646626</v>
      </c>
      <c r="AD11">
        <v>1.333213292826033E-2</v>
      </c>
      <c r="AE11">
        <v>1.8198633222505325E-2</v>
      </c>
      <c r="AF11">
        <v>2.0042991266821257</v>
      </c>
      <c r="AG11">
        <v>2.7359091655438008</v>
      </c>
      <c r="AH11">
        <v>3.0794532891490454E-2</v>
      </c>
      <c r="AI11">
        <v>4.2035165143207029E-2</v>
      </c>
      <c r="AJ11">
        <v>0.99101328621050955</v>
      </c>
      <c r="AK11">
        <v>1.3527533374757692</v>
      </c>
      <c r="AL11">
        <v>1.522616601077509E-2</v>
      </c>
      <c r="AM11">
        <v>2.0784026989988189E-2</v>
      </c>
      <c r="AN11">
        <v>2.3946439823566474</v>
      </c>
      <c r="AO11">
        <v>3.268737850716485</v>
      </c>
      <c r="AP11">
        <v>1.1938836063919151E-2</v>
      </c>
      <c r="AQ11">
        <v>1.6296754600333467E-2</v>
      </c>
      <c r="AR11">
        <v>3.3046439823566476</v>
      </c>
      <c r="AS11">
        <v>4.5109064010596756</v>
      </c>
      <c r="AT11">
        <v>1.6475769695061461E-2</v>
      </c>
      <c r="AU11">
        <v>2.248976149220084E-2</v>
      </c>
      <c r="AV11">
        <v>2.9102129553702105</v>
      </c>
      <c r="AW11">
        <v>3.9725000087496554</v>
      </c>
      <c r="AX11">
        <v>1.4509278056049631E-2</v>
      </c>
      <c r="AY11">
        <v>1.9805460318032344E-2</v>
      </c>
      <c r="AZ11">
        <v>5.503672555037614</v>
      </c>
      <c r="BA11">
        <v>7.512625229950193</v>
      </c>
      <c r="BB11">
        <v>2.7439337483236351E-2</v>
      </c>
      <c r="BC11">
        <v>3.7455255015306881E-2</v>
      </c>
      <c r="BE11">
        <v>97</v>
      </c>
      <c r="BF11">
        <v>21.67</v>
      </c>
      <c r="BG11">
        <v>5.1900987654320989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0.37224999999999997</v>
      </c>
      <c r="BP11">
        <v>0.12859999999999999</v>
      </c>
      <c r="BQ11">
        <v>5.6400000000000006E-2</v>
      </c>
    </row>
    <row r="12" spans="1:69">
      <c r="A12" s="194" t="s">
        <v>176</v>
      </c>
      <c r="B12">
        <v>2.1216676307033828</v>
      </c>
      <c r="C12">
        <v>3.6501524630662527</v>
      </c>
      <c r="D12">
        <v>0.12406324770946309</v>
      </c>
      <c r="E12">
        <v>0.21344048551684081</v>
      </c>
      <c r="F12">
        <v>0.18701566607562814</v>
      </c>
      <c r="G12">
        <v>0.3217448785470795</v>
      </c>
      <c r="H12">
        <v>3.1789274496195489E-3</v>
      </c>
      <c r="I12">
        <v>5.4690799313796669E-3</v>
      </c>
      <c r="J12">
        <v>91.185440010996061</v>
      </c>
      <c r="K12">
        <v>91.185440010996061</v>
      </c>
      <c r="L12">
        <v>97.43765578581008</v>
      </c>
      <c r="M12">
        <v>97.43765578581008</v>
      </c>
      <c r="N12">
        <v>-0.71228666281211361</v>
      </c>
      <c r="O12">
        <v>-1.2254298831014034</v>
      </c>
      <c r="P12">
        <v>-4.3646620758858385E-3</v>
      </c>
      <c r="Q12">
        <v>-7.5090376061705899E-3</v>
      </c>
      <c r="R12">
        <v>133.57201912799007</v>
      </c>
      <c r="S12">
        <v>133.57201912799007</v>
      </c>
      <c r="T12">
        <v>103.51809432403962</v>
      </c>
      <c r="U12">
        <v>103.51809432403962</v>
      </c>
      <c r="V12">
        <v>2.1216676307033828</v>
      </c>
      <c r="W12">
        <v>3.6501524630662527</v>
      </c>
      <c r="X12">
        <v>1.9038198632891032</v>
      </c>
      <c r="Y12">
        <v>3.2753635219081616</v>
      </c>
      <c r="Z12">
        <v>0.11132472960202927</v>
      </c>
      <c r="AA12">
        <v>0.19152492599527304</v>
      </c>
      <c r="AB12">
        <v>1.60048652995577</v>
      </c>
      <c r="AC12">
        <v>2.7535037839483119</v>
      </c>
      <c r="AD12">
        <v>2.7205370916708368E-2</v>
      </c>
      <c r="AE12">
        <v>4.6804574959430627E-2</v>
      </c>
      <c r="AF12">
        <v>2.1910365748010001</v>
      </c>
      <c r="AG12">
        <v>3.7694959542398814</v>
      </c>
      <c r="AH12">
        <v>3.7243651598356617E-2</v>
      </c>
      <c r="AI12">
        <v>6.4074600869625284E-2</v>
      </c>
      <c r="AJ12">
        <v>2.3359561488183851</v>
      </c>
      <c r="AK12">
        <v>4.0188180122243837</v>
      </c>
      <c r="AL12">
        <v>3.9707021761392784E-2</v>
      </c>
      <c r="AM12">
        <v>6.8312624082087381E-2</v>
      </c>
      <c r="AN12">
        <v>5.3106554081222361</v>
      </c>
      <c r="AO12">
        <v>9.1365403505859248</v>
      </c>
      <c r="AP12">
        <v>3.2541977083239797E-2</v>
      </c>
      <c r="AQ12">
        <v>5.5985761428642741E-2</v>
      </c>
      <c r="AR12">
        <v>5.1806554081222362</v>
      </c>
      <c r="AS12">
        <v>8.9128861771745616</v>
      </c>
      <c r="AT12">
        <v>3.17453791691008E-2</v>
      </c>
      <c r="AU12">
        <v>5.4615281059196788E-2</v>
      </c>
      <c r="AV12">
        <v>4.673519529387324</v>
      </c>
      <c r="AW12">
        <v>8.0404011328230016</v>
      </c>
      <c r="AX12">
        <v>2.8637814683060182E-2</v>
      </c>
      <c r="AY12">
        <v>4.9268975163443515E-2</v>
      </c>
      <c r="AZ12">
        <v>5.1352840208392276</v>
      </c>
      <c r="BA12">
        <v>8.8348284839491136</v>
      </c>
      <c r="BB12">
        <v>3.1467357996245129E-2</v>
      </c>
      <c r="BC12">
        <v>5.4136968785305301E-2</v>
      </c>
      <c r="BE12">
        <v>98.5</v>
      </c>
      <c r="BF12">
        <v>17.101499999999998</v>
      </c>
      <c r="BG12">
        <v>4.159253703703703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0.70399999999999996</v>
      </c>
      <c r="BP12">
        <v>0.1368</v>
      </c>
      <c r="BQ12">
        <v>5.2600000000000001E-2</v>
      </c>
    </row>
    <row r="17" spans="1:70">
      <c r="A17" t="s">
        <v>142</v>
      </c>
      <c r="B17" s="57">
        <f t="shared" ref="B17:BM17" si="0">AVERAGE(B4:B16)</f>
        <v>2.0190175888739721</v>
      </c>
      <c r="C17" s="57">
        <f t="shared" si="0"/>
        <v>3.3551162488679416</v>
      </c>
      <c r="D17" s="57">
        <f t="shared" si="0"/>
        <v>0.11812114722328006</v>
      </c>
      <c r="E17" s="57">
        <f t="shared" si="0"/>
        <v>0.19834715108869472</v>
      </c>
      <c r="F17" s="57">
        <f t="shared" si="0"/>
        <v>0.39826683442574246</v>
      </c>
      <c r="G17" s="57">
        <f t="shared" si="0"/>
        <v>0.66580808285657112</v>
      </c>
      <c r="H17" s="57">
        <f t="shared" si="0"/>
        <v>7.2624698199214195E-3</v>
      </c>
      <c r="I17" s="57">
        <f t="shared" si="0"/>
        <v>1.2234874720105902E-2</v>
      </c>
      <c r="J17" s="57">
        <f t="shared" si="0"/>
        <v>83.303254650803481</v>
      </c>
      <c r="K17" s="57">
        <f t="shared" si="0"/>
        <v>83.303254650803481</v>
      </c>
      <c r="L17" s="57">
        <f t="shared" si="0"/>
        <v>94.908678093962735</v>
      </c>
      <c r="M17" s="57">
        <f t="shared" si="0"/>
        <v>94.908678093962735</v>
      </c>
      <c r="N17" s="57">
        <f t="shared" si="0"/>
        <v>-0.89114264714557911</v>
      </c>
      <c r="O17" s="57">
        <f t="shared" si="0"/>
        <v>-1.5465571817207864</v>
      </c>
      <c r="P17" s="57">
        <f t="shared" si="0"/>
        <v>-3.8662506790840437E-3</v>
      </c>
      <c r="Q17" s="57">
        <f t="shared" si="0"/>
        <v>-6.7722488530129084E-3</v>
      </c>
      <c r="R17" s="57">
        <f t="shared" si="0"/>
        <v>157.34249924934997</v>
      </c>
      <c r="S17" s="57">
        <f t="shared" si="0"/>
        <v>157.34249924934997</v>
      </c>
      <c r="T17" s="57">
        <f t="shared" si="0"/>
        <v>104.11404451971185</v>
      </c>
      <c r="U17" s="57">
        <f t="shared" si="0"/>
        <v>104.11404451971185</v>
      </c>
      <c r="V17" s="57">
        <f t="shared" si="0"/>
        <v>2.0190175888739721</v>
      </c>
      <c r="W17" s="57">
        <f t="shared" si="0"/>
        <v>3.3551162488679416</v>
      </c>
      <c r="X17" s="57">
        <f t="shared" si="0"/>
        <v>1.7109990831821229</v>
      </c>
      <c r="Y17" s="57">
        <f t="shared" si="0"/>
        <v>2.8708768875678223</v>
      </c>
      <c r="Z17" s="57">
        <f t="shared" si="0"/>
        <v>9.9478223420046571E-2</v>
      </c>
      <c r="AA17" s="57">
        <f t="shared" si="0"/>
        <v>0.16842753500025617</v>
      </c>
      <c r="AB17" s="57">
        <f t="shared" si="0"/>
        <v>1.7687768609599006</v>
      </c>
      <c r="AC17" s="57">
        <f t="shared" si="0"/>
        <v>2.9737405657311875</v>
      </c>
      <c r="AD17" s="57">
        <f t="shared" si="0"/>
        <v>3.0029937739497144E-2</v>
      </c>
      <c r="AE17" s="57">
        <f t="shared" si="0"/>
        <v>5.0553205876682793E-2</v>
      </c>
      <c r="AF17" s="57">
        <f t="shared" si="0"/>
        <v>2.1553175965141151</v>
      </c>
      <c r="AG17" s="57">
        <f t="shared" si="0"/>
        <v>3.6034778506093983</v>
      </c>
      <c r="AH17" s="57">
        <f t="shared" si="0"/>
        <v>3.6637496443731245E-2</v>
      </c>
      <c r="AI17" s="57">
        <f t="shared" si="0"/>
        <v>6.143327913246513E-2</v>
      </c>
      <c r="AJ17" s="57">
        <f t="shared" si="0"/>
        <v>2.5727499355898193</v>
      </c>
      <c r="AK17" s="57">
        <f t="shared" si="0"/>
        <v>4.3029898089111773</v>
      </c>
      <c r="AL17" s="57">
        <f t="shared" si="0"/>
        <v>4.3902978440526631E-2</v>
      </c>
      <c r="AM17" s="57">
        <f t="shared" si="0"/>
        <v>7.3562561607825608E-2</v>
      </c>
      <c r="AN17" s="57">
        <f t="shared" si="0"/>
        <v>5.5836586687532606</v>
      </c>
      <c r="AO17" s="57">
        <f t="shared" si="0"/>
        <v>9.4550786649689247</v>
      </c>
      <c r="AP17" s="57">
        <f t="shared" si="0"/>
        <v>2.4183157912848714E-2</v>
      </c>
      <c r="AQ17" s="57">
        <f t="shared" si="0"/>
        <v>4.105996572422807E-2</v>
      </c>
      <c r="AR17" s="57">
        <f t="shared" si="0"/>
        <v>5.5403253354199258</v>
      </c>
      <c r="AS17" s="57">
        <f t="shared" si="0"/>
        <v>9.3018768592902532</v>
      </c>
      <c r="AT17" s="57">
        <f t="shared" si="0"/>
        <v>2.400415874615585E-2</v>
      </c>
      <c r="AU17" s="57">
        <f t="shared" si="0"/>
        <v>4.0404787811172731E-2</v>
      </c>
      <c r="AV17" s="57">
        <f t="shared" si="0"/>
        <v>4.8302038848202091</v>
      </c>
      <c r="AW17" s="57">
        <f t="shared" si="0"/>
        <v>8.154647618598533</v>
      </c>
      <c r="AX17" s="57">
        <f t="shared" si="0"/>
        <v>2.0893643238765705E-2</v>
      </c>
      <c r="AY17" s="57">
        <f t="shared" si="0"/>
        <v>3.5330722204714581E-2</v>
      </c>
      <c r="AZ17" s="57">
        <f t="shared" si="0"/>
        <v>4.9881210219427565</v>
      </c>
      <c r="BA17" s="57">
        <f t="shared" si="0"/>
        <v>8.2242669790370044</v>
      </c>
      <c r="BB17" s="57">
        <f t="shared" si="0"/>
        <v>2.1636922417896567E-2</v>
      </c>
      <c r="BC17" s="57">
        <f t="shared" si="0"/>
        <v>3.5706229147606079E-2</v>
      </c>
      <c r="BD17" s="57"/>
      <c r="BE17" s="57">
        <f t="shared" si="0"/>
        <v>97.25</v>
      </c>
      <c r="BF17" s="57">
        <f t="shared" si="0"/>
        <v>17.699249999999999</v>
      </c>
      <c r="BG17" s="57">
        <f t="shared" si="0"/>
        <v>4.2447854423868314</v>
      </c>
      <c r="BH17" s="57"/>
      <c r="BI17" s="57">
        <f t="shared" si="0"/>
        <v>0</v>
      </c>
      <c r="BJ17" s="57">
        <f t="shared" si="0"/>
        <v>0</v>
      </c>
      <c r="BK17" s="57">
        <f t="shared" si="0"/>
        <v>0</v>
      </c>
      <c r="BL17" s="57">
        <f t="shared" si="0"/>
        <v>0</v>
      </c>
      <c r="BM17" s="57">
        <f t="shared" si="0"/>
        <v>0</v>
      </c>
      <c r="BN17" s="57">
        <f t="shared" ref="BN17" si="1">AVERAGE(BN4:BN16)</f>
        <v>0</v>
      </c>
      <c r="BO17" s="57"/>
      <c r="BP17" s="57"/>
      <c r="BQ17" s="57"/>
      <c r="BR17" s="57"/>
    </row>
    <row r="18" spans="1:70">
      <c r="A18" t="s">
        <v>143</v>
      </c>
      <c r="B18" s="57">
        <f t="shared" ref="B18:BM18" si="2">STDEV(B4:B16)</f>
        <v>0.46805491585610948</v>
      </c>
      <c r="C18" s="57">
        <f t="shared" si="2"/>
        <v>0.91608628226608868</v>
      </c>
      <c r="D18" s="57">
        <f t="shared" si="2"/>
        <v>3.5725932621408531E-2</v>
      </c>
      <c r="E18" s="57">
        <f t="shared" si="2"/>
        <v>7.1652918166093177E-2</v>
      </c>
      <c r="F18" s="57">
        <f t="shared" si="2"/>
        <v>0.62404292005234874</v>
      </c>
      <c r="G18" s="57">
        <f t="shared" si="2"/>
        <v>1.0631311766653087</v>
      </c>
      <c r="H18" s="57">
        <f t="shared" si="2"/>
        <v>1.2480102816152689E-2</v>
      </c>
      <c r="I18" s="57">
        <f t="shared" si="2"/>
        <v>2.1415736598132236E-2</v>
      </c>
      <c r="J18" s="57">
        <f t="shared" si="2"/>
        <v>22.859568927858337</v>
      </c>
      <c r="K18" s="57">
        <f t="shared" si="2"/>
        <v>22.859568927858337</v>
      </c>
      <c r="L18" s="57">
        <f t="shared" si="2"/>
        <v>7.2424189348469499</v>
      </c>
      <c r="M18" s="57">
        <f t="shared" si="2"/>
        <v>7.2424189348469517</v>
      </c>
      <c r="N18" s="57">
        <f t="shared" si="2"/>
        <v>1.7968731191026608</v>
      </c>
      <c r="O18" s="57">
        <f t="shared" si="2"/>
        <v>3.1117369105244834</v>
      </c>
      <c r="P18" s="57">
        <f t="shared" si="2"/>
        <v>7.6557293828992271E-3</v>
      </c>
      <c r="Q18" s="57">
        <f t="shared" si="2"/>
        <v>1.3286558896078425E-2</v>
      </c>
      <c r="R18" s="57">
        <f t="shared" si="2"/>
        <v>83.280877395035816</v>
      </c>
      <c r="S18" s="57">
        <f t="shared" si="2"/>
        <v>83.280877395035816</v>
      </c>
      <c r="T18" s="57">
        <f t="shared" si="2"/>
        <v>6.163789711089148</v>
      </c>
      <c r="U18" s="57">
        <f t="shared" si="2"/>
        <v>6.1637897110891444</v>
      </c>
      <c r="V18" s="57">
        <f t="shared" si="2"/>
        <v>0.46805491585610948</v>
      </c>
      <c r="W18" s="57">
        <f t="shared" si="2"/>
        <v>0.91608628226608868</v>
      </c>
      <c r="X18" s="57">
        <f t="shared" si="2"/>
        <v>0.4001291342953775</v>
      </c>
      <c r="Y18" s="57">
        <f t="shared" si="2"/>
        <v>0.86992261577539676</v>
      </c>
      <c r="Z18" s="57">
        <f t="shared" si="2"/>
        <v>2.6719698175094335E-2</v>
      </c>
      <c r="AA18" s="57">
        <f t="shared" si="2"/>
        <v>5.8147567916243911E-2</v>
      </c>
      <c r="AB18" s="57">
        <f t="shared" si="2"/>
        <v>0.52683248195680021</v>
      </c>
      <c r="AC18" s="57">
        <f t="shared" si="2"/>
        <v>1.0538389673092772</v>
      </c>
      <c r="AD18" s="57">
        <f t="shared" si="2"/>
        <v>1.058594437322246E-2</v>
      </c>
      <c r="AE18" s="57">
        <f t="shared" si="2"/>
        <v>2.0051290619457034E-2</v>
      </c>
      <c r="AF18" s="57">
        <f t="shared" si="2"/>
        <v>0.53799427812006995</v>
      </c>
      <c r="AG18" s="57">
        <f t="shared" si="2"/>
        <v>1.1113894022110393</v>
      </c>
      <c r="AH18" s="57">
        <f t="shared" si="2"/>
        <v>1.3007949289074739E-2</v>
      </c>
      <c r="AI18" s="57">
        <f t="shared" si="2"/>
        <v>2.4944918356749186E-2</v>
      </c>
      <c r="AJ18" s="57">
        <f t="shared" si="2"/>
        <v>0.90936955934828201</v>
      </c>
      <c r="AK18" s="57">
        <f t="shared" si="2"/>
        <v>1.6385002288918102</v>
      </c>
      <c r="AL18" s="57">
        <f t="shared" si="2"/>
        <v>1.92385895474722E-2</v>
      </c>
      <c r="AM18" s="57">
        <f t="shared" si="2"/>
        <v>3.4056097047024128E-2</v>
      </c>
      <c r="AN18" s="57">
        <f t="shared" si="2"/>
        <v>1.5633783183850269</v>
      </c>
      <c r="AO18" s="57">
        <f t="shared" si="2"/>
        <v>3.3299995866579133</v>
      </c>
      <c r="AP18" s="57">
        <f t="shared" si="2"/>
        <v>8.3274489633238576E-3</v>
      </c>
      <c r="AQ18" s="57">
        <f t="shared" si="2"/>
        <v>1.694264567208351E-2</v>
      </c>
      <c r="AR18" s="57">
        <f t="shared" si="2"/>
        <v>1.1101339107287136</v>
      </c>
      <c r="AS18" s="57">
        <f t="shared" si="2"/>
        <v>2.5311659651060991</v>
      </c>
      <c r="AT18" s="57">
        <f t="shared" si="2"/>
        <v>6.6940782295298474E-3</v>
      </c>
      <c r="AU18" s="57">
        <f t="shared" si="2"/>
        <v>1.3967069886160855E-2</v>
      </c>
      <c r="AV18" s="57">
        <f t="shared" si="2"/>
        <v>1.7131275735478659</v>
      </c>
      <c r="AW18" s="57">
        <f t="shared" si="2"/>
        <v>3.3586514689518863</v>
      </c>
      <c r="AX18" s="57">
        <f t="shared" si="2"/>
        <v>7.6947295590455442E-3</v>
      </c>
      <c r="AY18" s="57">
        <f t="shared" si="2"/>
        <v>1.5046816799207448E-2</v>
      </c>
      <c r="AZ18" s="57">
        <f t="shared" si="2"/>
        <v>1.485172773114023</v>
      </c>
      <c r="BA18" s="57">
        <f t="shared" si="2"/>
        <v>2.6138239115612163</v>
      </c>
      <c r="BB18" s="57">
        <f t="shared" si="2"/>
        <v>7.6558653993615703E-3</v>
      </c>
      <c r="BC18" s="57">
        <f t="shared" si="2"/>
        <v>1.3241179899185915E-2</v>
      </c>
      <c r="BD18" s="57"/>
      <c r="BE18" s="57">
        <f t="shared" si="2"/>
        <v>3.6593202920761119</v>
      </c>
      <c r="BF18" s="57">
        <f t="shared" si="2"/>
        <v>3.4164049887088881</v>
      </c>
      <c r="BG18" s="57">
        <f t="shared" si="2"/>
        <v>0.81300816857916736</v>
      </c>
      <c r="BH18" s="57"/>
      <c r="BI18" s="57">
        <f t="shared" si="2"/>
        <v>0</v>
      </c>
      <c r="BJ18" s="57">
        <f t="shared" si="2"/>
        <v>0</v>
      </c>
      <c r="BK18" s="57">
        <f t="shared" si="2"/>
        <v>0</v>
      </c>
      <c r="BL18" s="57">
        <f t="shared" si="2"/>
        <v>0</v>
      </c>
      <c r="BM18" s="57">
        <f t="shared" si="2"/>
        <v>0</v>
      </c>
      <c r="BN18" s="57">
        <f t="shared" ref="BN18" si="3">STDEV(BN4:BN16)</f>
        <v>0</v>
      </c>
      <c r="BO18" s="57"/>
      <c r="BP18" s="57"/>
      <c r="BQ18" s="57"/>
      <c r="BR18" s="57"/>
    </row>
    <row r="19" spans="1:70" ht="13.5" thickBot="1">
      <c r="A19" t="s">
        <v>144</v>
      </c>
      <c r="B19" s="193">
        <f t="shared" ref="B19:BM19" si="4">B18/(SQRT(COUNT(B4:B16)))</f>
        <v>0.15601830528536983</v>
      </c>
      <c r="C19" s="193">
        <f t="shared" si="4"/>
        <v>0.30536209408869625</v>
      </c>
      <c r="D19" s="193">
        <f t="shared" si="4"/>
        <v>1.1908644207136177E-2</v>
      </c>
      <c r="E19" s="193">
        <f t="shared" si="4"/>
        <v>2.3884306055364391E-2</v>
      </c>
      <c r="F19" s="193">
        <f t="shared" si="4"/>
        <v>0.20801430668411625</v>
      </c>
      <c r="G19" s="193">
        <f t="shared" si="4"/>
        <v>0.35437705888843624</v>
      </c>
      <c r="H19" s="193">
        <f t="shared" si="4"/>
        <v>4.1600342720508965E-3</v>
      </c>
      <c r="I19" s="193">
        <f t="shared" si="4"/>
        <v>7.1385788660440789E-3</v>
      </c>
      <c r="J19" s="193">
        <f t="shared" si="4"/>
        <v>7.6198563092861127</v>
      </c>
      <c r="K19" s="193">
        <f t="shared" si="4"/>
        <v>7.6198563092861127</v>
      </c>
      <c r="L19" s="193">
        <f t="shared" si="4"/>
        <v>2.4141396449489831</v>
      </c>
      <c r="M19" s="193">
        <f t="shared" si="4"/>
        <v>2.414139644948984</v>
      </c>
      <c r="N19" s="193">
        <f t="shared" si="4"/>
        <v>0.59895770636755363</v>
      </c>
      <c r="O19" s="193">
        <f t="shared" si="4"/>
        <v>1.0372456368414944</v>
      </c>
      <c r="P19" s="193">
        <f t="shared" si="4"/>
        <v>2.5519097942997425E-3</v>
      </c>
      <c r="Q19" s="193">
        <f t="shared" si="4"/>
        <v>4.4288529653594751E-3</v>
      </c>
      <c r="R19" s="193">
        <f t="shared" si="4"/>
        <v>27.76029246501194</v>
      </c>
      <c r="S19" s="193">
        <f t="shared" si="4"/>
        <v>27.76029246501194</v>
      </c>
      <c r="T19" s="193">
        <f t="shared" si="4"/>
        <v>2.0545965703630493</v>
      </c>
      <c r="U19" s="193">
        <f t="shared" si="4"/>
        <v>2.054596570363048</v>
      </c>
      <c r="V19" s="193">
        <f t="shared" si="4"/>
        <v>0.15601830528536983</v>
      </c>
      <c r="W19" s="193">
        <f t="shared" si="4"/>
        <v>0.30536209408869625</v>
      </c>
      <c r="X19" s="193">
        <f t="shared" si="4"/>
        <v>0.13337637809845918</v>
      </c>
      <c r="Y19" s="193">
        <f t="shared" si="4"/>
        <v>0.28997420525846557</v>
      </c>
      <c r="Z19" s="193">
        <f t="shared" si="4"/>
        <v>8.9065660583647777E-3</v>
      </c>
      <c r="AA19" s="193">
        <f t="shared" si="4"/>
        <v>1.938252263874797E-2</v>
      </c>
      <c r="AB19" s="193">
        <f t="shared" si="4"/>
        <v>0.1756108273189334</v>
      </c>
      <c r="AC19" s="193">
        <f t="shared" si="4"/>
        <v>0.35127965576975906</v>
      </c>
      <c r="AD19" s="193">
        <f t="shared" si="4"/>
        <v>3.5286481244074866E-3</v>
      </c>
      <c r="AE19" s="193">
        <f t="shared" si="4"/>
        <v>6.6837635398190112E-3</v>
      </c>
      <c r="AF19" s="193">
        <f t="shared" si="4"/>
        <v>0.17933142604002331</v>
      </c>
      <c r="AG19" s="193">
        <f t="shared" si="4"/>
        <v>0.37046313407034642</v>
      </c>
      <c r="AH19" s="193">
        <f t="shared" si="4"/>
        <v>4.3359830963582468E-3</v>
      </c>
      <c r="AI19" s="193">
        <f t="shared" si="4"/>
        <v>8.3149727855830625E-3</v>
      </c>
      <c r="AJ19" s="193">
        <f t="shared" si="4"/>
        <v>0.30312318644942732</v>
      </c>
      <c r="AK19" s="193">
        <f t="shared" si="4"/>
        <v>0.54616674296393675</v>
      </c>
      <c r="AL19" s="193">
        <f t="shared" si="4"/>
        <v>6.412863182490733E-3</v>
      </c>
      <c r="AM19" s="193">
        <f t="shared" si="4"/>
        <v>1.1352032349008043E-2</v>
      </c>
      <c r="AN19" s="193">
        <f t="shared" si="4"/>
        <v>0.52112610612834231</v>
      </c>
      <c r="AO19" s="193">
        <f t="shared" si="4"/>
        <v>1.1099998622193044</v>
      </c>
      <c r="AP19" s="193">
        <f t="shared" si="4"/>
        <v>2.7758163211079527E-3</v>
      </c>
      <c r="AQ19" s="193">
        <f t="shared" si="4"/>
        <v>5.6475485573611699E-3</v>
      </c>
      <c r="AR19" s="193">
        <f t="shared" si="4"/>
        <v>0.37004463690957118</v>
      </c>
      <c r="AS19" s="193">
        <f t="shared" si="4"/>
        <v>0.84372198836869972</v>
      </c>
      <c r="AT19" s="193">
        <f t="shared" si="4"/>
        <v>2.2313594098432826E-3</v>
      </c>
      <c r="AU19" s="193">
        <f t="shared" si="4"/>
        <v>4.6556899620536184E-3</v>
      </c>
      <c r="AV19" s="193">
        <f t="shared" si="4"/>
        <v>0.57104252451595527</v>
      </c>
      <c r="AW19" s="193">
        <f t="shared" si="4"/>
        <v>1.1195504896506288</v>
      </c>
      <c r="AX19" s="193">
        <f t="shared" si="4"/>
        <v>2.5649098530151813E-3</v>
      </c>
      <c r="AY19" s="193">
        <f t="shared" si="4"/>
        <v>5.0156055997358159E-3</v>
      </c>
      <c r="AZ19" s="193">
        <f t="shared" si="4"/>
        <v>0.49505759103800767</v>
      </c>
      <c r="BA19" s="193">
        <f t="shared" si="4"/>
        <v>0.8712746371870721</v>
      </c>
      <c r="BB19" s="193">
        <f t="shared" si="4"/>
        <v>2.5519551331205236E-3</v>
      </c>
      <c r="BC19" s="193">
        <f t="shared" si="4"/>
        <v>4.4137266330619715E-3</v>
      </c>
      <c r="BD19" s="193"/>
      <c r="BE19" s="193">
        <f t="shared" si="4"/>
        <v>1.2197734306920374</v>
      </c>
      <c r="BF19" s="193">
        <f t="shared" si="4"/>
        <v>1.1388016629029627</v>
      </c>
      <c r="BG19" s="193">
        <f t="shared" si="4"/>
        <v>0.27100272285972243</v>
      </c>
      <c r="BH19" s="193"/>
      <c r="BI19" s="193">
        <f t="shared" si="4"/>
        <v>0</v>
      </c>
      <c r="BJ19" s="193">
        <f t="shared" si="4"/>
        <v>0</v>
      </c>
      <c r="BK19" s="193">
        <f t="shared" si="4"/>
        <v>0</v>
      </c>
      <c r="BL19" s="193">
        <f t="shared" si="4"/>
        <v>0</v>
      </c>
      <c r="BM19" s="193">
        <f t="shared" si="4"/>
        <v>0</v>
      </c>
      <c r="BN19" s="193">
        <f t="shared" ref="BN19" si="5">BN18/(SQRT(COUNT(BN4:BN16)))</f>
        <v>0</v>
      </c>
      <c r="BO19" s="193"/>
      <c r="BP19" s="193"/>
      <c r="BQ19" s="193"/>
      <c r="BR19" s="193"/>
    </row>
    <row r="20" spans="1:70" s="202" customFormat="1">
      <c r="A20" s="201" t="s">
        <v>146</v>
      </c>
      <c r="B20" s="202" t="s">
        <v>40</v>
      </c>
      <c r="C20" s="202" t="s">
        <v>41</v>
      </c>
      <c r="D20" s="202" t="s">
        <v>42</v>
      </c>
      <c r="E20" s="202" t="s">
        <v>43</v>
      </c>
      <c r="F20" s="202" t="s">
        <v>44</v>
      </c>
      <c r="G20" s="202" t="s">
        <v>45</v>
      </c>
      <c r="H20" s="202" t="s">
        <v>46</v>
      </c>
      <c r="I20" s="202" t="s">
        <v>47</v>
      </c>
      <c r="J20" s="202" t="s">
        <v>48</v>
      </c>
      <c r="K20" s="202" t="s">
        <v>49</v>
      </c>
      <c r="L20" s="202" t="s">
        <v>50</v>
      </c>
      <c r="M20" s="202" t="s">
        <v>51</v>
      </c>
      <c r="N20" s="202" t="s">
        <v>52</v>
      </c>
      <c r="O20" s="202" t="s">
        <v>53</v>
      </c>
      <c r="P20" s="202" t="s">
        <v>54</v>
      </c>
      <c r="Q20" s="202" t="s">
        <v>55</v>
      </c>
      <c r="R20" s="202" t="s">
        <v>56</v>
      </c>
      <c r="S20" s="202" t="s">
        <v>57</v>
      </c>
      <c r="T20" s="202" t="s">
        <v>58</v>
      </c>
      <c r="U20" s="202" t="s">
        <v>59</v>
      </c>
      <c r="V20" s="202" t="s">
        <v>60</v>
      </c>
      <c r="W20" s="202" t="s">
        <v>61</v>
      </c>
      <c r="X20" s="202" t="s">
        <v>62</v>
      </c>
      <c r="Y20" s="202" t="s">
        <v>63</v>
      </c>
      <c r="Z20" s="202" t="s">
        <v>64</v>
      </c>
      <c r="AA20" s="202" t="s">
        <v>65</v>
      </c>
      <c r="AB20" s="202" t="s">
        <v>66</v>
      </c>
      <c r="AC20" s="202" t="s">
        <v>67</v>
      </c>
      <c r="AD20" s="202" t="s">
        <v>68</v>
      </c>
      <c r="AE20" s="202" t="s">
        <v>69</v>
      </c>
      <c r="AF20" s="202" t="s">
        <v>70</v>
      </c>
      <c r="AG20" s="202" t="s">
        <v>71</v>
      </c>
      <c r="AH20" s="202" t="s">
        <v>72</v>
      </c>
      <c r="AI20" s="202" t="s">
        <v>73</v>
      </c>
      <c r="AJ20" s="202" t="s">
        <v>74</v>
      </c>
      <c r="AK20" s="202" t="s">
        <v>75</v>
      </c>
      <c r="AL20" s="202" t="s">
        <v>76</v>
      </c>
      <c r="AM20" s="202" t="s">
        <v>77</v>
      </c>
      <c r="AN20" s="202" t="s">
        <v>78</v>
      </c>
      <c r="AO20" s="202" t="s">
        <v>79</v>
      </c>
      <c r="AP20" s="202" t="s">
        <v>80</v>
      </c>
      <c r="AQ20" s="202" t="s">
        <v>81</v>
      </c>
      <c r="AR20" s="202" t="s">
        <v>82</v>
      </c>
      <c r="AS20" s="202" t="s">
        <v>83</v>
      </c>
      <c r="AT20" s="202" t="s">
        <v>84</v>
      </c>
      <c r="AU20" s="202" t="s">
        <v>85</v>
      </c>
      <c r="AV20" s="202" t="s">
        <v>86</v>
      </c>
      <c r="AW20" s="202" t="s">
        <v>87</v>
      </c>
      <c r="AX20" s="202" t="s">
        <v>88</v>
      </c>
      <c r="AY20" s="202" t="s">
        <v>89</v>
      </c>
      <c r="AZ20" s="202" t="s">
        <v>90</v>
      </c>
      <c r="BA20" s="202" t="s">
        <v>91</v>
      </c>
      <c r="BB20" s="202" t="s">
        <v>92</v>
      </c>
      <c r="BC20" s="202" t="s">
        <v>93</v>
      </c>
      <c r="BE20" s="202" t="s">
        <v>94</v>
      </c>
      <c r="BF20" s="202" t="s">
        <v>95</v>
      </c>
      <c r="BG20" s="202" t="s">
        <v>96</v>
      </c>
      <c r="BI20" s="202" t="s">
        <v>97</v>
      </c>
      <c r="BJ20" s="202" t="s">
        <v>98</v>
      </c>
      <c r="BK20" s="202" t="s">
        <v>99</v>
      </c>
      <c r="BL20" s="202" t="s">
        <v>100</v>
      </c>
      <c r="BM20" s="202" t="s">
        <v>101</v>
      </c>
      <c r="BN20" s="202" t="s">
        <v>102</v>
      </c>
      <c r="BO20" s="202" t="s">
        <v>103</v>
      </c>
      <c r="BP20" s="202" t="s">
        <v>104</v>
      </c>
      <c r="BQ20" s="202" t="s">
        <v>105</v>
      </c>
    </row>
    <row r="21" spans="1:70">
      <c r="A21" s="194" t="s">
        <v>148</v>
      </c>
      <c r="B21">
        <v>1.8268965580565266</v>
      </c>
      <c r="C21">
        <v>3.3612986263853948</v>
      </c>
      <c r="D21">
        <v>0.14014322405633098</v>
      </c>
      <c r="E21">
        <v>0.25784887734360196</v>
      </c>
      <c r="F21">
        <v>-0.1902117743204243</v>
      </c>
      <c r="G21">
        <v>-0.34996977411010499</v>
      </c>
      <c r="H21">
        <v>-3.8593156392113096E-3</v>
      </c>
      <c r="I21">
        <v>-7.1007372035714715E-3</v>
      </c>
      <c r="J21">
        <v>110.41174299013259</v>
      </c>
      <c r="K21">
        <v>110.41174299013261</v>
      </c>
      <c r="L21">
        <v>102.75383677319998</v>
      </c>
      <c r="M21">
        <v>102.75383677320001</v>
      </c>
      <c r="N21">
        <v>-0.20807004324762901</v>
      </c>
      <c r="O21">
        <v>-0.38282712147874393</v>
      </c>
      <c r="P21">
        <v>-9.2934049420531953E-4</v>
      </c>
      <c r="Q21">
        <v>-1.7098893272533115E-3</v>
      </c>
      <c r="R21">
        <v>111.3892624259458</v>
      </c>
      <c r="S21">
        <v>111.3892624259458</v>
      </c>
      <c r="T21">
        <v>100.66313623114004</v>
      </c>
      <c r="U21">
        <v>100.66313623114004</v>
      </c>
      <c r="V21">
        <v>1.8268965580565266</v>
      </c>
      <c r="W21">
        <v>3.3612986263853948</v>
      </c>
      <c r="X21">
        <v>2.0948690348044492</v>
      </c>
      <c r="Y21">
        <v>3.8543399614460383</v>
      </c>
      <c r="Z21">
        <v>0.16069968451064648</v>
      </c>
      <c r="AA21">
        <v>0.29567061496948149</v>
      </c>
      <c r="AB21">
        <v>1.8348690348044492</v>
      </c>
      <c r="AC21">
        <v>3.3759671499115376</v>
      </c>
      <c r="AD21">
        <v>3.7228708828489179E-2</v>
      </c>
      <c r="AE21">
        <v>6.8496931200321742E-2</v>
      </c>
      <c r="AF21">
        <v>2.0531502637133041</v>
      </c>
      <c r="AG21">
        <v>3.7775817852128255</v>
      </c>
      <c r="AH21">
        <v>4.1657541709544707E-2</v>
      </c>
      <c r="AI21">
        <v>7.664552057388703E-2</v>
      </c>
      <c r="AJ21">
        <v>2.6089194147844093</v>
      </c>
      <c r="AK21">
        <v>4.8001389058360067</v>
      </c>
      <c r="AL21">
        <v>5.2933860350612122E-2</v>
      </c>
      <c r="AM21">
        <v>9.7392767697295934E-2</v>
      </c>
      <c r="AN21">
        <v>6.4953713670613551</v>
      </c>
      <c r="AO21">
        <v>11.950804087776282</v>
      </c>
      <c r="AP21">
        <v>2.9011440292381771E-2</v>
      </c>
      <c r="AQ21">
        <v>5.3378016382046013E-2</v>
      </c>
      <c r="AR21">
        <v>6.7553713670613549</v>
      </c>
      <c r="AS21">
        <v>12.429176899310782</v>
      </c>
      <c r="AT21">
        <v>3.0172724851763609E-2</v>
      </c>
      <c r="AU21">
        <v>5.5514658534596369E-2</v>
      </c>
      <c r="AV21">
        <v>6.4102471436917314</v>
      </c>
      <c r="AW21">
        <v>11.794184418303136</v>
      </c>
      <c r="AX21">
        <v>2.8631234729964407E-2</v>
      </c>
      <c r="AY21">
        <v>5.2678477905681961E-2</v>
      </c>
      <c r="AZ21">
        <v>7.9282047133743596</v>
      </c>
      <c r="BA21">
        <v>14.587067612146045</v>
      </c>
      <c r="BB21">
        <v>3.541116045099986E-2</v>
      </c>
      <c r="BC21">
        <v>6.5152832248631221E-2</v>
      </c>
      <c r="BE21">
        <v>98</v>
      </c>
      <c r="BF21">
        <v>13.035925000000001</v>
      </c>
      <c r="BG21">
        <v>3.1543719753086421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0.38124999999999998</v>
      </c>
      <c r="BP21">
        <v>6.7799999999999999E-2</v>
      </c>
      <c r="BQ21">
        <v>4.7799999999999995E-2</v>
      </c>
    </row>
    <row r="22" spans="1:70">
      <c r="A22" s="194" t="s">
        <v>149</v>
      </c>
      <c r="B22">
        <v>1.9433974690673708</v>
      </c>
      <c r="C22">
        <v>3.4660785951071573</v>
      </c>
      <c r="D22">
        <v>0.11014650905093139</v>
      </c>
      <c r="E22">
        <v>0.196447954380852</v>
      </c>
      <c r="F22">
        <v>0.20709865457662538</v>
      </c>
      <c r="G22">
        <v>0.36936356310477825</v>
      </c>
      <c r="H22">
        <v>3.2456330918284328E-3</v>
      </c>
      <c r="I22">
        <v>5.7886354007431343E-3</v>
      </c>
      <c r="J22">
        <v>89.343474102803526</v>
      </c>
      <c r="K22">
        <v>89.343474102803526</v>
      </c>
      <c r="L22">
        <v>97.053349107661987</v>
      </c>
      <c r="M22">
        <v>97.053349107661987</v>
      </c>
      <c r="N22">
        <v>-0.46919636519267505</v>
      </c>
      <c r="O22">
        <v>-0.83681876928493348</v>
      </c>
      <c r="P22">
        <v>-1.5859801419438719E-3</v>
      </c>
      <c r="Q22">
        <v>-2.8286194202438264E-3</v>
      </c>
      <c r="R22">
        <v>124.14309849944595</v>
      </c>
      <c r="S22">
        <v>124.14309849944594</v>
      </c>
      <c r="T22">
        <v>101.43988234907246</v>
      </c>
      <c r="U22">
        <v>101.43988234907246</v>
      </c>
      <c r="V22">
        <v>1.9433974690673708</v>
      </c>
      <c r="W22">
        <v>3.4660785951071573</v>
      </c>
      <c r="X22">
        <v>1.8057971014492751</v>
      </c>
      <c r="Y22">
        <v>3.2206662713436423</v>
      </c>
      <c r="Z22">
        <v>0.10234769260782288</v>
      </c>
      <c r="AA22">
        <v>0.18253864803931374</v>
      </c>
      <c r="AB22">
        <v>1.7624637681159419</v>
      </c>
      <c r="AC22">
        <v>3.1433806200489594</v>
      </c>
      <c r="AD22">
        <v>2.7621187306309854E-2</v>
      </c>
      <c r="AE22">
        <v>4.9262802703859666E-2</v>
      </c>
      <c r="AF22">
        <v>1.9616809222663099</v>
      </c>
      <c r="AG22">
        <v>3.4986874086855235</v>
      </c>
      <c r="AH22">
        <v>3.0743302171286378E-2</v>
      </c>
      <c r="AI22">
        <v>5.4831141490548629E-2</v>
      </c>
      <c r="AJ22">
        <v>1.5820688287955096</v>
      </c>
      <c r="AK22">
        <v>2.8216435344571655</v>
      </c>
      <c r="AL22">
        <v>2.4794052645035911E-2</v>
      </c>
      <c r="AM22">
        <v>4.422056554399053E-2</v>
      </c>
      <c r="AN22">
        <v>4.5979539641943727</v>
      </c>
      <c r="AO22">
        <v>8.2005200018245681</v>
      </c>
      <c r="AP22">
        <v>1.5542029354361726E-2</v>
      </c>
      <c r="AQ22">
        <v>2.7719442948298298E-2</v>
      </c>
      <c r="AR22">
        <v>4.4679539641943729</v>
      </c>
      <c r="AS22">
        <v>7.9686630479405194</v>
      </c>
      <c r="AT22">
        <v>1.5102602637217324E-2</v>
      </c>
      <c r="AU22">
        <v>2.6935718793741618E-2</v>
      </c>
      <c r="AV22">
        <v>4.2824021002804713</v>
      </c>
      <c r="AW22">
        <v>7.637728509828329</v>
      </c>
      <c r="AX22">
        <v>1.447539920321955E-2</v>
      </c>
      <c r="AY22">
        <v>2.5817092042415932E-2</v>
      </c>
      <c r="AZ22">
        <v>5.3100827810499664</v>
      </c>
      <c r="BA22">
        <v>9.470612449895258</v>
      </c>
      <c r="BB22">
        <v>1.794917110955235E-2</v>
      </c>
      <c r="BC22">
        <v>3.2012616447725996E-2</v>
      </c>
      <c r="BE22">
        <v>102.5</v>
      </c>
      <c r="BF22">
        <v>17.643750000000001</v>
      </c>
      <c r="BG22">
        <v>4.4653935185185185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1.0154999999999998</v>
      </c>
      <c r="BP22">
        <v>0.24699999999999997</v>
      </c>
      <c r="BQ22">
        <v>7.0800000000000002E-2</v>
      </c>
    </row>
    <row r="23" spans="1:70">
      <c r="A23" s="194" t="s">
        <v>152</v>
      </c>
      <c r="B23">
        <v>2.0085469705671728</v>
      </c>
      <c r="C23">
        <v>3.312551306715168</v>
      </c>
      <c r="D23">
        <v>0.15179179433332748</v>
      </c>
      <c r="E23">
        <v>0.25033923230857696</v>
      </c>
      <c r="F23">
        <v>0.12694993074442218</v>
      </c>
      <c r="G23">
        <v>0.20936934268262952</v>
      </c>
      <c r="H23">
        <v>2.4939479393126995E-3</v>
      </c>
      <c r="I23">
        <v>4.1130880314524344E-3</v>
      </c>
      <c r="J23">
        <v>93.679513966826761</v>
      </c>
      <c r="K23">
        <v>93.679513966826761</v>
      </c>
      <c r="L23">
        <v>98.356994229980501</v>
      </c>
      <c r="M23">
        <v>98.356994229980501</v>
      </c>
      <c r="N23">
        <v>-0.53196391081962036</v>
      </c>
      <c r="O23">
        <v>-0.87732961874087867</v>
      </c>
      <c r="P23">
        <v>-2.1845131770381427E-3</v>
      </c>
      <c r="Q23">
        <v>-3.6027596492258359E-3</v>
      </c>
      <c r="R23">
        <v>126.48501223097632</v>
      </c>
      <c r="S23">
        <v>126.48501223097632</v>
      </c>
      <c r="T23">
        <v>101.43915103358027</v>
      </c>
      <c r="U23">
        <v>101.4391510335803</v>
      </c>
      <c r="V23">
        <v>2.0085469705671728</v>
      </c>
      <c r="W23">
        <v>3.312551306715168</v>
      </c>
      <c r="X23">
        <v>2.3123867069486406</v>
      </c>
      <c r="Y23">
        <v>3.8136522172396616</v>
      </c>
      <c r="Z23">
        <v>0.17475385568959478</v>
      </c>
      <c r="AA23">
        <v>0.28820890001622262</v>
      </c>
      <c r="AB23">
        <v>2.4423867069486405</v>
      </c>
      <c r="AC23">
        <v>4.0280518186347782</v>
      </c>
      <c r="AD23">
        <v>4.7981005259956952E-2</v>
      </c>
      <c r="AE23">
        <v>7.9131603094398373E-2</v>
      </c>
      <c r="AF23">
        <v>2.5132792358803737</v>
      </c>
      <c r="AG23">
        <v>4.1449697412875128</v>
      </c>
      <c r="AH23">
        <v>4.9373698232731425E-2</v>
      </c>
      <c r="AI23">
        <v>8.1428470926926275E-2</v>
      </c>
      <c r="AJ23">
        <v>3.5790916619867721</v>
      </c>
      <c r="AK23">
        <v>5.9027371206657779</v>
      </c>
      <c r="AL23">
        <v>7.0311722288319251E-2</v>
      </c>
      <c r="AM23">
        <v>0.11596004024630631</v>
      </c>
      <c r="AN23">
        <v>6.4979859013091641</v>
      </c>
      <c r="AO23">
        <v>10.716658362398274</v>
      </c>
      <c r="AP23">
        <v>2.6684020357221557E-2</v>
      </c>
      <c r="AQ23">
        <v>4.4008025601596092E-2</v>
      </c>
      <c r="AR23">
        <v>6.5413192346424971</v>
      </c>
      <c r="AS23">
        <v>10.788124896196646</v>
      </c>
      <c r="AT23">
        <v>2.6861968965663435E-2</v>
      </c>
      <c r="AU23">
        <v>4.4301503376355744E-2</v>
      </c>
      <c r="AV23">
        <v>5.8427843268440247</v>
      </c>
      <c r="AW23">
        <v>9.6360817747153575</v>
      </c>
      <c r="AX23">
        <v>2.399343093202921E-2</v>
      </c>
      <c r="AY23">
        <v>3.9570630984064117E-2</v>
      </c>
      <c r="AZ23">
        <v>5.8470169895691999</v>
      </c>
      <c r="BA23">
        <v>9.643062399339339</v>
      </c>
      <c r="BB23">
        <v>2.4010812388381871E-2</v>
      </c>
      <c r="BC23">
        <v>3.9599296963400102E-2</v>
      </c>
      <c r="BE23">
        <v>94.25</v>
      </c>
      <c r="BF23">
        <v>13.232250000000001</v>
      </c>
      <c r="BG23">
        <v>3.0793569444444442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0.38125000000000003</v>
      </c>
      <c r="BP23">
        <v>6.5000000000000002E-2</v>
      </c>
      <c r="BQ23">
        <v>2.98E-2</v>
      </c>
    </row>
    <row r="24" spans="1:70">
      <c r="A24" s="194" t="s">
        <v>154</v>
      </c>
      <c r="B24">
        <v>1.982378629625537</v>
      </c>
      <c r="C24">
        <v>2.699668400179164</v>
      </c>
      <c r="D24">
        <v>9.5642332688065657E-2</v>
      </c>
      <c r="E24">
        <v>0.13024887345873323</v>
      </c>
      <c r="F24">
        <v>0.79305152888698172</v>
      </c>
      <c r="G24">
        <v>1.0800036482709559</v>
      </c>
      <c r="H24">
        <v>1.6080823270196682E-2</v>
      </c>
      <c r="I24">
        <v>2.189939388098441E-2</v>
      </c>
      <c r="J24">
        <v>59.994951668905664</v>
      </c>
      <c r="K24">
        <v>59.994951668905664</v>
      </c>
      <c r="L24">
        <v>83.186500351634294</v>
      </c>
      <c r="M24">
        <v>83.18650035163428</v>
      </c>
      <c r="N24">
        <v>-0.66435451026523018</v>
      </c>
      <c r="O24">
        <v>-0.90473981664054637</v>
      </c>
      <c r="P24">
        <v>-2.4285513608174811E-3</v>
      </c>
      <c r="Q24">
        <v>-3.3072810960686734E-3</v>
      </c>
      <c r="R24">
        <v>133.512997988216</v>
      </c>
      <c r="S24">
        <v>133.512997988216</v>
      </c>
      <c r="T24">
        <v>102.53920130611843</v>
      </c>
      <c r="U24">
        <v>102.53920130611843</v>
      </c>
      <c r="V24">
        <v>1.982378629625537</v>
      </c>
      <c r="W24">
        <v>2.699668400179164</v>
      </c>
      <c r="X24">
        <v>1.0073019350127785</v>
      </c>
      <c r="Y24">
        <v>1.3717768960750973</v>
      </c>
      <c r="Z24">
        <v>4.8598539827894943E-2</v>
      </c>
      <c r="AA24">
        <v>6.6183089500414793E-2</v>
      </c>
      <c r="AB24">
        <v>1.0073019350127785</v>
      </c>
      <c r="AC24">
        <v>1.3717768960750973</v>
      </c>
      <c r="AD24">
        <v>2.042521047705597E-2</v>
      </c>
      <c r="AE24">
        <v>2.7815723226562603E-2</v>
      </c>
      <c r="AF24">
        <v>1.8003534638997603</v>
      </c>
      <c r="AG24">
        <v>2.4517805443460534</v>
      </c>
      <c r="AH24">
        <v>3.6506033747252656E-2</v>
      </c>
      <c r="AI24">
        <v>4.9715117107547023E-2</v>
      </c>
      <c r="AJ24">
        <v>1.6023123349443806</v>
      </c>
      <c r="AK24">
        <v>2.1820816231678939</v>
      </c>
      <c r="AL24">
        <v>3.24903244535183E-2</v>
      </c>
      <c r="AM24">
        <v>4.4246392151281594E-2</v>
      </c>
      <c r="AN24">
        <v>5.4004381161007675</v>
      </c>
      <c r="AO24">
        <v>7.354494197667135</v>
      </c>
      <c r="AP24">
        <v>1.974132956609434E-2</v>
      </c>
      <c r="AQ24">
        <v>2.6884391715408448E-2</v>
      </c>
      <c r="AR24">
        <v>6.0937714494341009</v>
      </c>
      <c r="AS24">
        <v>8.2986983284110458</v>
      </c>
      <c r="AT24">
        <v>2.227581316506105E-2</v>
      </c>
      <c r="AU24">
        <v>3.0335934816534016E-2</v>
      </c>
      <c r="AV24">
        <v>4.7133380782707333</v>
      </c>
      <c r="AW24">
        <v>6.4187787736958608</v>
      </c>
      <c r="AX24">
        <v>1.7229631811195838E-2</v>
      </c>
      <c r="AY24">
        <v>2.3463879125953577E-2</v>
      </c>
      <c r="AZ24">
        <v>9.7199136702474433</v>
      </c>
      <c r="BA24">
        <v>13.236898035464209</v>
      </c>
      <c r="BB24">
        <v>3.5531194875886254E-2</v>
      </c>
      <c r="BC24">
        <v>4.8387549478959679E-2</v>
      </c>
      <c r="BE24">
        <v>102.75</v>
      </c>
      <c r="BF24">
        <v>20.727</v>
      </c>
      <c r="BG24">
        <v>5.2585166666666669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0.57824999999999993</v>
      </c>
      <c r="BP24">
        <v>0.1812</v>
      </c>
      <c r="BQ24">
        <v>7.5999999999999998E-2</v>
      </c>
    </row>
    <row r="25" spans="1:70">
      <c r="A25" s="194" t="s">
        <v>155</v>
      </c>
      <c r="B25">
        <v>1.57665581467058</v>
      </c>
      <c r="C25">
        <v>2.3956315390720855</v>
      </c>
      <c r="D25">
        <v>8.1140215615082931E-2</v>
      </c>
      <c r="E25">
        <v>0.12328756714426944</v>
      </c>
      <c r="F25">
        <v>0.53818876288119522</v>
      </c>
      <c r="G25">
        <v>0.81774472420397026</v>
      </c>
      <c r="H25">
        <v>5.7032062700675583E-3</v>
      </c>
      <c r="I25">
        <v>8.6656711549071719E-3</v>
      </c>
      <c r="J25">
        <v>65.865171214071083</v>
      </c>
      <c r="K25">
        <v>65.865171214071069</v>
      </c>
      <c r="L25">
        <v>92.971171906761114</v>
      </c>
      <c r="M25">
        <v>92.971171906761114</v>
      </c>
      <c r="N25">
        <v>-0.89366826522768461</v>
      </c>
      <c r="O25">
        <v>-1.3578739644546898</v>
      </c>
      <c r="P25">
        <v>-2.797941982917091E-3</v>
      </c>
      <c r="Q25">
        <v>-4.2513007572109436E-3</v>
      </c>
      <c r="R25">
        <v>156.68125261786471</v>
      </c>
      <c r="S25">
        <v>156.68125261786474</v>
      </c>
      <c r="T25">
        <v>103.44828019214307</v>
      </c>
      <c r="U25">
        <v>103.44828019214307</v>
      </c>
      <c r="V25">
        <v>1.57665581467058</v>
      </c>
      <c r="W25">
        <v>2.3956315390720855</v>
      </c>
      <c r="X25">
        <v>0.90342935528120716</v>
      </c>
      <c r="Y25">
        <v>1.3727053404407208</v>
      </c>
      <c r="Z25">
        <v>4.6493630377932825E-2</v>
      </c>
      <c r="AA25">
        <v>7.0644211794955086E-2</v>
      </c>
      <c r="AB25">
        <v>0.60009602194787381</v>
      </c>
      <c r="AC25">
        <v>0.9118089967850016</v>
      </c>
      <c r="AD25">
        <v>6.3592397892024014E-3</v>
      </c>
      <c r="AE25">
        <v>9.6624737382637986E-3</v>
      </c>
      <c r="AF25">
        <v>1.5453904089717305</v>
      </c>
      <c r="AG25">
        <v>2.3481256780736932</v>
      </c>
      <c r="AH25">
        <v>1.6376559449078381E-2</v>
      </c>
      <c r="AI25">
        <v>2.4883174851892557E-2</v>
      </c>
      <c r="AJ25">
        <v>1.8850411946170123</v>
      </c>
      <c r="AK25">
        <v>2.8642041568331527</v>
      </c>
      <c r="AL25">
        <v>1.9975851414884727E-2</v>
      </c>
      <c r="AM25">
        <v>3.0352077621528438E-2</v>
      </c>
      <c r="AN25">
        <v>3.8029492455418379</v>
      </c>
      <c r="AO25">
        <v>5.7783474803687094</v>
      </c>
      <c r="AP25">
        <v>1.1906466601780321E-2</v>
      </c>
      <c r="AQ25">
        <v>1.8091143700943356E-2</v>
      </c>
      <c r="AR25">
        <v>3.7596159122085044</v>
      </c>
      <c r="AS25">
        <v>5.7125051455607485</v>
      </c>
      <c r="AT25">
        <v>1.1770796401426743E-2</v>
      </c>
      <c r="AU25">
        <v>1.7885001175824661E-2</v>
      </c>
      <c r="AV25">
        <v>2.982532009120737</v>
      </c>
      <c r="AW25">
        <v>4.5317739489227256</v>
      </c>
      <c r="AX25">
        <v>9.3378626593469578E-3</v>
      </c>
      <c r="AY25">
        <v>1.418830799094159E-2</v>
      </c>
      <c r="AZ25">
        <v>2.1501356566654675</v>
      </c>
      <c r="BA25">
        <v>3.2669988874315465</v>
      </c>
      <c r="BB25">
        <v>6.7317538921655706E-3</v>
      </c>
      <c r="BC25">
        <v>1.0228486006448134E-2</v>
      </c>
      <c r="BE25">
        <v>89.25</v>
      </c>
      <c r="BF25">
        <v>19.431249999999999</v>
      </c>
      <c r="BG25">
        <v>4.2820717592592583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0.40475000000000005</v>
      </c>
      <c r="BP25">
        <v>0.1658</v>
      </c>
      <c r="BQ25">
        <v>6.3399999999999998E-2</v>
      </c>
    </row>
    <row r="26" spans="1:70">
      <c r="A26" s="194" t="s">
        <v>158</v>
      </c>
      <c r="B26">
        <v>1.6495060448390746</v>
      </c>
      <c r="C26">
        <v>2.8794873420092548</v>
      </c>
      <c r="D26">
        <v>9.9559756448519721E-2</v>
      </c>
      <c r="E26">
        <v>0.17379812542305983</v>
      </c>
      <c r="F26">
        <v>-0.55374364543372878</v>
      </c>
      <c r="G26">
        <v>-0.96665169717522426</v>
      </c>
      <c r="H26">
        <v>-1.0162708816170388E-2</v>
      </c>
      <c r="I26">
        <v>-1.7740699701129875E-2</v>
      </c>
      <c r="J26">
        <v>133.57027075870775</v>
      </c>
      <c r="K26">
        <v>133.57027075870778</v>
      </c>
      <c r="L26">
        <v>110.20764732527778</v>
      </c>
      <c r="M26">
        <v>110.20764732527778</v>
      </c>
      <c r="N26">
        <v>-2.549905957528158</v>
      </c>
      <c r="O26">
        <v>-4.4512852505082181</v>
      </c>
      <c r="P26">
        <v>-9.5934700203470259E-3</v>
      </c>
      <c r="Q26">
        <v>-1.6746998639965305E-2</v>
      </c>
      <c r="R26">
        <v>254.58603292217254</v>
      </c>
      <c r="S26">
        <v>254.58603292217256</v>
      </c>
      <c r="T26">
        <v>109.63589141091119</v>
      </c>
      <c r="U26">
        <v>109.63589141091121</v>
      </c>
      <c r="V26">
        <v>1.6495060448390746</v>
      </c>
      <c r="W26">
        <v>2.8794873420092548</v>
      </c>
      <c r="X26">
        <v>2.5963534361851335</v>
      </c>
      <c r="Y26">
        <v>4.5323670551366178</v>
      </c>
      <c r="Z26">
        <v>0.15670892299523984</v>
      </c>
      <c r="AA26">
        <v>0.27356150743219571</v>
      </c>
      <c r="AB26">
        <v>2.7263534361851334</v>
      </c>
      <c r="AC26">
        <v>4.7593036920967586</v>
      </c>
      <c r="AD26">
        <v>5.003603441844108E-2</v>
      </c>
      <c r="AE26">
        <v>8.7346225982637568E-2</v>
      </c>
      <c r="AF26">
        <v>2.1923994120697774</v>
      </c>
      <c r="AG26">
        <v>3.8271980726808126</v>
      </c>
      <c r="AH26">
        <v>4.0236519222097013E-2</v>
      </c>
      <c r="AI26">
        <v>7.02395411941905E-2</v>
      </c>
      <c r="AJ26">
        <v>3.4494945622606381</v>
      </c>
      <c r="AK26">
        <v>6.0216668859363303</v>
      </c>
      <c r="AL26">
        <v>6.3307649827312504E-2</v>
      </c>
      <c r="AM26">
        <v>0.11051403958200424</v>
      </c>
      <c r="AN26">
        <v>8.1884992987377281</v>
      </c>
      <c r="AO26">
        <v>14.294388404661639</v>
      </c>
      <c r="AP26">
        <v>3.0807458722997068E-2</v>
      </c>
      <c r="AQ26">
        <v>5.3779546737579342E-2</v>
      </c>
      <c r="AR26">
        <v>8.4484992987377279</v>
      </c>
      <c r="AS26">
        <v>14.748261678581921</v>
      </c>
      <c r="AT26">
        <v>3.1785652525763097E-2</v>
      </c>
      <c r="AU26">
        <v>5.5487146829079147E-2</v>
      </c>
      <c r="AV26">
        <v>5.6885232149823617</v>
      </c>
      <c r="AW26">
        <v>9.9302640590598958</v>
      </c>
      <c r="AX26">
        <v>2.1401839060717097E-2</v>
      </c>
      <c r="AY26">
        <v>3.7360472163087091E-2</v>
      </c>
      <c r="AZ26">
        <v>6.8869258809978389</v>
      </c>
      <c r="BA26">
        <v>12.022275372518507</v>
      </c>
      <c r="BB26">
        <v>2.5910570065004135E-2</v>
      </c>
      <c r="BC26">
        <v>4.5231212555939544E-2</v>
      </c>
      <c r="BE26">
        <v>97.75</v>
      </c>
      <c r="BF26">
        <v>16.567999999999998</v>
      </c>
      <c r="BG26">
        <v>3.9988197530864187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0.72075</v>
      </c>
      <c r="BP26">
        <v>8.1000000000000003E-2</v>
      </c>
      <c r="BQ26">
        <v>3.3599999999999998E-2</v>
      </c>
    </row>
    <row r="27" spans="1:70">
      <c r="A27" s="194" t="s">
        <v>162</v>
      </c>
      <c r="B27">
        <v>1.9005345527735751</v>
      </c>
      <c r="C27">
        <v>3.5905147157536659</v>
      </c>
      <c r="D27">
        <v>0.11444246384175102</v>
      </c>
      <c r="E27">
        <v>0.21620619837258404</v>
      </c>
      <c r="F27">
        <v>-0.25706913110823115</v>
      </c>
      <c r="G27">
        <v>-0.48565836220294051</v>
      </c>
      <c r="H27">
        <v>-4.2546462659916974E-3</v>
      </c>
      <c r="I27">
        <v>-8.0379333309545786E-3</v>
      </c>
      <c r="J27">
        <v>113.52614877393697</v>
      </c>
      <c r="K27">
        <v>113.52614877393697</v>
      </c>
      <c r="L27">
        <v>103.71771641676202</v>
      </c>
      <c r="M27">
        <v>103.717716416762</v>
      </c>
      <c r="N27">
        <v>0.20628032935891993</v>
      </c>
      <c r="O27">
        <v>0.38970749416411926</v>
      </c>
      <c r="P27">
        <v>7.8818386861682097E-4</v>
      </c>
      <c r="Q27">
        <v>1.4890472656013359E-3</v>
      </c>
      <c r="R27">
        <v>89.14619420847248</v>
      </c>
      <c r="S27">
        <v>89.14619420847248</v>
      </c>
      <c r="T27">
        <v>99.311283729694338</v>
      </c>
      <c r="U27">
        <v>99.311283729694338</v>
      </c>
      <c r="V27">
        <v>1.9005345527735751</v>
      </c>
      <c r="W27">
        <v>3.5905147157536659</v>
      </c>
      <c r="X27">
        <v>2.1965680905439942</v>
      </c>
      <c r="Y27">
        <v>4.1497851442602824</v>
      </c>
      <c r="Z27">
        <v>0.13226839991473388</v>
      </c>
      <c r="AA27">
        <v>0.24988318977414706</v>
      </c>
      <c r="AB27">
        <v>1.7632347572106608</v>
      </c>
      <c r="AC27">
        <v>3.3311261475641638</v>
      </c>
      <c r="AD27">
        <v>2.9182578800854352E-2</v>
      </c>
      <c r="AE27">
        <v>5.5132109266414271E-2</v>
      </c>
      <c r="AF27">
        <v>2.2368154983185669</v>
      </c>
      <c r="AG27">
        <v>4.2258210730334005</v>
      </c>
      <c r="AH27">
        <v>3.7020620354556159E-2</v>
      </c>
      <c r="AI27">
        <v>6.9939839807374282E-2</v>
      </c>
      <c r="AJ27">
        <v>1.7104492230350274</v>
      </c>
      <c r="AK27">
        <v>3.2314030265296418</v>
      </c>
      <c r="AL27">
        <v>2.8308946969173319E-2</v>
      </c>
      <c r="AM27">
        <v>5.3481632592247065E-2</v>
      </c>
      <c r="AN27">
        <v>6.0113179992698074</v>
      </c>
      <c r="AO27">
        <v>11.356660527931249</v>
      </c>
      <c r="AP27">
        <v>2.2968859371493556E-2</v>
      </c>
      <c r="AQ27">
        <v>4.3393069311510372E-2</v>
      </c>
      <c r="AR27">
        <v>5.9679846659364744</v>
      </c>
      <c r="AS27">
        <v>11.274794628261636</v>
      </c>
      <c r="AT27">
        <v>2.2803285492428719E-2</v>
      </c>
      <c r="AU27">
        <v>4.3080264975246585E-2</v>
      </c>
      <c r="AV27">
        <v>6.2175983286287275</v>
      </c>
      <c r="AW27">
        <v>11.746368022095368</v>
      </c>
      <c r="AX27">
        <v>2.3757043240110378E-2</v>
      </c>
      <c r="AY27">
        <v>4.4882116577111705E-2</v>
      </c>
      <c r="AZ27">
        <v>6.9346073512589115</v>
      </c>
      <c r="BA27">
        <v>13.100950838453425</v>
      </c>
      <c r="BB27">
        <v>2.6496688590911182E-2</v>
      </c>
      <c r="BC27">
        <v>5.0057890379088116E-2</v>
      </c>
      <c r="BE27">
        <v>90.75</v>
      </c>
      <c r="BF27">
        <v>16.6069</v>
      </c>
      <c r="BG27">
        <v>3.7211757407407409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 t="e">
        <v>#DIV/0!</v>
      </c>
      <c r="BP27" t="e">
        <v>#DIV/0!</v>
      </c>
      <c r="BQ27" t="e">
        <v>#DIV/0!</v>
      </c>
    </row>
    <row r="28" spans="1:70">
      <c r="A28" s="194" t="s">
        <v>163</v>
      </c>
      <c r="B28">
        <v>2.07925973292588</v>
      </c>
      <c r="C28">
        <v>2.8677409486733834</v>
      </c>
      <c r="D28">
        <v>0.11314313800627841</v>
      </c>
      <c r="E28">
        <v>0.15604842665107038</v>
      </c>
      <c r="F28">
        <v>0.904966256144491</v>
      </c>
      <c r="G28">
        <v>1.248140743947026</v>
      </c>
      <c r="H28">
        <v>2.43705500178946E-2</v>
      </c>
      <c r="I28">
        <v>3.3612166446211136E-2</v>
      </c>
      <c r="J28">
        <v>56.476517011607484</v>
      </c>
      <c r="K28">
        <v>56.476517011607484</v>
      </c>
      <c r="L28">
        <v>78.460425928311921</v>
      </c>
      <c r="M28">
        <v>78.460425928311935</v>
      </c>
      <c r="N28">
        <v>-0.20974633071213644</v>
      </c>
      <c r="O28">
        <v>-0.28928475451730645</v>
      </c>
      <c r="P28">
        <v>-1.0345582061366107E-3</v>
      </c>
      <c r="Q28">
        <v>-1.4268755771791777E-3</v>
      </c>
      <c r="R28">
        <v>110.08754834187968</v>
      </c>
      <c r="S28">
        <v>110.08754834187968</v>
      </c>
      <c r="T28">
        <v>100.9143799830611</v>
      </c>
      <c r="U28">
        <v>100.91437998306112</v>
      </c>
      <c r="V28">
        <v>2.07925973292588</v>
      </c>
      <c r="W28">
        <v>2.8677409486733834</v>
      </c>
      <c r="X28">
        <v>0.76594948550046771</v>
      </c>
      <c r="Y28">
        <v>1.0564070805594261</v>
      </c>
      <c r="Z28">
        <v>4.1679222163297974E-2</v>
      </c>
      <c r="AA28">
        <v>5.7484502880432387E-2</v>
      </c>
      <c r="AB28">
        <v>0.72261615216713437</v>
      </c>
      <c r="AC28">
        <v>0.99664120692917724</v>
      </c>
      <c r="AD28">
        <v>1.9459900256563713E-2</v>
      </c>
      <c r="AE28">
        <v>2.6839337067485435E-2</v>
      </c>
      <c r="AF28">
        <v>1.7375200447319559</v>
      </c>
      <c r="AG28">
        <v>2.3964093097724892</v>
      </c>
      <c r="AH28">
        <v>4.6791047588490092E-2</v>
      </c>
      <c r="AI28">
        <v>6.4534796243092218E-2</v>
      </c>
      <c r="AJ28">
        <v>1.5624448047680777</v>
      </c>
      <c r="AK28">
        <v>2.1549433559078741</v>
      </c>
      <c r="AL28">
        <v>4.2076308377536183E-2</v>
      </c>
      <c r="AM28">
        <v>5.803216913813565E-2</v>
      </c>
      <c r="AN28">
        <v>4.0961646398503273</v>
      </c>
      <c r="AO28">
        <v>5.6494813438612796</v>
      </c>
      <c r="AP28">
        <v>2.020402801544011E-2</v>
      </c>
      <c r="AQ28">
        <v>2.7865647350603137E-2</v>
      </c>
      <c r="AR28">
        <v>4.1394979731836603</v>
      </c>
      <c r="AS28">
        <v>5.7092472174915274</v>
      </c>
      <c r="AT28">
        <v>2.0417766465343105E-2</v>
      </c>
      <c r="AU28">
        <v>2.8160438085683772E-2</v>
      </c>
      <c r="AV28">
        <v>3.6616287862195751</v>
      </c>
      <c r="AW28">
        <v>5.0501640765710976</v>
      </c>
      <c r="AX28">
        <v>1.8060712174309834E-2</v>
      </c>
      <c r="AY28">
        <v>2.4909559418817687E-2</v>
      </c>
      <c r="AZ28">
        <v>6.1742069578841754</v>
      </c>
      <c r="BA28">
        <v>8.5155432187363687</v>
      </c>
      <c r="BB28">
        <v>3.0453817489810478E-2</v>
      </c>
      <c r="BC28">
        <v>4.2002284792031025E-2</v>
      </c>
      <c r="BE28">
        <v>94.75</v>
      </c>
      <c r="BF28">
        <v>18.37725</v>
      </c>
      <c r="BG28">
        <v>4.2993689814814822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0.72200000000000009</v>
      </c>
      <c r="BP28">
        <v>0.26080000000000003</v>
      </c>
      <c r="BQ28">
        <v>6.8199999999999997E-2</v>
      </c>
    </row>
    <row r="29" spans="1:70">
      <c r="A29" s="194" t="s">
        <v>177</v>
      </c>
      <c r="B29">
        <v>1.6876323523623051</v>
      </c>
      <c r="C29">
        <v>2.9559658518942964</v>
      </c>
      <c r="D29">
        <v>0.10807764024094174</v>
      </c>
      <c r="E29">
        <v>0.18930296842102445</v>
      </c>
      <c r="F29">
        <v>1.2413074723555184E-2</v>
      </c>
      <c r="G29">
        <v>2.1742072524551896E-2</v>
      </c>
      <c r="H29">
        <v>2.750186045444415E-4</v>
      </c>
      <c r="I29">
        <v>4.8170776207925257E-4</v>
      </c>
      <c r="J29">
        <v>99.264468075278387</v>
      </c>
      <c r="K29">
        <v>99.264468075278373</v>
      </c>
      <c r="L29">
        <v>99.745536075795755</v>
      </c>
      <c r="M29">
        <v>99.745536075795755</v>
      </c>
      <c r="N29">
        <v>0.10051135338994133</v>
      </c>
      <c r="O29">
        <v>0.17605026825449402</v>
      </c>
      <c r="P29">
        <v>5.3376039992959062E-4</v>
      </c>
      <c r="Q29">
        <v>9.3490594268163889E-4</v>
      </c>
      <c r="R29">
        <v>94.044238767451446</v>
      </c>
      <c r="S29">
        <v>94.044238767451432</v>
      </c>
      <c r="T29">
        <v>99.506132444472655</v>
      </c>
      <c r="U29">
        <v>99.506132444472641</v>
      </c>
      <c r="V29">
        <v>1.6876323523623051</v>
      </c>
      <c r="W29">
        <v>2.9559658518942964</v>
      </c>
      <c r="X29">
        <v>1.3778830963665087</v>
      </c>
      <c r="Y29">
        <v>2.4134257529849616</v>
      </c>
      <c r="Z29">
        <v>8.8240992402594226E-2</v>
      </c>
      <c r="AA29">
        <v>0.15455816541690437</v>
      </c>
      <c r="AB29">
        <v>1.7245497630331754</v>
      </c>
      <c r="AC29">
        <v>3.0206283982899604</v>
      </c>
      <c r="AD29">
        <v>3.8208363347465087E-2</v>
      </c>
      <c r="AE29">
        <v>6.6923709511601995E-2</v>
      </c>
      <c r="AF29">
        <v>1.6117416687203954</v>
      </c>
      <c r="AG29">
        <v>2.823039821524953</v>
      </c>
      <c r="AH29">
        <v>3.5709037002450303E-2</v>
      </c>
      <c r="AI29">
        <v>6.2546024218793961E-2</v>
      </c>
      <c r="AJ29">
        <v>1.7366072631322387</v>
      </c>
      <c r="AK29">
        <v>3.0417476654704885</v>
      </c>
      <c r="AL29">
        <v>3.8475503997577043E-2</v>
      </c>
      <c r="AM29">
        <v>6.7391618673380282E-2</v>
      </c>
      <c r="AN29">
        <v>4.0492890995260664</v>
      </c>
      <c r="AO29">
        <v>7.0925164985680498</v>
      </c>
      <c r="AP29">
        <v>2.1503542597903793E-2</v>
      </c>
      <c r="AQ29">
        <v>3.7664446006372809E-2</v>
      </c>
      <c r="AR29">
        <v>5.1326224328593995</v>
      </c>
      <c r="AS29">
        <v>8.9900247651461704</v>
      </c>
      <c r="AT29">
        <v>2.7256528840300998E-2</v>
      </c>
      <c r="AU29">
        <v>4.7741066577873338E-2</v>
      </c>
      <c r="AV29">
        <v>3.6770318905147437</v>
      </c>
      <c r="AW29">
        <v>6.4404908388213258</v>
      </c>
      <c r="AX29">
        <v>1.9526689734449647E-2</v>
      </c>
      <c r="AY29">
        <v>3.4201897098484008E-2</v>
      </c>
      <c r="AZ29">
        <v>7.8307590233940108</v>
      </c>
      <c r="BA29">
        <v>13.715935366588939</v>
      </c>
      <c r="BB29">
        <v>4.1584845165335581E-2</v>
      </c>
      <c r="BC29">
        <v>7.2837773045165061E-2</v>
      </c>
      <c r="BE29">
        <v>95.25</v>
      </c>
      <c r="BF29">
        <v>15.614999999999998</v>
      </c>
      <c r="BG29">
        <v>3.6724166666666664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0.63500000000000001</v>
      </c>
      <c r="BP29">
        <v>0.10400000000000001</v>
      </c>
      <c r="BQ29">
        <v>2.4E-2</v>
      </c>
    </row>
    <row r="34" spans="1:70">
      <c r="A34" t="s">
        <v>142</v>
      </c>
      <c r="B34">
        <f t="shared" ref="B34:AG34" si="6">AVERAGE(B21:B33)</f>
        <v>1.850534236098669</v>
      </c>
      <c r="C34">
        <f t="shared" si="6"/>
        <v>3.058770813976619</v>
      </c>
      <c r="D34">
        <f t="shared" si="6"/>
        <v>0.11267634158680326</v>
      </c>
      <c r="E34">
        <f t="shared" si="6"/>
        <v>0.18816980261153027</v>
      </c>
      <c r="F34">
        <f t="shared" si="6"/>
        <v>0.17573818412165404</v>
      </c>
      <c r="G34">
        <f t="shared" si="6"/>
        <v>0.2160093623606269</v>
      </c>
      <c r="H34">
        <f t="shared" si="6"/>
        <v>3.7658342747190023E-3</v>
      </c>
      <c r="I34">
        <f t="shared" si="6"/>
        <v>4.6312547156357351E-3</v>
      </c>
      <c r="J34">
        <f t="shared" si="6"/>
        <v>91.348028729141134</v>
      </c>
      <c r="K34">
        <f t="shared" si="6"/>
        <v>91.348028729141149</v>
      </c>
      <c r="L34">
        <f t="shared" si="6"/>
        <v>96.272575346153928</v>
      </c>
      <c r="M34">
        <f t="shared" si="6"/>
        <v>96.272575346153914</v>
      </c>
      <c r="N34">
        <f t="shared" si="6"/>
        <v>-0.58001263336047471</v>
      </c>
      <c r="O34">
        <f t="shared" si="6"/>
        <v>-0.94826683702296699</v>
      </c>
      <c r="P34">
        <f t="shared" si="6"/>
        <v>-2.1369345683176812E-3</v>
      </c>
      <c r="Q34">
        <f t="shared" si="6"/>
        <v>-3.4944190287626766E-3</v>
      </c>
      <c r="R34">
        <f t="shared" si="6"/>
        <v>133.34173755582498</v>
      </c>
      <c r="S34">
        <f t="shared" si="6"/>
        <v>133.34173755582501</v>
      </c>
      <c r="T34">
        <f t="shared" si="6"/>
        <v>102.09970429779929</v>
      </c>
      <c r="U34">
        <f t="shared" si="6"/>
        <v>102.09970429779929</v>
      </c>
      <c r="V34">
        <f t="shared" si="6"/>
        <v>1.850534236098669</v>
      </c>
      <c r="W34">
        <f t="shared" si="6"/>
        <v>3.058770813976619</v>
      </c>
      <c r="X34">
        <f t="shared" si="6"/>
        <v>1.6733931380102727</v>
      </c>
      <c r="Y34">
        <f t="shared" si="6"/>
        <v>2.8650139688318279</v>
      </c>
      <c r="Z34">
        <f t="shared" si="6"/>
        <v>0.10575454894330644</v>
      </c>
      <c r="AA34">
        <f t="shared" si="6"/>
        <v>0.18208142553600748</v>
      </c>
      <c r="AB34">
        <f t="shared" si="6"/>
        <v>1.6204301750473098</v>
      </c>
      <c r="AC34">
        <f t="shared" si="6"/>
        <v>2.7709649918150481</v>
      </c>
      <c r="AD34">
        <f t="shared" si="6"/>
        <v>3.0722469831593182E-2</v>
      </c>
      <c r="AE34">
        <f t="shared" si="6"/>
        <v>5.2290101754616153E-2</v>
      </c>
      <c r="AF34">
        <f t="shared" si="6"/>
        <v>1.9613701020635748</v>
      </c>
      <c r="AG34">
        <f t="shared" si="6"/>
        <v>3.2770681594019186</v>
      </c>
      <c r="AH34">
        <f t="shared" ref="AH34:BM34" si="7">AVERAGE(AH21:AH33)</f>
        <v>3.7157151053054123E-2</v>
      </c>
      <c r="AI34">
        <f t="shared" si="7"/>
        <v>6.1640402934916939E-2</v>
      </c>
      <c r="AJ34">
        <f t="shared" si="7"/>
        <v>2.1907143653693404</v>
      </c>
      <c r="AK34">
        <f t="shared" si="7"/>
        <v>3.6689518083115922</v>
      </c>
      <c r="AL34">
        <f t="shared" si="7"/>
        <v>4.1408246702663264E-2</v>
      </c>
      <c r="AM34">
        <f t="shared" si="7"/>
        <v>6.9065700360685559E-2</v>
      </c>
      <c r="AN34">
        <f t="shared" si="7"/>
        <v>5.4599966257323809</v>
      </c>
      <c r="AO34">
        <f t="shared" si="7"/>
        <v>9.1548745450063542</v>
      </c>
      <c r="AP34">
        <f t="shared" si="7"/>
        <v>2.2041019431074917E-2</v>
      </c>
      <c r="AQ34">
        <f t="shared" si="7"/>
        <v>3.6975969972706434E-2</v>
      </c>
      <c r="AR34">
        <f t="shared" si="7"/>
        <v>5.7007373664731213</v>
      </c>
      <c r="AS34">
        <f t="shared" si="7"/>
        <v>9.5466107341001099</v>
      </c>
      <c r="AT34">
        <f t="shared" si="7"/>
        <v>2.3160793260552006E-2</v>
      </c>
      <c r="AU34">
        <f t="shared" si="7"/>
        <v>3.8826859240548364E-2</v>
      </c>
      <c r="AV34">
        <f t="shared" si="7"/>
        <v>4.8306762087281223</v>
      </c>
      <c r="AW34">
        <f t="shared" si="7"/>
        <v>8.1317593802236772</v>
      </c>
      <c r="AX34">
        <f t="shared" si="7"/>
        <v>1.960153817170477E-2</v>
      </c>
      <c r="AY34">
        <f t="shared" si="7"/>
        <v>3.3008048145173073E-2</v>
      </c>
      <c r="AZ34">
        <f t="shared" si="7"/>
        <v>6.5313170027157073</v>
      </c>
      <c r="BA34">
        <f t="shared" si="7"/>
        <v>10.839927131174848</v>
      </c>
      <c r="BB34">
        <f t="shared" si="7"/>
        <v>2.7120001558671919E-2</v>
      </c>
      <c r="BC34">
        <f t="shared" si="7"/>
        <v>4.5056660213043206E-2</v>
      </c>
      <c r="BE34">
        <f t="shared" si="7"/>
        <v>96.138888888888886</v>
      </c>
      <c r="BF34">
        <f t="shared" si="7"/>
        <v>16.804147222222223</v>
      </c>
      <c r="BG34">
        <f t="shared" si="7"/>
        <v>3.9923880006858701</v>
      </c>
      <c r="BI34">
        <f t="shared" si="7"/>
        <v>0</v>
      </c>
      <c r="BJ34">
        <f t="shared" si="7"/>
        <v>0</v>
      </c>
      <c r="BK34">
        <f t="shared" si="7"/>
        <v>0</v>
      </c>
      <c r="BL34">
        <f t="shared" si="7"/>
        <v>0</v>
      </c>
      <c r="BM34">
        <f t="shared" si="7"/>
        <v>0</v>
      </c>
      <c r="BN34">
        <f t="shared" ref="BN34:BR34" si="8">AVERAGE(BN21:BN33)</f>
        <v>0</v>
      </c>
      <c r="BO34">
        <f>AVERAGE(BO21:BO26,BO28:BO29)</f>
        <v>0.60484375000000001</v>
      </c>
      <c r="BP34">
        <f t="shared" ref="BP34:BQ34" si="9">AVERAGE(BP21:BP26,BP28:BP29)</f>
        <v>0.14657500000000001</v>
      </c>
      <c r="BQ34">
        <f>AVERAGE(BQ21:BQ26,BQ28:BQ29)</f>
        <v>5.1700000000000003E-2</v>
      </c>
      <c r="BR34" t="e">
        <f t="shared" si="8"/>
        <v>#DIV/0!</v>
      </c>
    </row>
    <row r="35" spans="1:70">
      <c r="A35" t="s">
        <v>143</v>
      </c>
      <c r="B35">
        <f t="shared" ref="B35:AG35" si="10">STDEV(B21:B33)</f>
        <v>0.176177261556242</v>
      </c>
      <c r="C35">
        <f t="shared" si="10"/>
        <v>0.39567835673771645</v>
      </c>
      <c r="D35">
        <f t="shared" si="10"/>
        <v>2.1714232014284379E-2</v>
      </c>
      <c r="E35">
        <f t="shared" si="10"/>
        <v>4.7930847589348645E-2</v>
      </c>
      <c r="F35">
        <f t="shared" si="10"/>
        <v>0.49087217234747249</v>
      </c>
      <c r="G35">
        <f t="shared" si="10"/>
        <v>0.74553045726165457</v>
      </c>
      <c r="H35">
        <f t="shared" si="10"/>
        <v>1.0668388498132982E-2</v>
      </c>
      <c r="I35">
        <f t="shared" si="10"/>
        <v>1.5699671422657983E-2</v>
      </c>
      <c r="J35">
        <f t="shared" si="10"/>
        <v>26.359414362990183</v>
      </c>
      <c r="K35">
        <f t="shared" si="10"/>
        <v>26.359414362990218</v>
      </c>
      <c r="L35">
        <f t="shared" si="10"/>
        <v>10.050225511184038</v>
      </c>
      <c r="M35">
        <f t="shared" si="10"/>
        <v>10.050225511184038</v>
      </c>
      <c r="N35">
        <f t="shared" si="10"/>
        <v>0.81833443547031348</v>
      </c>
      <c r="O35">
        <f t="shared" si="10"/>
        <v>1.4259429813029145</v>
      </c>
      <c r="P35">
        <f t="shared" si="10"/>
        <v>3.0575756978034226E-3</v>
      </c>
      <c r="Q35">
        <f t="shared" si="10"/>
        <v>5.345639834320572E-3</v>
      </c>
      <c r="R35">
        <f t="shared" si="10"/>
        <v>49.870806889069513</v>
      </c>
      <c r="S35">
        <f t="shared" si="10"/>
        <v>49.870806889069478</v>
      </c>
      <c r="T35">
        <f t="shared" si="10"/>
        <v>3.1154504519833486</v>
      </c>
      <c r="U35">
        <f t="shared" si="10"/>
        <v>3.1154504519833575</v>
      </c>
      <c r="V35">
        <f t="shared" si="10"/>
        <v>0.176177261556242</v>
      </c>
      <c r="W35">
        <f t="shared" si="10"/>
        <v>0.39567835673771645</v>
      </c>
      <c r="X35">
        <f t="shared" si="10"/>
        <v>0.67789703770565612</v>
      </c>
      <c r="Y35">
        <f t="shared" si="10"/>
        <v>1.3401308277893993</v>
      </c>
      <c r="Z35">
        <f t="shared" si="10"/>
        <v>5.2775289511657587E-2</v>
      </c>
      <c r="AA35">
        <f t="shared" si="10"/>
        <v>9.9538961185224289E-2</v>
      </c>
      <c r="AB35">
        <f t="shared" si="10"/>
        <v>0.72621866934771839</v>
      </c>
      <c r="AC35">
        <f t="shared" si="10"/>
        <v>1.3682564023387149</v>
      </c>
      <c r="AD35">
        <f t="shared" si="10"/>
        <v>1.4176017552682713E-2</v>
      </c>
      <c r="AE35">
        <f t="shared" si="10"/>
        <v>2.6237603455646435E-2</v>
      </c>
      <c r="AF35">
        <f t="shared" si="10"/>
        <v>0.31890171829887759</v>
      </c>
      <c r="AG35">
        <f t="shared" si="10"/>
        <v>0.77309383905918705</v>
      </c>
      <c r="AH35">
        <f t="shared" ref="AH35:BR35" si="11">STDEV(AH21:AH33)</f>
        <v>9.6650277120709418E-3</v>
      </c>
      <c r="AI35">
        <f t="shared" si="11"/>
        <v>1.6986822038640922E-2</v>
      </c>
      <c r="AJ35">
        <f t="shared" si="11"/>
        <v>0.81614241244586194</v>
      </c>
      <c r="AK35">
        <f t="shared" si="11"/>
        <v>1.51071332141207</v>
      </c>
      <c r="AL35">
        <f t="shared" si="11"/>
        <v>1.7476347648284749E-2</v>
      </c>
      <c r="AM35">
        <f t="shared" si="11"/>
        <v>3.1262786544059548E-2</v>
      </c>
      <c r="AN35">
        <f t="shared" si="11"/>
        <v>1.4680220060296509</v>
      </c>
      <c r="AO35">
        <f t="shared" si="11"/>
        <v>3.0334191546492693</v>
      </c>
      <c r="AP35">
        <f t="shared" si="11"/>
        <v>6.1415958303534428E-3</v>
      </c>
      <c r="AQ35">
        <f t="shared" si="11"/>
        <v>1.2597857823446419E-2</v>
      </c>
      <c r="AR35">
        <f t="shared" si="11"/>
        <v>1.4850443485056242</v>
      </c>
      <c r="AS35">
        <f t="shared" si="11"/>
        <v>3.0347375065193911</v>
      </c>
      <c r="AT35">
        <f t="shared" si="11"/>
        <v>6.6814182221072872E-3</v>
      </c>
      <c r="AU35">
        <f t="shared" si="11"/>
        <v>1.3460140634376158E-2</v>
      </c>
      <c r="AV35">
        <f t="shared" si="11"/>
        <v>1.2553106408655637</v>
      </c>
      <c r="AW35">
        <f t="shared" si="11"/>
        <v>2.7493463041072075</v>
      </c>
      <c r="AX35">
        <f t="shared" si="11"/>
        <v>5.7113863267816353E-3</v>
      </c>
      <c r="AY35">
        <f t="shared" si="11"/>
        <v>1.2010020934748246E-2</v>
      </c>
      <c r="AZ35">
        <f t="shared" si="11"/>
        <v>2.1029161726126731</v>
      </c>
      <c r="BA35">
        <f t="shared" si="11"/>
        <v>3.5466117788490092</v>
      </c>
      <c r="BB35">
        <f t="shared" si="11"/>
        <v>1.0435160474047191E-2</v>
      </c>
      <c r="BC35">
        <f t="shared" si="11"/>
        <v>1.8145401534681201E-2</v>
      </c>
      <c r="BE35">
        <f t="shared" si="11"/>
        <v>4.6504554735112897</v>
      </c>
      <c r="BF35">
        <f t="shared" si="11"/>
        <v>2.5965534769804774</v>
      </c>
      <c r="BG35">
        <f t="shared" si="11"/>
        <v>0.68161991807181488</v>
      </c>
      <c r="BI35">
        <f t="shared" si="11"/>
        <v>0</v>
      </c>
      <c r="BJ35">
        <f t="shared" si="11"/>
        <v>0</v>
      </c>
      <c r="BK35">
        <f t="shared" si="11"/>
        <v>0</v>
      </c>
      <c r="BL35">
        <f t="shared" si="11"/>
        <v>0</v>
      </c>
      <c r="BM35">
        <f t="shared" si="11"/>
        <v>0</v>
      </c>
      <c r="BN35">
        <f t="shared" si="11"/>
        <v>0</v>
      </c>
      <c r="BO35">
        <f>STDEV(BO21:BO26,BO28:BO29)</f>
        <v>0.21955827966542898</v>
      </c>
      <c r="BP35">
        <f t="shared" ref="BP35:BQ35" si="12">STDEV(BP21:BP26,BP28:BP29)</f>
        <v>7.898798733261371E-2</v>
      </c>
      <c r="BQ35">
        <f t="shared" si="12"/>
        <v>2.0543194910793604E-2</v>
      </c>
      <c r="BR35" t="e">
        <f t="shared" si="11"/>
        <v>#DIV/0!</v>
      </c>
    </row>
    <row r="36" spans="1:70" ht="13.5" thickBot="1">
      <c r="A36" s="193" t="s">
        <v>144</v>
      </c>
      <c r="B36" s="193">
        <f t="shared" ref="B36:AG36" si="13">B35/(SQRT(COUNT(B21:B33)))</f>
        <v>5.8725753852080669E-2</v>
      </c>
      <c r="C36" s="193">
        <f t="shared" si="13"/>
        <v>0.13189278557923881</v>
      </c>
      <c r="D36" s="193">
        <f t="shared" si="13"/>
        <v>7.2380773380947934E-3</v>
      </c>
      <c r="E36" s="193">
        <f t="shared" si="13"/>
        <v>1.5976949196449548E-2</v>
      </c>
      <c r="F36" s="193">
        <f t="shared" si="13"/>
        <v>0.16362405744915751</v>
      </c>
      <c r="G36" s="193">
        <f t="shared" si="13"/>
        <v>0.24851015242055152</v>
      </c>
      <c r="H36" s="193">
        <f t="shared" si="13"/>
        <v>3.5561294993776606E-3</v>
      </c>
      <c r="I36" s="193">
        <f t="shared" si="13"/>
        <v>5.2332238075526614E-3</v>
      </c>
      <c r="J36" s="193">
        <f t="shared" si="13"/>
        <v>8.7864714543300604</v>
      </c>
      <c r="K36" s="193">
        <f t="shared" si="13"/>
        <v>8.7864714543300728</v>
      </c>
      <c r="L36" s="193">
        <f t="shared" si="13"/>
        <v>3.3500751703946796</v>
      </c>
      <c r="M36" s="193">
        <f t="shared" si="13"/>
        <v>3.3500751703946796</v>
      </c>
      <c r="N36" s="193">
        <f t="shared" si="13"/>
        <v>0.27277814515677118</v>
      </c>
      <c r="O36" s="193">
        <f t="shared" si="13"/>
        <v>0.47531432710097149</v>
      </c>
      <c r="P36" s="193">
        <f t="shared" si="13"/>
        <v>1.0191918992678076E-3</v>
      </c>
      <c r="Q36" s="193">
        <f t="shared" si="13"/>
        <v>1.7818799447735241E-3</v>
      </c>
      <c r="R36" s="193">
        <f t="shared" si="13"/>
        <v>16.623602296356506</v>
      </c>
      <c r="S36" s="193">
        <f t="shared" si="13"/>
        <v>16.623602296356491</v>
      </c>
      <c r="T36" s="193">
        <f t="shared" si="13"/>
        <v>1.0384834839944495</v>
      </c>
      <c r="U36" s="193">
        <f t="shared" si="13"/>
        <v>1.0384834839944526</v>
      </c>
      <c r="V36" s="193">
        <f t="shared" si="13"/>
        <v>5.8725753852080669E-2</v>
      </c>
      <c r="W36" s="193">
        <f t="shared" si="13"/>
        <v>0.13189278557923881</v>
      </c>
      <c r="X36" s="193">
        <f t="shared" si="13"/>
        <v>0.22596567923521871</v>
      </c>
      <c r="Y36" s="193">
        <f t="shared" si="13"/>
        <v>0.44671027592979978</v>
      </c>
      <c r="Z36" s="193">
        <f t="shared" si="13"/>
        <v>1.759176317055253E-2</v>
      </c>
      <c r="AA36" s="193">
        <f t="shared" si="13"/>
        <v>3.3179653728408094E-2</v>
      </c>
      <c r="AB36" s="193">
        <f t="shared" si="13"/>
        <v>0.2420728897825728</v>
      </c>
      <c r="AC36" s="193">
        <f t="shared" si="13"/>
        <v>0.45608546744623829</v>
      </c>
      <c r="AD36" s="193">
        <f t="shared" si="13"/>
        <v>4.725339184227571E-3</v>
      </c>
      <c r="AE36" s="193">
        <f t="shared" si="13"/>
        <v>8.7458678185488112E-3</v>
      </c>
      <c r="AF36" s="193">
        <f t="shared" si="13"/>
        <v>0.10630057276629253</v>
      </c>
      <c r="AG36" s="193">
        <f t="shared" si="13"/>
        <v>0.25769794635306237</v>
      </c>
      <c r="AH36" s="193">
        <f t="shared" ref="AH36:BM36" si="14">AH35/(SQRT(COUNT(AH21:AH33)))</f>
        <v>3.2216759040236474E-3</v>
      </c>
      <c r="AI36" s="193">
        <f t="shared" si="14"/>
        <v>5.6622740128803072E-3</v>
      </c>
      <c r="AJ36" s="193">
        <f t="shared" si="14"/>
        <v>0.2720474708152873</v>
      </c>
      <c r="AK36" s="193">
        <f t="shared" si="14"/>
        <v>0.50357110713735664</v>
      </c>
      <c r="AL36" s="193">
        <f t="shared" si="14"/>
        <v>5.8254492160949162E-3</v>
      </c>
      <c r="AM36" s="193">
        <f t="shared" si="14"/>
        <v>1.042092884801985E-2</v>
      </c>
      <c r="AN36" s="193">
        <f t="shared" si="14"/>
        <v>0.48934066867655029</v>
      </c>
      <c r="AO36" s="193">
        <f t="shared" si="14"/>
        <v>1.011139718216423</v>
      </c>
      <c r="AP36" s="193">
        <f t="shared" si="14"/>
        <v>2.0471986101178144E-3</v>
      </c>
      <c r="AQ36" s="193">
        <f t="shared" si="14"/>
        <v>4.1992859411488061E-3</v>
      </c>
      <c r="AR36" s="193">
        <f t="shared" si="14"/>
        <v>0.49501478283520806</v>
      </c>
      <c r="AS36" s="193">
        <f t="shared" si="14"/>
        <v>1.011579168839797</v>
      </c>
      <c r="AT36" s="193">
        <f t="shared" si="14"/>
        <v>2.2271394073690959E-3</v>
      </c>
      <c r="AU36" s="193">
        <f t="shared" si="14"/>
        <v>4.4867135447920524E-3</v>
      </c>
      <c r="AV36" s="193">
        <f t="shared" si="14"/>
        <v>0.41843688028852122</v>
      </c>
      <c r="AW36" s="193">
        <f t="shared" si="14"/>
        <v>0.91644876803573583</v>
      </c>
      <c r="AX36" s="193">
        <f t="shared" si="14"/>
        <v>1.903795442260545E-3</v>
      </c>
      <c r="AY36" s="193">
        <f t="shared" si="14"/>
        <v>4.0033403115827485E-3</v>
      </c>
      <c r="AZ36" s="193">
        <f t="shared" si="14"/>
        <v>0.70097205753755765</v>
      </c>
      <c r="BA36" s="193">
        <f t="shared" si="14"/>
        <v>1.1822039262830031</v>
      </c>
      <c r="BB36" s="193">
        <f t="shared" si="14"/>
        <v>3.478386824682397E-3</v>
      </c>
      <c r="BC36" s="193">
        <f t="shared" si="14"/>
        <v>6.0484671782270669E-3</v>
      </c>
      <c r="BD36" s="193"/>
      <c r="BE36" s="193">
        <f t="shared" si="14"/>
        <v>1.5501518245037633</v>
      </c>
      <c r="BF36" s="193">
        <f t="shared" si="14"/>
        <v>0.86551782566015911</v>
      </c>
      <c r="BG36" s="193">
        <f t="shared" si="14"/>
        <v>0.22720663935727162</v>
      </c>
      <c r="BH36" s="193"/>
      <c r="BI36" s="193">
        <f t="shared" si="14"/>
        <v>0</v>
      </c>
      <c r="BJ36" s="193">
        <f t="shared" si="14"/>
        <v>0</v>
      </c>
      <c r="BK36" s="193">
        <f t="shared" si="14"/>
        <v>0</v>
      </c>
      <c r="BL36" s="193">
        <f t="shared" si="14"/>
        <v>0</v>
      </c>
      <c r="BM36" s="193">
        <f t="shared" si="14"/>
        <v>0</v>
      </c>
      <c r="BN36" s="193">
        <f t="shared" ref="BN36:BR36" si="15">BN35/(SQRT(COUNT(BN21:BN33)))</f>
        <v>0</v>
      </c>
      <c r="BO36" s="193">
        <f>BO35/(SQRT(COUNT(BO21:BO26,BO28:BO29)))</f>
        <v>7.7625574208538647E-2</v>
      </c>
      <c r="BP36" s="193">
        <f>BP35/(SQRT(COUNT(BP21:BP26,BP28:BP29)))</f>
        <v>2.7926470737584135E-2</v>
      </c>
      <c r="BQ36" s="193">
        <f t="shared" ref="BP36:BQ36" si="16">BQ35/(SQRT(COUNT(BQ21:BQ26,BQ28:BQ29)))</f>
        <v>7.2631162143295645E-3</v>
      </c>
      <c r="BR36" s="193" t="e">
        <f t="shared" si="15"/>
        <v>#DIV/0!</v>
      </c>
    </row>
    <row r="37" spans="1:70">
      <c r="B37">
        <f>TTEST(B4:B12,B21:B29,1,1)</f>
        <v>0.14579637953547719</v>
      </c>
      <c r="C37">
        <f t="shared" ref="C37:BC37" si="17">TTEST(C4:C12,C21:C29,1,1)</f>
        <v>0.15330525195495912</v>
      </c>
      <c r="D37">
        <f t="shared" si="17"/>
        <v>0.22859861193624326</v>
      </c>
      <c r="E37">
        <f t="shared" si="17"/>
        <v>0.21959688870729088</v>
      </c>
      <c r="F37">
        <f t="shared" si="17"/>
        <v>0.20943751368638291</v>
      </c>
      <c r="G37">
        <f t="shared" si="17"/>
        <v>0.16380712242827838</v>
      </c>
      <c r="H37">
        <f t="shared" si="17"/>
        <v>0.27239505991319302</v>
      </c>
      <c r="I37">
        <f t="shared" si="17"/>
        <v>0.21112217823582474</v>
      </c>
      <c r="J37">
        <f t="shared" si="17"/>
        <v>0.24311892126864321</v>
      </c>
      <c r="K37">
        <f t="shared" si="17"/>
        <v>0.24311892126864282</v>
      </c>
      <c r="L37">
        <f t="shared" si="17"/>
        <v>0.37276655430774103</v>
      </c>
      <c r="M37">
        <f t="shared" si="17"/>
        <v>0.37276655430774197</v>
      </c>
      <c r="N37">
        <f t="shared" si="17"/>
        <v>0.3167388134758401</v>
      </c>
      <c r="O37">
        <f t="shared" si="17"/>
        <v>0.29984761629907342</v>
      </c>
      <c r="P37">
        <f t="shared" si="17"/>
        <v>0.27502240267795597</v>
      </c>
      <c r="Q37">
        <f t="shared" si="17"/>
        <v>0.25816016406144554</v>
      </c>
      <c r="R37">
        <f t="shared" si="17"/>
        <v>0.2275652215607511</v>
      </c>
      <c r="S37">
        <f t="shared" si="17"/>
        <v>0.22756522156075132</v>
      </c>
      <c r="T37">
        <f t="shared" si="17"/>
        <v>0.2005276983059065</v>
      </c>
      <c r="U37">
        <f t="shared" si="17"/>
        <v>0.20052769830590683</v>
      </c>
      <c r="V37">
        <f t="shared" si="17"/>
        <v>0.14579637953547719</v>
      </c>
      <c r="W37">
        <f t="shared" si="17"/>
        <v>0.15330525195495912</v>
      </c>
      <c r="X37">
        <f t="shared" si="17"/>
        <v>0.42025028794362851</v>
      </c>
      <c r="Y37">
        <f t="shared" si="17"/>
        <v>0.49189515325870314</v>
      </c>
      <c r="Z37">
        <f t="shared" si="17"/>
        <v>0.32843270212743708</v>
      </c>
      <c r="AA37">
        <f t="shared" si="17"/>
        <v>0.27449266656741877</v>
      </c>
      <c r="AB37">
        <f t="shared" si="17"/>
        <v>0.25667178884906339</v>
      </c>
      <c r="AC37">
        <f t="shared" si="17"/>
        <v>0.289517178261819</v>
      </c>
      <c r="AD37">
        <f t="shared" si="17"/>
        <v>0.44708943134611723</v>
      </c>
      <c r="AE37">
        <f t="shared" si="17"/>
        <v>0.42084610746998513</v>
      </c>
      <c r="AF37">
        <f t="shared" si="17"/>
        <v>7.0684591725943824E-2</v>
      </c>
      <c r="AG37">
        <f t="shared" si="17"/>
        <v>9.0225518213975273E-2</v>
      </c>
      <c r="AH37">
        <f t="shared" si="17"/>
        <v>0.44427109017216382</v>
      </c>
      <c r="AI37">
        <f t="shared" si="17"/>
        <v>0.48684726642517329</v>
      </c>
      <c r="AJ37">
        <f t="shared" si="17"/>
        <v>0.12452460315651737</v>
      </c>
      <c r="AK37">
        <f t="shared" si="17"/>
        <v>0.12868744520693828</v>
      </c>
      <c r="AL37">
        <f t="shared" si="17"/>
        <v>0.37521195695272863</v>
      </c>
      <c r="AM37">
        <f t="shared" si="17"/>
        <v>0.36535188338372704</v>
      </c>
      <c r="AN37">
        <f t="shared" si="17"/>
        <v>0.40522725947596444</v>
      </c>
      <c r="AO37">
        <f t="shared" si="17"/>
        <v>0.3640944196774123</v>
      </c>
      <c r="AP37">
        <f t="shared" si="17"/>
        <v>0.26514004240488076</v>
      </c>
      <c r="AQ37">
        <f t="shared" si="17"/>
        <v>0.24107552467138105</v>
      </c>
      <c r="AR37">
        <f t="shared" si="17"/>
        <v>0.36376720281337105</v>
      </c>
      <c r="AS37">
        <f t="shared" si="17"/>
        <v>0.37577954381265899</v>
      </c>
      <c r="AT37">
        <f t="shared" si="17"/>
        <v>0.38902947028464502</v>
      </c>
      <c r="AU37">
        <f t="shared" si="17"/>
        <v>0.37896722943527172</v>
      </c>
      <c r="AV37">
        <f t="shared" si="17"/>
        <v>0.49958806741789846</v>
      </c>
      <c r="AW37">
        <f t="shared" si="17"/>
        <v>0.48897647309634601</v>
      </c>
      <c r="AX37">
        <f t="shared" si="17"/>
        <v>0.27810496812010388</v>
      </c>
      <c r="AY37">
        <f t="shared" si="17"/>
        <v>0.27455692993951875</v>
      </c>
      <c r="AZ37">
        <f t="shared" si="17"/>
        <v>4.0434194209656091E-2</v>
      </c>
      <c r="BA37">
        <f t="shared" si="17"/>
        <v>3.829063184702116E-2</v>
      </c>
      <c r="BB37">
        <f t="shared" si="17"/>
        <v>3.6666841963479746E-2</v>
      </c>
      <c r="BC37">
        <f t="shared" si="17"/>
        <v>3.5902565723008414E-2</v>
      </c>
    </row>
    <row r="38" spans="1:70">
      <c r="B38">
        <f>TTEST(B4:B12,B21:B29,2,1)</f>
        <v>0.29159275907095439</v>
      </c>
      <c r="C38">
        <f t="shared" ref="C38:BC38" si="18">TTEST(C4:C12,C21:C29,2,1)</f>
        <v>0.30661050390991823</v>
      </c>
      <c r="D38">
        <f t="shared" si="18"/>
        <v>0.45719722387248651</v>
      </c>
      <c r="E38">
        <f t="shared" si="18"/>
        <v>0.43919377741458177</v>
      </c>
      <c r="F38">
        <f t="shared" si="18"/>
        <v>0.41887502737276583</v>
      </c>
      <c r="G38">
        <f t="shared" si="18"/>
        <v>0.32761424485655677</v>
      </c>
      <c r="H38">
        <f t="shared" si="18"/>
        <v>0.54479011982638603</v>
      </c>
      <c r="I38">
        <f t="shared" si="18"/>
        <v>0.42224435647164948</v>
      </c>
      <c r="J38">
        <f t="shared" si="18"/>
        <v>0.48623784253728641</v>
      </c>
      <c r="K38">
        <f t="shared" si="18"/>
        <v>0.48623784253728564</v>
      </c>
      <c r="L38">
        <f t="shared" si="18"/>
        <v>0.74553310861548205</v>
      </c>
      <c r="M38">
        <f t="shared" si="18"/>
        <v>0.74553310861548394</v>
      </c>
      <c r="N38">
        <f t="shared" si="18"/>
        <v>0.63347762695168019</v>
      </c>
      <c r="O38">
        <f t="shared" si="18"/>
        <v>0.59969523259814683</v>
      </c>
      <c r="P38">
        <f t="shared" si="18"/>
        <v>0.55004480535591194</v>
      </c>
      <c r="Q38">
        <f t="shared" si="18"/>
        <v>0.51632032812289108</v>
      </c>
      <c r="R38">
        <f t="shared" si="18"/>
        <v>0.45513044312150219</v>
      </c>
      <c r="S38">
        <f t="shared" si="18"/>
        <v>0.45513044312150264</v>
      </c>
      <c r="T38">
        <f t="shared" si="18"/>
        <v>0.401055396611813</v>
      </c>
      <c r="U38">
        <f t="shared" si="18"/>
        <v>0.40105539661181366</v>
      </c>
      <c r="V38">
        <f t="shared" si="18"/>
        <v>0.29159275907095439</v>
      </c>
      <c r="W38">
        <f t="shared" si="18"/>
        <v>0.30661050390991823</v>
      </c>
      <c r="X38">
        <f t="shared" si="18"/>
        <v>0.84050057588725702</v>
      </c>
      <c r="Y38">
        <f t="shared" si="18"/>
        <v>0.98379030651740629</v>
      </c>
      <c r="Z38">
        <f t="shared" si="18"/>
        <v>0.65686540425487416</v>
      </c>
      <c r="AA38">
        <f t="shared" si="18"/>
        <v>0.54898533313483755</v>
      </c>
      <c r="AB38">
        <f t="shared" si="18"/>
        <v>0.51334357769812677</v>
      </c>
      <c r="AC38">
        <f t="shared" si="18"/>
        <v>0.57903435652363799</v>
      </c>
      <c r="AD38">
        <f t="shared" si="18"/>
        <v>0.89417886269223446</v>
      </c>
      <c r="AE38">
        <f t="shared" si="18"/>
        <v>0.84169221493997026</v>
      </c>
      <c r="AF38">
        <f t="shared" si="18"/>
        <v>0.14136918345188765</v>
      </c>
      <c r="AG38">
        <f t="shared" si="18"/>
        <v>0.18045103642795055</v>
      </c>
      <c r="AH38">
        <f t="shared" si="18"/>
        <v>0.88854218034432764</v>
      </c>
      <c r="AI38">
        <f t="shared" si="18"/>
        <v>0.97369453285034657</v>
      </c>
      <c r="AJ38">
        <f t="shared" si="18"/>
        <v>0.24904920631303473</v>
      </c>
      <c r="AK38">
        <f t="shared" si="18"/>
        <v>0.25737489041387657</v>
      </c>
      <c r="AL38">
        <f t="shared" si="18"/>
        <v>0.75042391390545726</v>
      </c>
      <c r="AM38">
        <f t="shared" si="18"/>
        <v>0.73070376676745408</v>
      </c>
      <c r="AN38">
        <f t="shared" si="18"/>
        <v>0.81045451895192888</v>
      </c>
      <c r="AO38">
        <f t="shared" si="18"/>
        <v>0.72818883935482459</v>
      </c>
      <c r="AP38">
        <f t="shared" si="18"/>
        <v>0.53028008480976152</v>
      </c>
      <c r="AQ38">
        <f t="shared" si="18"/>
        <v>0.48215104934276209</v>
      </c>
      <c r="AR38">
        <f t="shared" si="18"/>
        <v>0.7275344056267421</v>
      </c>
      <c r="AS38">
        <f t="shared" si="18"/>
        <v>0.75155908762531798</v>
      </c>
      <c r="AT38">
        <f t="shared" si="18"/>
        <v>0.77805894056929004</v>
      </c>
      <c r="AU38">
        <f t="shared" si="18"/>
        <v>0.75793445887054345</v>
      </c>
      <c r="AV38">
        <f t="shared" si="18"/>
        <v>0.99917613483579693</v>
      </c>
      <c r="AW38">
        <f t="shared" si="18"/>
        <v>0.97795294619269202</v>
      </c>
      <c r="AX38">
        <f t="shared" si="18"/>
        <v>0.55620993624020776</v>
      </c>
      <c r="AY38">
        <f t="shared" si="18"/>
        <v>0.54911385987903749</v>
      </c>
      <c r="AZ38">
        <f t="shared" si="18"/>
        <v>8.0868388419312182E-2</v>
      </c>
      <c r="BA38">
        <f t="shared" si="18"/>
        <v>7.658126369404232E-2</v>
      </c>
      <c r="BB38">
        <f t="shared" si="18"/>
        <v>7.3333683926959492E-2</v>
      </c>
      <c r="BC38">
        <f t="shared" si="18"/>
        <v>7.1805131446016829E-2</v>
      </c>
    </row>
    <row r="39" spans="1:70">
      <c r="A39" s="205" t="s">
        <v>172</v>
      </c>
    </row>
    <row r="41" spans="1:70">
      <c r="A41" s="200" t="s">
        <v>141</v>
      </c>
      <c r="B41" s="200" t="s">
        <v>40</v>
      </c>
      <c r="C41" s="200" t="s">
        <v>41</v>
      </c>
      <c r="D41" s="200" t="s">
        <v>42</v>
      </c>
      <c r="E41" s="200" t="s">
        <v>43</v>
      </c>
      <c r="F41" s="200" t="s">
        <v>44</v>
      </c>
      <c r="G41" s="200" t="s">
        <v>45</v>
      </c>
      <c r="H41" s="200" t="s">
        <v>46</v>
      </c>
      <c r="I41" s="200" t="s">
        <v>47</v>
      </c>
      <c r="J41" s="200" t="s">
        <v>48</v>
      </c>
      <c r="K41" s="200" t="s">
        <v>49</v>
      </c>
      <c r="L41" s="200" t="s">
        <v>50</v>
      </c>
      <c r="M41" s="200" t="s">
        <v>51</v>
      </c>
      <c r="N41" s="200" t="s">
        <v>52</v>
      </c>
      <c r="O41" s="200" t="s">
        <v>53</v>
      </c>
      <c r="P41" s="200" t="s">
        <v>54</v>
      </c>
      <c r="Q41" s="200" t="s">
        <v>55</v>
      </c>
      <c r="R41" s="200" t="s">
        <v>56</v>
      </c>
      <c r="S41" s="200" t="s">
        <v>57</v>
      </c>
      <c r="T41" s="200" t="s">
        <v>58</v>
      </c>
      <c r="U41" s="200" t="s">
        <v>59</v>
      </c>
      <c r="V41" s="200" t="s">
        <v>60</v>
      </c>
      <c r="W41" s="200" t="s">
        <v>61</v>
      </c>
      <c r="X41" s="200" t="s">
        <v>62</v>
      </c>
      <c r="Y41" s="200" t="s">
        <v>63</v>
      </c>
      <c r="Z41" s="200" t="s">
        <v>64</v>
      </c>
      <c r="AA41" s="200" t="s">
        <v>65</v>
      </c>
      <c r="AB41" s="200" t="s">
        <v>66</v>
      </c>
      <c r="AC41" s="200" t="s">
        <v>67</v>
      </c>
      <c r="AD41" s="200" t="s">
        <v>68</v>
      </c>
      <c r="AE41" s="200" t="s">
        <v>69</v>
      </c>
      <c r="AF41" s="200" t="s">
        <v>70</v>
      </c>
      <c r="AG41" s="200" t="s">
        <v>71</v>
      </c>
      <c r="AH41" s="200" t="s">
        <v>72</v>
      </c>
      <c r="AI41" s="200" t="s">
        <v>73</v>
      </c>
      <c r="AJ41" s="200" t="s">
        <v>74</v>
      </c>
      <c r="AK41" s="200" t="s">
        <v>75</v>
      </c>
      <c r="AL41" s="200" t="s">
        <v>76</v>
      </c>
      <c r="AM41" s="200" t="s">
        <v>77</v>
      </c>
      <c r="AN41" s="200" t="s">
        <v>78</v>
      </c>
      <c r="AO41" s="200" t="s">
        <v>79</v>
      </c>
      <c r="AP41" s="200" t="s">
        <v>80</v>
      </c>
      <c r="AQ41" s="200" t="s">
        <v>81</v>
      </c>
      <c r="AR41" s="200" t="s">
        <v>82</v>
      </c>
      <c r="AS41" s="200" t="s">
        <v>83</v>
      </c>
      <c r="AT41" s="200" t="s">
        <v>84</v>
      </c>
      <c r="AU41" s="200" t="s">
        <v>85</v>
      </c>
      <c r="AV41" s="200" t="s">
        <v>86</v>
      </c>
      <c r="AW41" s="200" t="s">
        <v>87</v>
      </c>
      <c r="AX41" s="200" t="s">
        <v>88</v>
      </c>
      <c r="AY41" s="200" t="s">
        <v>89</v>
      </c>
      <c r="AZ41" s="200" t="s">
        <v>90</v>
      </c>
      <c r="BA41" s="200" t="s">
        <v>91</v>
      </c>
      <c r="BB41" s="200" t="s">
        <v>92</v>
      </c>
      <c r="BC41" s="200" t="s">
        <v>93</v>
      </c>
      <c r="BD41" s="200"/>
      <c r="BE41" s="200" t="s">
        <v>94</v>
      </c>
      <c r="BF41" s="200" t="s">
        <v>95</v>
      </c>
      <c r="BG41" s="200" t="s">
        <v>96</v>
      </c>
      <c r="BH41" s="200"/>
      <c r="BI41" s="200" t="s">
        <v>97</v>
      </c>
      <c r="BJ41" s="200" t="s">
        <v>98</v>
      </c>
      <c r="BK41" s="200" t="s">
        <v>99</v>
      </c>
      <c r="BL41" s="200" t="s">
        <v>100</v>
      </c>
      <c r="BM41" s="200" t="s">
        <v>101</v>
      </c>
      <c r="BN41" s="200" t="s">
        <v>102</v>
      </c>
      <c r="BO41" s="200" t="s">
        <v>103</v>
      </c>
      <c r="BP41" s="200" t="s">
        <v>104</v>
      </c>
      <c r="BQ41" s="200" t="s">
        <v>105</v>
      </c>
      <c r="BR41" s="200"/>
    </row>
    <row r="42" spans="1:70">
      <c r="A42" t="s">
        <v>145</v>
      </c>
    </row>
    <row r="43" spans="1:70">
      <c r="A43" s="194" t="s">
        <v>159</v>
      </c>
      <c r="B43">
        <v>1.9892015224846977</v>
      </c>
      <c r="C43">
        <v>2.8485529878632976</v>
      </c>
      <c r="D43">
        <v>0.11173406293797102</v>
      </c>
      <c r="E43">
        <v>0.16000409975078908</v>
      </c>
      <c r="F43">
        <v>1.6492878711647281</v>
      </c>
      <c r="G43">
        <v>2.3617938354403831</v>
      </c>
      <c r="H43">
        <v>3.8290349246508919E-2</v>
      </c>
      <c r="I43">
        <v>5.4832095953873478E-2</v>
      </c>
      <c r="J43">
        <v>17.087944458004731</v>
      </c>
      <c r="K43">
        <v>17.087944458004728</v>
      </c>
      <c r="L43">
        <v>65.730818123238095</v>
      </c>
      <c r="M43">
        <v>65.73081812323808</v>
      </c>
      <c r="N43">
        <v>0.3050486722671234</v>
      </c>
      <c r="O43">
        <v>0.43683221484007823</v>
      </c>
      <c r="P43">
        <v>1.4169461658775926E-3</v>
      </c>
      <c r="Q43">
        <v>2.0290785970294317E-3</v>
      </c>
      <c r="R43">
        <v>84.664767806627793</v>
      </c>
      <c r="S43">
        <v>84.664767806627808</v>
      </c>
      <c r="T43">
        <v>98.731858371010631</v>
      </c>
      <c r="U43">
        <v>98.731858371010631</v>
      </c>
      <c r="V43">
        <v>1.9892015224846977</v>
      </c>
      <c r="W43">
        <v>2.8485529878632976</v>
      </c>
      <c r="X43">
        <v>0</v>
      </c>
      <c r="Y43">
        <v>0</v>
      </c>
      <c r="Z43">
        <v>0</v>
      </c>
      <c r="AA43">
        <v>0</v>
      </c>
      <c r="AB43">
        <v>0.60666666666666669</v>
      </c>
      <c r="AC43">
        <v>0.86875167067628989</v>
      </c>
      <c r="AD43">
        <v>1.4084550640924441E-2</v>
      </c>
      <c r="AE43">
        <v>2.0169192692353712E-2</v>
      </c>
      <c r="AF43">
        <v>1.6492878711647281</v>
      </c>
      <c r="AG43">
        <v>2.3617938354403831</v>
      </c>
      <c r="AH43">
        <v>3.8290349246508919E-2</v>
      </c>
      <c r="AI43">
        <v>5.4832095953873478E-2</v>
      </c>
      <c r="AJ43">
        <v>2.7424682332396637</v>
      </c>
      <c r="AK43">
        <v>3.9272371308850729</v>
      </c>
      <c r="AL43">
        <v>6.3669944031083447E-2</v>
      </c>
      <c r="AM43">
        <v>9.1175885025609263E-2</v>
      </c>
      <c r="AN43">
        <v>2.492</v>
      </c>
      <c r="AO43">
        <v>3.5685645549318368</v>
      </c>
      <c r="AP43">
        <v>1.1575299833709578E-2</v>
      </c>
      <c r="AQ43">
        <v>1.6575924839199188E-2</v>
      </c>
      <c r="AR43">
        <v>3.3153333333333332</v>
      </c>
      <c r="AS43">
        <v>4.7475846794210872</v>
      </c>
      <c r="AT43">
        <v>1.5399669896478792E-2</v>
      </c>
      <c r="AU43">
        <v>2.2052454313894479E-2</v>
      </c>
      <c r="AV43">
        <v>2.7970486722671235</v>
      </c>
      <c r="AW43">
        <v>4.0053967697719148</v>
      </c>
      <c r="AX43">
        <v>1.2992245999587169E-2</v>
      </c>
      <c r="AY43">
        <v>1.8605003436228621E-2</v>
      </c>
      <c r="AZ43">
        <v>5.4824560000038565</v>
      </c>
      <c r="BA43">
        <v>7.8509222133174719</v>
      </c>
      <c r="BB43">
        <v>2.5465919753276368E-2</v>
      </c>
      <c r="BC43">
        <v>3.6467407138956881E-2</v>
      </c>
      <c r="BE43">
        <v>153.25</v>
      </c>
      <c r="BF43">
        <v>17.802999999999997</v>
      </c>
      <c r="BG43">
        <v>6.7365672839506168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0.79374999999999996</v>
      </c>
      <c r="BP43">
        <v>0.25719999999999998</v>
      </c>
      <c r="BQ43">
        <v>0.1026</v>
      </c>
    </row>
    <row r="44" spans="1:70">
      <c r="A44" s="194" t="s">
        <v>181</v>
      </c>
      <c r="B44">
        <v>1.5168459576893727</v>
      </c>
      <c r="C44">
        <v>2.8492332490036056</v>
      </c>
      <c r="D44">
        <v>8.5942715526749924E-2</v>
      </c>
      <c r="E44">
        <v>0.16143421904323668</v>
      </c>
      <c r="F44">
        <v>0.78741290470194092</v>
      </c>
      <c r="G44">
        <v>1.4790711063296498</v>
      </c>
      <c r="H44">
        <v>1.5106416662866927E-2</v>
      </c>
      <c r="I44">
        <v>2.8375791497449367E-2</v>
      </c>
      <c r="J44">
        <v>48.088802247169831</v>
      </c>
      <c r="K44">
        <v>48.088802247169831</v>
      </c>
      <c r="L44">
        <v>82.42269100961208</v>
      </c>
      <c r="M44">
        <v>82.42269100961208</v>
      </c>
      <c r="N44">
        <v>-0.11333912453495854</v>
      </c>
      <c r="O44">
        <v>-0.21289544953522258</v>
      </c>
      <c r="P44">
        <v>-4.6166273405087754E-4</v>
      </c>
      <c r="Q44">
        <v>-8.6718417583246806E-4</v>
      </c>
      <c r="R44">
        <v>107.47202601295184</v>
      </c>
      <c r="S44">
        <v>107.47202601295184</v>
      </c>
      <c r="T44">
        <v>100.53717494405583</v>
      </c>
      <c r="U44">
        <v>100.53717494405583</v>
      </c>
      <c r="V44">
        <v>1.5168459576893727</v>
      </c>
      <c r="W44">
        <v>2.8492332490036056</v>
      </c>
      <c r="X44">
        <v>0.78848283499446292</v>
      </c>
      <c r="Y44">
        <v>1.4810808561978657</v>
      </c>
      <c r="Z44">
        <v>4.467451400858171E-2</v>
      </c>
      <c r="AA44">
        <v>8.3916306762110301E-2</v>
      </c>
      <c r="AB44">
        <v>1.1351495016611297</v>
      </c>
      <c r="AC44">
        <v>2.1322571921868825</v>
      </c>
      <c r="AD44">
        <v>2.1777699151666583E-2</v>
      </c>
      <c r="AE44">
        <v>4.0907083672653929E-2</v>
      </c>
      <c r="AF44">
        <v>1.5266155625092499</v>
      </c>
      <c r="AG44">
        <v>2.8675844090151488</v>
      </c>
      <c r="AH44">
        <v>2.9287925856398344E-2</v>
      </c>
      <c r="AI44">
        <v>5.5014243022752277E-2</v>
      </c>
      <c r="AJ44">
        <v>1.8854014095711935</v>
      </c>
      <c r="AK44">
        <v>3.5415253319800875</v>
      </c>
      <c r="AL44">
        <v>3.6171186806393807E-2</v>
      </c>
      <c r="AM44">
        <v>6.7943714114312825E-2</v>
      </c>
      <c r="AN44">
        <v>3.9161314138058332</v>
      </c>
      <c r="AO44">
        <v>7.356034919116067</v>
      </c>
      <c r="AP44">
        <v>1.5951525502056328E-2</v>
      </c>
      <c r="AQ44">
        <v>2.9963238259224229E-2</v>
      </c>
      <c r="AR44">
        <v>4.3061314138058329</v>
      </c>
      <c r="AS44">
        <v>8.0886082971037094</v>
      </c>
      <c r="AT44">
        <v>1.7540107265137689E-2</v>
      </c>
      <c r="AU44">
        <v>3.2947219562788531E-2</v>
      </c>
      <c r="AV44">
        <v>3.902995316218087</v>
      </c>
      <c r="AW44">
        <v>7.3313601617226549</v>
      </c>
      <c r="AX44">
        <v>1.5898018412143635E-2</v>
      </c>
      <c r="AY44">
        <v>2.9862730901266201E-2</v>
      </c>
      <c r="AZ44">
        <v>4.5466776059421772</v>
      </c>
      <c r="BA44">
        <v>8.5404486471944452</v>
      </c>
      <c r="BB44">
        <v>1.8519920839513229E-2</v>
      </c>
      <c r="BC44">
        <v>3.4787694793502473E-2</v>
      </c>
      <c r="BE44">
        <v>117.5</v>
      </c>
      <c r="BF44">
        <v>17.6495</v>
      </c>
      <c r="BG44">
        <v>5.1205339506172844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0.97624999999999995</v>
      </c>
      <c r="BP44">
        <v>0.17899999999999999</v>
      </c>
      <c r="BQ44">
        <v>4.2800000000000005E-2</v>
      </c>
    </row>
    <row r="45" spans="1:70">
      <c r="A45" s="194"/>
    </row>
    <row r="46" spans="1:70">
      <c r="A46" s="194"/>
    </row>
    <row r="47" spans="1:70">
      <c r="A47" s="194"/>
    </row>
    <row r="48" spans="1:70">
      <c r="A48" s="194"/>
    </row>
    <row r="49" spans="1:70">
      <c r="A49" s="194"/>
    </row>
    <row r="50" spans="1:70">
      <c r="A50" s="194"/>
    </row>
    <row r="51" spans="1:70">
      <c r="A51" s="194"/>
    </row>
    <row r="56" spans="1:70">
      <c r="A56" t="s">
        <v>142</v>
      </c>
      <c r="B56" s="57">
        <f t="shared" ref="B56:AG56" si="19">AVERAGE(B43:B55)</f>
        <v>1.7530237400870352</v>
      </c>
      <c r="C56" s="57">
        <f t="shared" si="19"/>
        <v>2.8488931184334518</v>
      </c>
      <c r="D56" s="57">
        <f t="shared" si="19"/>
        <v>9.8838389232360463E-2</v>
      </c>
      <c r="E56" s="57">
        <f t="shared" si="19"/>
        <v>0.16071915939701287</v>
      </c>
      <c r="F56" s="57">
        <f t="shared" si="19"/>
        <v>1.2183503879333344</v>
      </c>
      <c r="G56" s="57">
        <f t="shared" si="19"/>
        <v>1.9204324708850165</v>
      </c>
      <c r="H56" s="57">
        <f t="shared" si="19"/>
        <v>2.6698382954687922E-2</v>
      </c>
      <c r="I56" s="57">
        <f t="shared" si="19"/>
        <v>4.1603943725661424E-2</v>
      </c>
      <c r="J56" s="57">
        <f t="shared" si="19"/>
        <v>32.588373352587283</v>
      </c>
      <c r="K56" s="57">
        <f t="shared" si="19"/>
        <v>32.588373352587283</v>
      </c>
      <c r="L56" s="57">
        <f t="shared" si="19"/>
        <v>74.07675456642508</v>
      </c>
      <c r="M56" s="57">
        <f t="shared" si="19"/>
        <v>74.07675456642508</v>
      </c>
      <c r="N56" s="57">
        <f t="shared" si="19"/>
        <v>9.5854773866082432E-2</v>
      </c>
      <c r="O56" s="57">
        <f t="shared" si="19"/>
        <v>0.11196838265242783</v>
      </c>
      <c r="P56" s="57">
        <f t="shared" si="19"/>
        <v>4.7764171591335752E-4</v>
      </c>
      <c r="Q56" s="57">
        <f t="shared" si="19"/>
        <v>5.8094721059848186E-4</v>
      </c>
      <c r="R56" s="57">
        <f t="shared" si="19"/>
        <v>96.068396909789811</v>
      </c>
      <c r="S56" s="57">
        <f t="shared" si="19"/>
        <v>96.068396909789826</v>
      </c>
      <c r="T56" s="57">
        <f t="shared" si="19"/>
        <v>99.634516657533226</v>
      </c>
      <c r="U56" s="57">
        <f t="shared" si="19"/>
        <v>99.634516657533226</v>
      </c>
      <c r="V56" s="57">
        <f t="shared" si="19"/>
        <v>1.7530237400870352</v>
      </c>
      <c r="W56" s="57">
        <f t="shared" si="19"/>
        <v>2.8488931184334518</v>
      </c>
      <c r="X56" s="57">
        <f t="shared" si="19"/>
        <v>0.39424141749723146</v>
      </c>
      <c r="Y56" s="57">
        <f t="shared" si="19"/>
        <v>0.74054042809893283</v>
      </c>
      <c r="Z56" s="57">
        <f t="shared" si="19"/>
        <v>2.2337257004290855E-2</v>
      </c>
      <c r="AA56" s="57">
        <f t="shared" si="19"/>
        <v>4.1958153381055151E-2</v>
      </c>
      <c r="AB56" s="57">
        <f t="shared" si="19"/>
        <v>0.8709080841638982</v>
      </c>
      <c r="AC56" s="57">
        <f t="shared" si="19"/>
        <v>1.5005044314315863</v>
      </c>
      <c r="AD56" s="57">
        <f t="shared" si="19"/>
        <v>1.7931124896295513E-2</v>
      </c>
      <c r="AE56" s="57">
        <f t="shared" si="19"/>
        <v>3.053813818250382E-2</v>
      </c>
      <c r="AF56" s="57">
        <f t="shared" si="19"/>
        <v>1.587951716836989</v>
      </c>
      <c r="AG56" s="57">
        <f t="shared" si="19"/>
        <v>2.6146891222277659</v>
      </c>
      <c r="AH56" s="57">
        <f t="shared" ref="AH56:BM56" si="20">AVERAGE(AH43:AH55)</f>
        <v>3.378913755145363E-2</v>
      </c>
      <c r="AI56" s="57">
        <f t="shared" si="20"/>
        <v>5.4923169488312877E-2</v>
      </c>
      <c r="AJ56" s="57">
        <f t="shared" si="20"/>
        <v>2.3139348214054287</v>
      </c>
      <c r="AK56" s="57">
        <f t="shared" si="20"/>
        <v>3.7343812314325802</v>
      </c>
      <c r="AL56" s="57">
        <f t="shared" si="20"/>
        <v>4.9920565418738627E-2</v>
      </c>
      <c r="AM56" s="57">
        <f t="shared" si="20"/>
        <v>7.9559799569961037E-2</v>
      </c>
      <c r="AN56" s="57">
        <f t="shared" si="20"/>
        <v>3.2040657069029166</v>
      </c>
      <c r="AO56" s="57">
        <f t="shared" si="20"/>
        <v>5.4622997370239519</v>
      </c>
      <c r="AP56" s="57">
        <f t="shared" si="20"/>
        <v>1.3763412667882953E-2</v>
      </c>
      <c r="AQ56" s="57">
        <f t="shared" si="20"/>
        <v>2.3269581549211708E-2</v>
      </c>
      <c r="AR56" s="57">
        <f t="shared" si="20"/>
        <v>3.8107323735695831</v>
      </c>
      <c r="AS56" s="57">
        <f t="shared" si="20"/>
        <v>6.4180964882623979</v>
      </c>
      <c r="AT56" s="57">
        <f t="shared" si="20"/>
        <v>1.646988858080824E-2</v>
      </c>
      <c r="AU56" s="57">
        <f t="shared" si="20"/>
        <v>2.7499836938341505E-2</v>
      </c>
      <c r="AV56" s="57">
        <f t="shared" si="20"/>
        <v>3.3500219942426055</v>
      </c>
      <c r="AW56" s="57">
        <f t="shared" si="20"/>
        <v>5.6683784657472849</v>
      </c>
      <c r="AX56" s="57">
        <f t="shared" si="20"/>
        <v>1.4445132205865402E-2</v>
      </c>
      <c r="AY56" s="57">
        <f t="shared" si="20"/>
        <v>2.4233867168747411E-2</v>
      </c>
      <c r="AZ56" s="57">
        <f t="shared" si="20"/>
        <v>5.0145668029730164</v>
      </c>
      <c r="BA56" s="57">
        <f t="shared" si="20"/>
        <v>8.1956854302559581</v>
      </c>
      <c r="BB56" s="57">
        <f t="shared" si="20"/>
        <v>2.1992920296394797E-2</v>
      </c>
      <c r="BC56" s="57">
        <f t="shared" si="20"/>
        <v>3.5627550966229674E-2</v>
      </c>
      <c r="BD56" s="57"/>
      <c r="BE56" s="57">
        <f t="shared" si="20"/>
        <v>135.375</v>
      </c>
      <c r="BF56" s="57">
        <f t="shared" si="20"/>
        <v>17.72625</v>
      </c>
      <c r="BG56" s="57">
        <f t="shared" si="20"/>
        <v>5.9285506172839506</v>
      </c>
      <c r="BH56" s="57"/>
      <c r="BI56" s="57">
        <f t="shared" si="20"/>
        <v>0</v>
      </c>
      <c r="BJ56" s="57">
        <f t="shared" si="20"/>
        <v>0</v>
      </c>
      <c r="BK56" s="57">
        <f t="shared" si="20"/>
        <v>0</v>
      </c>
      <c r="BL56" s="57">
        <f t="shared" si="20"/>
        <v>0</v>
      </c>
      <c r="BM56" s="57">
        <f t="shared" si="20"/>
        <v>0</v>
      </c>
      <c r="BN56" s="57">
        <f t="shared" ref="BN56:BR56" si="21">AVERAGE(BN43:BN55)</f>
        <v>0</v>
      </c>
      <c r="BO56" s="57">
        <f t="shared" si="21"/>
        <v>0.88500000000000001</v>
      </c>
      <c r="BP56" s="57">
        <f t="shared" si="21"/>
        <v>0.21809999999999999</v>
      </c>
      <c r="BQ56" s="57">
        <f t="shared" si="21"/>
        <v>7.2700000000000001E-2</v>
      </c>
      <c r="BR56" s="57" t="e">
        <f t="shared" si="21"/>
        <v>#DIV/0!</v>
      </c>
    </row>
    <row r="57" spans="1:70">
      <c r="A57" t="s">
        <v>143</v>
      </c>
      <c r="B57" s="57">
        <f t="shared" ref="B57:AG57" si="22">STDEV(B43:B55)</f>
        <v>0.33400582299797604</v>
      </c>
      <c r="C57" s="57">
        <f t="shared" si="22"/>
        <v>4.810172652895215E-4</v>
      </c>
      <c r="D57" s="57">
        <f t="shared" si="22"/>
        <v>1.8237236650412623E-2</v>
      </c>
      <c r="E57" s="57">
        <f t="shared" si="22"/>
        <v>1.0112470495954062E-3</v>
      </c>
      <c r="F57" s="57">
        <f t="shared" si="22"/>
        <v>0.60943763332076539</v>
      </c>
      <c r="G57" s="57">
        <f t="shared" si="22"/>
        <v>0.62417922766169553</v>
      </c>
      <c r="H57" s="57">
        <f t="shared" si="22"/>
        <v>1.6393515944465007E-2</v>
      </c>
      <c r="I57" s="57">
        <f t="shared" si="22"/>
        <v>1.8707432286273362E-2</v>
      </c>
      <c r="J57" s="57">
        <f t="shared" si="22"/>
        <v>21.920916765318434</v>
      </c>
      <c r="K57" s="57">
        <f t="shared" si="22"/>
        <v>21.920916765318434</v>
      </c>
      <c r="L57" s="57">
        <f t="shared" si="22"/>
        <v>11.802936508659023</v>
      </c>
      <c r="M57" s="57">
        <f t="shared" si="22"/>
        <v>11.802936508658947</v>
      </c>
      <c r="N57" s="57">
        <f t="shared" si="22"/>
        <v>0.29584484828445146</v>
      </c>
      <c r="O57" s="57">
        <f t="shared" si="22"/>
        <v>0.45942683740427237</v>
      </c>
      <c r="P57" s="57">
        <f t="shared" si="22"/>
        <v>1.3283770923368215E-3</v>
      </c>
      <c r="Q57" s="57">
        <f t="shared" si="22"/>
        <v>2.0479670467888028E-3</v>
      </c>
      <c r="R57" s="57">
        <f t="shared" si="22"/>
        <v>16.127166937964347</v>
      </c>
      <c r="S57" s="57">
        <f t="shared" si="22"/>
        <v>16.127166937964233</v>
      </c>
      <c r="T57" s="57">
        <f t="shared" si="22"/>
        <v>1.2765515909887226</v>
      </c>
      <c r="U57" s="57">
        <f t="shared" si="22"/>
        <v>1.2765515909887226</v>
      </c>
      <c r="V57" s="57">
        <f t="shared" si="22"/>
        <v>0.33400582299797604</v>
      </c>
      <c r="W57" s="57">
        <f t="shared" si="22"/>
        <v>4.810172652895215E-4</v>
      </c>
      <c r="X57" s="57">
        <f t="shared" si="22"/>
        <v>0.55754155947377837</v>
      </c>
      <c r="Y57" s="57">
        <f t="shared" si="22"/>
        <v>1.0472823169030887</v>
      </c>
      <c r="Z57" s="57">
        <f t="shared" si="22"/>
        <v>3.1589651801681537E-2</v>
      </c>
      <c r="AA57" s="57">
        <f t="shared" si="22"/>
        <v>5.9337789563618723E-2</v>
      </c>
      <c r="AB57" s="57">
        <f t="shared" si="22"/>
        <v>0.37369379636527622</v>
      </c>
      <c r="AC57" s="57">
        <f t="shared" si="22"/>
        <v>0.89343332232678485</v>
      </c>
      <c r="AD57" s="57">
        <f t="shared" si="22"/>
        <v>5.4398774806209442E-3</v>
      </c>
      <c r="AE57" s="57">
        <f t="shared" si="22"/>
        <v>1.4663903339677625E-2</v>
      </c>
      <c r="AF57" s="57">
        <f t="shared" si="22"/>
        <v>8.6742421314097831E-2</v>
      </c>
      <c r="AG57" s="57">
        <f t="shared" si="22"/>
        <v>0.35764794443495018</v>
      </c>
      <c r="AH57" s="57">
        <f t="shared" ref="AH57:BR57" si="23">STDEV(AH43:AH55)</f>
        <v>6.3656746262596015E-3</v>
      </c>
      <c r="AI57" s="57">
        <f t="shared" si="23"/>
        <v>1.2879742757745195E-4</v>
      </c>
      <c r="AJ57" s="57">
        <f t="shared" si="23"/>
        <v>0.60603776294598899</v>
      </c>
      <c r="AK57" s="57">
        <f t="shared" si="23"/>
        <v>0.27273942858937716</v>
      </c>
      <c r="AL57" s="57">
        <f t="shared" si="23"/>
        <v>1.9444557707780617E-2</v>
      </c>
      <c r="AM57" s="57">
        <f t="shared" si="23"/>
        <v>1.6427625593062628E-2</v>
      </c>
      <c r="AN57" s="57">
        <f t="shared" si="23"/>
        <v>1.0070129800028891</v>
      </c>
      <c r="AO57" s="57">
        <f t="shared" si="23"/>
        <v>2.6781459780577532</v>
      </c>
      <c r="AP57" s="57">
        <f t="shared" si="23"/>
        <v>3.0944588460906182E-3</v>
      </c>
      <c r="AQ57" s="57">
        <f t="shared" si="23"/>
        <v>9.4662601011693739E-3</v>
      </c>
      <c r="AR57" s="57">
        <f t="shared" si="23"/>
        <v>0.70060004148871946</v>
      </c>
      <c r="AS57" s="57">
        <f t="shared" si="23"/>
        <v>2.3624604561677955</v>
      </c>
      <c r="AT57" s="57">
        <f t="shared" si="23"/>
        <v>1.5135177780837962E-3</v>
      </c>
      <c r="AU57" s="57">
        <f t="shared" si="23"/>
        <v>7.7037623869285346E-3</v>
      </c>
      <c r="AV57" s="57">
        <f t="shared" si="23"/>
        <v>0.78202237156822785</v>
      </c>
      <c r="AW57" s="57">
        <f t="shared" si="23"/>
        <v>2.3518112684265793</v>
      </c>
      <c r="AX57" s="57">
        <f t="shared" si="23"/>
        <v>2.0546913775034712E-3</v>
      </c>
      <c r="AY57" s="57">
        <f t="shared" si="23"/>
        <v>7.9604154312781141E-3</v>
      </c>
      <c r="AZ57" s="57">
        <f t="shared" si="23"/>
        <v>0.66169524812887071</v>
      </c>
      <c r="BA57" s="57">
        <f t="shared" si="23"/>
        <v>0.48756881720178541</v>
      </c>
      <c r="BB57" s="57">
        <f t="shared" si="23"/>
        <v>4.9115629340363348E-3</v>
      </c>
      <c r="BC57" s="57">
        <f t="shared" si="23"/>
        <v>1.1877359899135726E-3</v>
      </c>
      <c r="BD57" s="57"/>
      <c r="BE57" s="57">
        <f t="shared" si="23"/>
        <v>25.279067427419076</v>
      </c>
      <c r="BF57" s="57">
        <f t="shared" si="23"/>
        <v>0.1085408909121333</v>
      </c>
      <c r="BG57" s="57">
        <f t="shared" si="23"/>
        <v>1.1427081286235006</v>
      </c>
      <c r="BH57" s="57"/>
      <c r="BI57" s="57">
        <f t="shared" si="23"/>
        <v>0</v>
      </c>
      <c r="BJ57" s="57">
        <f t="shared" si="23"/>
        <v>0</v>
      </c>
      <c r="BK57" s="57">
        <f t="shared" si="23"/>
        <v>0</v>
      </c>
      <c r="BL57" s="57">
        <f t="shared" si="23"/>
        <v>0</v>
      </c>
      <c r="BM57" s="57">
        <f t="shared" si="23"/>
        <v>0</v>
      </c>
      <c r="BN57" s="57">
        <f t="shared" si="23"/>
        <v>0</v>
      </c>
      <c r="BO57" s="57">
        <f t="shared" si="23"/>
        <v>0.12904698756654381</v>
      </c>
      <c r="BP57" s="57">
        <f t="shared" si="23"/>
        <v>5.5295750288787991E-2</v>
      </c>
      <c r="BQ57" s="57">
        <f t="shared" si="23"/>
        <v>4.2284985514955555E-2</v>
      </c>
      <c r="BR57" s="57" t="e">
        <f t="shared" si="23"/>
        <v>#DIV/0!</v>
      </c>
    </row>
    <row r="58" spans="1:70" ht="13.5" thickBot="1">
      <c r="A58" t="s">
        <v>144</v>
      </c>
      <c r="B58" s="193">
        <f t="shared" ref="B58:AG58" si="24">B57/(SQRT(COUNT(B43:B55)))</f>
        <v>0.23617778239766254</v>
      </c>
      <c r="C58" s="193">
        <f t="shared" si="24"/>
        <v>3.4013057015402914E-4</v>
      </c>
      <c r="D58" s="193">
        <f t="shared" si="24"/>
        <v>1.2895673705610603E-2</v>
      </c>
      <c r="E58" s="193">
        <f t="shared" si="24"/>
        <v>7.1505964622380058E-4</v>
      </c>
      <c r="F58" s="193">
        <f t="shared" si="24"/>
        <v>0.4309374832313938</v>
      </c>
      <c r="G58" s="193">
        <f t="shared" si="24"/>
        <v>0.44136136455536673</v>
      </c>
      <c r="H58" s="193">
        <f t="shared" si="24"/>
        <v>1.1591966291820995E-2</v>
      </c>
      <c r="I58" s="193">
        <f t="shared" si="24"/>
        <v>1.3228152228212052E-2</v>
      </c>
      <c r="J58" s="193">
        <f t="shared" si="24"/>
        <v>15.500428894582543</v>
      </c>
      <c r="K58" s="193">
        <f t="shared" si="24"/>
        <v>15.500428894582543</v>
      </c>
      <c r="L58" s="193">
        <f t="shared" si="24"/>
        <v>8.3459364431870693</v>
      </c>
      <c r="M58" s="193">
        <f t="shared" si="24"/>
        <v>8.3459364431870142</v>
      </c>
      <c r="N58" s="193">
        <f t="shared" si="24"/>
        <v>0.20919389840104094</v>
      </c>
      <c r="O58" s="193">
        <f t="shared" si="24"/>
        <v>0.32486383218765036</v>
      </c>
      <c r="P58" s="193">
        <f t="shared" si="24"/>
        <v>9.39304449964235E-4</v>
      </c>
      <c r="Q58" s="193">
        <f t="shared" si="24"/>
        <v>1.4481313864309498E-3</v>
      </c>
      <c r="R58" s="193">
        <f t="shared" si="24"/>
        <v>11.403629103162078</v>
      </c>
      <c r="S58" s="193">
        <f t="shared" si="24"/>
        <v>11.403629103161999</v>
      </c>
      <c r="T58" s="193">
        <f t="shared" si="24"/>
        <v>0.90265828652260172</v>
      </c>
      <c r="U58" s="193">
        <f t="shared" si="24"/>
        <v>0.90265828652260172</v>
      </c>
      <c r="V58" s="193">
        <f t="shared" si="24"/>
        <v>0.23617778239766254</v>
      </c>
      <c r="W58" s="193">
        <f t="shared" si="24"/>
        <v>3.4013057015402914E-4</v>
      </c>
      <c r="X58" s="193">
        <f t="shared" si="24"/>
        <v>0.39424141749723146</v>
      </c>
      <c r="Y58" s="193">
        <f t="shared" si="24"/>
        <v>0.74054042809893283</v>
      </c>
      <c r="Z58" s="193">
        <f t="shared" si="24"/>
        <v>2.2337257004290852E-2</v>
      </c>
      <c r="AA58" s="193">
        <f t="shared" si="24"/>
        <v>4.1958153381055144E-2</v>
      </c>
      <c r="AB58" s="193">
        <f t="shared" si="24"/>
        <v>0.26424141749723162</v>
      </c>
      <c r="AC58" s="193">
        <f t="shared" si="24"/>
        <v>0.63175276075529596</v>
      </c>
      <c r="AD58" s="193">
        <f t="shared" si="24"/>
        <v>3.8465742553710613E-3</v>
      </c>
      <c r="AE58" s="193">
        <f t="shared" si="24"/>
        <v>1.0368945490150109E-2</v>
      </c>
      <c r="AF58" s="193">
        <f t="shared" si="24"/>
        <v>6.133615432773909E-2</v>
      </c>
      <c r="AG58" s="193">
        <f t="shared" si="24"/>
        <v>0.25289528678738282</v>
      </c>
      <c r="AH58" s="193">
        <f t="shared" ref="AH58:BM58" si="25">AH57/(SQRT(COUNT(AH43:AH55)))</f>
        <v>4.5012116950553056E-3</v>
      </c>
      <c r="AI58" s="193">
        <f t="shared" si="25"/>
        <v>9.1073534439399515E-5</v>
      </c>
      <c r="AJ58" s="193">
        <f t="shared" si="25"/>
        <v>0.42853341183423416</v>
      </c>
      <c r="AK58" s="193">
        <f t="shared" si="25"/>
        <v>0.19285589945249271</v>
      </c>
      <c r="AL58" s="193">
        <f t="shared" si="25"/>
        <v>1.3749378612344824E-2</v>
      </c>
      <c r="AM58" s="193">
        <f t="shared" si="25"/>
        <v>1.1616085455648262E-2</v>
      </c>
      <c r="AN58" s="193">
        <f t="shared" si="25"/>
        <v>0.71206570690291604</v>
      </c>
      <c r="AO58" s="193">
        <f t="shared" si="25"/>
        <v>1.893735182092116</v>
      </c>
      <c r="AP58" s="193">
        <f t="shared" si="25"/>
        <v>2.1881128341733748E-3</v>
      </c>
      <c r="AQ58" s="193">
        <f t="shared" si="25"/>
        <v>6.6936567100125176E-3</v>
      </c>
      <c r="AR58" s="193">
        <f t="shared" si="25"/>
        <v>0.49539904023625003</v>
      </c>
      <c r="AS58" s="193">
        <f t="shared" si="25"/>
        <v>1.6705118088413125</v>
      </c>
      <c r="AT58" s="193">
        <f t="shared" si="25"/>
        <v>1.0702186843294483E-3</v>
      </c>
      <c r="AU58" s="193">
        <f t="shared" si="25"/>
        <v>5.4473826244470303E-3</v>
      </c>
      <c r="AV58" s="193">
        <f t="shared" si="25"/>
        <v>0.55297332197547977</v>
      </c>
      <c r="AW58" s="193">
        <f t="shared" si="25"/>
        <v>1.6629816959753698</v>
      </c>
      <c r="AX58" s="193">
        <f t="shared" si="25"/>
        <v>1.4528862062782328E-3</v>
      </c>
      <c r="AY58" s="193">
        <f t="shared" si="25"/>
        <v>5.6288637325187891E-3</v>
      </c>
      <c r="AZ58" s="193">
        <f t="shared" si="25"/>
        <v>0.46788919703083964</v>
      </c>
      <c r="BA58" s="193">
        <f t="shared" si="25"/>
        <v>0.34476321693848666</v>
      </c>
      <c r="BB58" s="193">
        <f t="shared" si="25"/>
        <v>3.4729994568815877E-3</v>
      </c>
      <c r="BC58" s="193">
        <f t="shared" si="25"/>
        <v>8.39856172727204E-4</v>
      </c>
      <c r="BD58" s="193"/>
      <c r="BE58" s="193">
        <f t="shared" si="25"/>
        <v>17.875</v>
      </c>
      <c r="BF58" s="193">
        <f t="shared" si="25"/>
        <v>7.6749999999998764E-2</v>
      </c>
      <c r="BG58" s="193">
        <f t="shared" si="25"/>
        <v>0.80801666666666672</v>
      </c>
      <c r="BH58" s="193"/>
      <c r="BI58" s="193">
        <f t="shared" si="25"/>
        <v>0</v>
      </c>
      <c r="BJ58" s="193">
        <f t="shared" si="25"/>
        <v>0</v>
      </c>
      <c r="BK58" s="193">
        <f t="shared" si="25"/>
        <v>0</v>
      </c>
      <c r="BL58" s="193">
        <f t="shared" si="25"/>
        <v>0</v>
      </c>
      <c r="BM58" s="193">
        <f t="shared" si="25"/>
        <v>0</v>
      </c>
      <c r="BN58" s="193">
        <f t="shared" ref="BN58:BR58" si="26">BN57/(SQRT(COUNT(BN43:BN55)))</f>
        <v>0</v>
      </c>
      <c r="BO58" s="193">
        <f t="shared" si="26"/>
        <v>9.1249999999999207E-2</v>
      </c>
      <c r="BP58" s="193">
        <f t="shared" si="26"/>
        <v>3.9099999999999982E-2</v>
      </c>
      <c r="BQ58" s="193">
        <f t="shared" si="26"/>
        <v>2.9900000000000006E-2</v>
      </c>
      <c r="BR58" s="193" t="e">
        <f t="shared" si="26"/>
        <v>#DIV/0!</v>
      </c>
    </row>
    <row r="59" spans="1:70">
      <c r="A59" s="201" t="s">
        <v>146</v>
      </c>
      <c r="B59" s="202" t="s">
        <v>40</v>
      </c>
      <c r="C59" s="202" t="s">
        <v>41</v>
      </c>
      <c r="D59" s="202" t="s">
        <v>42</v>
      </c>
      <c r="E59" s="202" t="s">
        <v>43</v>
      </c>
      <c r="F59" s="202" t="s">
        <v>44</v>
      </c>
      <c r="G59" s="202" t="s">
        <v>45</v>
      </c>
      <c r="H59" s="202" t="s">
        <v>46</v>
      </c>
      <c r="I59" s="202" t="s">
        <v>47</v>
      </c>
      <c r="J59" s="202" t="s">
        <v>48</v>
      </c>
      <c r="K59" s="202" t="s">
        <v>49</v>
      </c>
      <c r="L59" s="202" t="s">
        <v>50</v>
      </c>
      <c r="M59" s="202" t="s">
        <v>51</v>
      </c>
      <c r="N59" s="202" t="s">
        <v>52</v>
      </c>
      <c r="O59" s="202" t="s">
        <v>53</v>
      </c>
      <c r="P59" s="202" t="s">
        <v>54</v>
      </c>
      <c r="Q59" s="202" t="s">
        <v>55</v>
      </c>
      <c r="R59" s="202" t="s">
        <v>56</v>
      </c>
      <c r="S59" s="202" t="s">
        <v>57</v>
      </c>
      <c r="T59" s="202" t="s">
        <v>58</v>
      </c>
      <c r="U59" s="202" t="s">
        <v>59</v>
      </c>
      <c r="V59" s="202" t="s">
        <v>60</v>
      </c>
      <c r="W59" s="202" t="s">
        <v>61</v>
      </c>
      <c r="X59" s="202" t="s">
        <v>62</v>
      </c>
      <c r="Y59" s="202" t="s">
        <v>63</v>
      </c>
      <c r="Z59" s="202" t="s">
        <v>64</v>
      </c>
      <c r="AA59" s="202" t="s">
        <v>65</v>
      </c>
      <c r="AB59" s="202" t="s">
        <v>66</v>
      </c>
      <c r="AC59" s="202" t="s">
        <v>67</v>
      </c>
      <c r="AD59" s="202" t="s">
        <v>68</v>
      </c>
      <c r="AE59" s="202" t="s">
        <v>69</v>
      </c>
      <c r="AF59" s="202" t="s">
        <v>70</v>
      </c>
      <c r="AG59" s="202" t="s">
        <v>71</v>
      </c>
      <c r="AH59" s="202" t="s">
        <v>72</v>
      </c>
      <c r="AI59" s="202" t="s">
        <v>73</v>
      </c>
      <c r="AJ59" s="202" t="s">
        <v>74</v>
      </c>
      <c r="AK59" s="202" t="s">
        <v>75</v>
      </c>
      <c r="AL59" s="202" t="s">
        <v>76</v>
      </c>
      <c r="AM59" s="202" t="s">
        <v>77</v>
      </c>
      <c r="AN59" s="202" t="s">
        <v>78</v>
      </c>
      <c r="AO59" s="202" t="s">
        <v>79</v>
      </c>
      <c r="AP59" s="202" t="s">
        <v>80</v>
      </c>
      <c r="AQ59" s="202" t="s">
        <v>81</v>
      </c>
      <c r="AR59" s="202" t="s">
        <v>82</v>
      </c>
      <c r="AS59" s="202" t="s">
        <v>83</v>
      </c>
      <c r="AT59" s="202" t="s">
        <v>84</v>
      </c>
      <c r="AU59" s="202" t="s">
        <v>85</v>
      </c>
      <c r="AV59" s="202" t="s">
        <v>86</v>
      </c>
      <c r="AW59" s="202" t="s">
        <v>87</v>
      </c>
      <c r="AX59" s="202" t="s">
        <v>88</v>
      </c>
      <c r="AY59" s="202" t="s">
        <v>89</v>
      </c>
      <c r="AZ59" s="202" t="s">
        <v>90</v>
      </c>
      <c r="BA59" s="202" t="s">
        <v>91</v>
      </c>
      <c r="BB59" s="202" t="s">
        <v>92</v>
      </c>
      <c r="BC59" s="202" t="s">
        <v>93</v>
      </c>
      <c r="BD59" s="202"/>
      <c r="BE59" s="202" t="s">
        <v>94</v>
      </c>
      <c r="BF59" s="202" t="s">
        <v>95</v>
      </c>
      <c r="BG59" s="202" t="s">
        <v>96</v>
      </c>
      <c r="BH59" s="202"/>
      <c r="BI59" s="202" t="s">
        <v>97</v>
      </c>
      <c r="BJ59" s="202" t="s">
        <v>98</v>
      </c>
      <c r="BK59" s="202" t="s">
        <v>99</v>
      </c>
      <c r="BL59" s="202" t="s">
        <v>100</v>
      </c>
      <c r="BM59" s="202" t="s">
        <v>101</v>
      </c>
      <c r="BN59" s="202" t="s">
        <v>102</v>
      </c>
      <c r="BO59" s="202" t="s">
        <v>103</v>
      </c>
      <c r="BP59" s="202" t="s">
        <v>104</v>
      </c>
      <c r="BQ59" s="202" t="s">
        <v>105</v>
      </c>
      <c r="BR59" s="202"/>
    </row>
    <row r="60" spans="1:70">
      <c r="A60" s="194" t="s">
        <v>160</v>
      </c>
      <c r="B60">
        <v>2.3637003428921513</v>
      </c>
      <c r="C60">
        <v>3.3171416199368604</v>
      </c>
      <c r="D60">
        <v>9.8156236987340675E-2</v>
      </c>
      <c r="E60">
        <v>0.13774933017469623</v>
      </c>
      <c r="F60">
        <v>1.7408635857698278</v>
      </c>
      <c r="G60">
        <v>2.4430723938229342</v>
      </c>
      <c r="H60">
        <v>3.2849085885482021E-2</v>
      </c>
      <c r="I60">
        <v>4.6099358700556162E-2</v>
      </c>
      <c r="J60">
        <v>26.35007263062117</v>
      </c>
      <c r="K60">
        <v>26.35007263062117</v>
      </c>
      <c r="L60">
        <v>66.533878137852199</v>
      </c>
      <c r="M60">
        <v>66.533878137852213</v>
      </c>
      <c r="N60">
        <v>-0.69738829764803179</v>
      </c>
      <c r="O60">
        <v>-0.97869247865601905</v>
      </c>
      <c r="P60">
        <v>-3.7180954845122882E-3</v>
      </c>
      <c r="Q60">
        <v>-5.2178565339988017E-3</v>
      </c>
      <c r="R60">
        <v>129.50409089481829</v>
      </c>
      <c r="S60">
        <v>129.50409089481829</v>
      </c>
      <c r="T60">
        <v>103.78793604831429</v>
      </c>
      <c r="U60">
        <v>103.78793604831431</v>
      </c>
      <c r="V60">
        <v>2.3637003428921513</v>
      </c>
      <c r="W60">
        <v>3.3171416199368604</v>
      </c>
      <c r="X60">
        <v>0</v>
      </c>
      <c r="Y60">
        <v>0</v>
      </c>
      <c r="Z60">
        <v>0</v>
      </c>
      <c r="AA60">
        <v>0</v>
      </c>
      <c r="AB60">
        <v>0.17333333333333334</v>
      </c>
      <c r="AC60">
        <v>0.24325046778936116</v>
      </c>
      <c r="AD60">
        <v>3.2706994390750465E-3</v>
      </c>
      <c r="AE60">
        <v>4.5899952031927278E-3</v>
      </c>
      <c r="AF60">
        <v>1.7408635857698278</v>
      </c>
      <c r="AG60">
        <v>2.4430723938229342</v>
      </c>
      <c r="AH60">
        <v>3.2849085885482021E-2</v>
      </c>
      <c r="AI60">
        <v>4.6099358700556162E-2</v>
      </c>
      <c r="AJ60">
        <v>1.483861158370833</v>
      </c>
      <c r="AK60">
        <v>2.082403389854818</v>
      </c>
      <c r="AL60">
        <v>2.7999599182781148E-2</v>
      </c>
      <c r="AM60">
        <v>3.9293743841112283E-2</v>
      </c>
      <c r="AN60">
        <v>3.1059183673469386</v>
      </c>
      <c r="AO60">
        <v>4.3587467063810292</v>
      </c>
      <c r="AP60">
        <v>1.655906916683695E-2</v>
      </c>
      <c r="AQ60">
        <v>2.3238469159554662E-2</v>
      </c>
      <c r="AR60">
        <v>3.7125850340136051</v>
      </c>
      <c r="AS60">
        <v>5.2101233436437928</v>
      </c>
      <c r="AT60">
        <v>1.9793486207594156E-2</v>
      </c>
      <c r="AU60">
        <v>2.7777546802958925E-2</v>
      </c>
      <c r="AV60">
        <v>2.6855198656172741</v>
      </c>
      <c r="AW60">
        <v>3.7687728667443703</v>
      </c>
      <c r="AX60">
        <v>1.4317732774688773E-2</v>
      </c>
      <c r="AY60">
        <v>2.0093049202650645E-2</v>
      </c>
      <c r="AZ60">
        <v>4.8383897326291088</v>
      </c>
      <c r="BA60">
        <v>6.7900417258227277</v>
      </c>
      <c r="BB60">
        <v>2.5795665166549957E-2</v>
      </c>
      <c r="BC60">
        <v>3.6200813184813496E-2</v>
      </c>
      <c r="BE60">
        <v>162</v>
      </c>
      <c r="BF60">
        <v>24.081000000000003</v>
      </c>
      <c r="BG60">
        <v>9.6324000000000023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0.6256666666666667</v>
      </c>
      <c r="BP60">
        <v>0.23359999999999997</v>
      </c>
      <c r="BQ60">
        <v>7.1200000000000013E-2</v>
      </c>
    </row>
    <row r="61" spans="1:70">
      <c r="A61" s="194" t="s">
        <v>182</v>
      </c>
      <c r="B61">
        <v>1.6154210066070176</v>
      </c>
      <c r="C61">
        <v>3.0579184074478105</v>
      </c>
      <c r="D61">
        <v>8.1039493653076694E-2</v>
      </c>
      <c r="E61">
        <v>0.15340407135876644</v>
      </c>
      <c r="F61">
        <v>0.57179727827995486</v>
      </c>
      <c r="G61">
        <v>1.0823862110431197</v>
      </c>
      <c r="H61">
        <v>1.0070328463342189E-2</v>
      </c>
      <c r="I61">
        <v>1.9062673229549628E-2</v>
      </c>
      <c r="J61">
        <v>64.603823031808844</v>
      </c>
      <c r="K61">
        <v>64.603823031808844</v>
      </c>
      <c r="L61">
        <v>87.573554560382092</v>
      </c>
      <c r="M61">
        <v>87.573554560382092</v>
      </c>
      <c r="N61">
        <v>-1.6138879067318181</v>
      </c>
      <c r="O61">
        <v>-3.0550163191936313</v>
      </c>
      <c r="P61">
        <v>-6.1558362705850279E-3</v>
      </c>
      <c r="Q61">
        <v>-1.1652717754732126E-2</v>
      </c>
      <c r="R61">
        <v>199.90509595523835</v>
      </c>
      <c r="S61">
        <v>199.90509595523832</v>
      </c>
      <c r="T61">
        <v>107.59609419197218</v>
      </c>
      <c r="U61">
        <v>107.59609419197218</v>
      </c>
      <c r="V61">
        <v>1.6154210066070176</v>
      </c>
      <c r="W61">
        <v>3.0579184074478105</v>
      </c>
      <c r="X61">
        <v>1.4996336996336996</v>
      </c>
      <c r="Y61">
        <v>2.8387383077125761</v>
      </c>
      <c r="Z61">
        <v>7.5230887295852492E-2</v>
      </c>
      <c r="AA61">
        <v>0.14240864401894154</v>
      </c>
      <c r="AB61">
        <v>1.7163003663003664</v>
      </c>
      <c r="AC61">
        <v>3.2488784418141856</v>
      </c>
      <c r="AD61">
        <v>3.0226986183619107E-2</v>
      </c>
      <c r="AE61">
        <v>5.7218308462324771E-2</v>
      </c>
      <c r="AF61">
        <v>2.0714309779136544</v>
      </c>
      <c r="AG61">
        <v>3.9211245187556951</v>
      </c>
      <c r="AH61">
        <v>3.6481443912224187E-2</v>
      </c>
      <c r="AI61">
        <v>6.9057712146369077E-2</v>
      </c>
      <c r="AJ61">
        <v>2.2362859574759621</v>
      </c>
      <c r="AK61">
        <v>4.2331874884095555</v>
      </c>
      <c r="AL61">
        <v>3.9384822182935701E-2</v>
      </c>
      <c r="AM61">
        <v>7.4553675007741321E-2</v>
      </c>
      <c r="AN61">
        <v>7.0939194139194131</v>
      </c>
      <c r="AO61">
        <v>13.428466429527314</v>
      </c>
      <c r="AP61">
        <v>2.7058264856351603E-2</v>
      </c>
      <c r="AQ61">
        <v>5.1220063277265734E-2</v>
      </c>
      <c r="AR61">
        <v>6.8772527472527463</v>
      </c>
      <c r="AS61">
        <v>13.018326295425704</v>
      </c>
      <c r="AT61">
        <v>2.6231835387656749E-2</v>
      </c>
      <c r="AU61">
        <v>4.9655669924422524E-2</v>
      </c>
      <c r="AV61">
        <v>6.0065333386894268</v>
      </c>
      <c r="AW61">
        <v>11.370094103150164</v>
      </c>
      <c r="AX61">
        <v>2.291065918057392E-2</v>
      </c>
      <c r="AY61">
        <v>4.336883459389318E-2</v>
      </c>
      <c r="AZ61">
        <v>4.6649674278504696</v>
      </c>
      <c r="BA61">
        <v>8.8305709220226056</v>
      </c>
      <c r="BB61">
        <v>1.7793537936356549E-2</v>
      </c>
      <c r="BC61">
        <v>3.3682357086273915E-2</v>
      </c>
      <c r="BE61">
        <v>113.75</v>
      </c>
      <c r="BF61">
        <v>19.93375</v>
      </c>
      <c r="BG61">
        <v>5.5986766975308644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0.52750000000000008</v>
      </c>
      <c r="BP61">
        <v>8.9600000000000013E-2</v>
      </c>
      <c r="BQ61">
        <v>4.0400000000000005E-2</v>
      </c>
    </row>
    <row r="62" spans="1:70">
      <c r="A62" s="194"/>
    </row>
    <row r="63" spans="1:70">
      <c r="A63" s="194"/>
    </row>
    <row r="64" spans="1:70">
      <c r="A64" s="194"/>
    </row>
    <row r="65" spans="1:70">
      <c r="A65" s="194"/>
    </row>
    <row r="66" spans="1:70">
      <c r="A66" s="194"/>
    </row>
    <row r="67" spans="1:70">
      <c r="A67" s="194"/>
    </row>
    <row r="68" spans="1:70">
      <c r="A68" s="194"/>
    </row>
    <row r="73" spans="1:70">
      <c r="A73" t="s">
        <v>142</v>
      </c>
      <c r="B73">
        <f t="shared" ref="B73:AG73" si="27">AVERAGE(B60:B72)</f>
        <v>1.9895606747495844</v>
      </c>
      <c r="C73">
        <f t="shared" si="27"/>
        <v>3.1875300136923355</v>
      </c>
      <c r="D73">
        <f t="shared" si="27"/>
        <v>8.9597865320208692E-2</v>
      </c>
      <c r="E73">
        <f t="shared" si="27"/>
        <v>0.14557670076673135</v>
      </c>
      <c r="F73">
        <f t="shared" si="27"/>
        <v>1.1563304320248913</v>
      </c>
      <c r="G73">
        <f t="shared" si="27"/>
        <v>1.7627293024330268</v>
      </c>
      <c r="H73">
        <f t="shared" si="27"/>
        <v>2.1459707174412104E-2</v>
      </c>
      <c r="I73">
        <f t="shared" si="27"/>
        <v>3.2581015965052897E-2</v>
      </c>
      <c r="J73">
        <f t="shared" si="27"/>
        <v>45.476947831215007</v>
      </c>
      <c r="K73">
        <f t="shared" si="27"/>
        <v>45.476947831215007</v>
      </c>
      <c r="L73">
        <f t="shared" si="27"/>
        <v>77.053716349117138</v>
      </c>
      <c r="M73">
        <f t="shared" si="27"/>
        <v>77.053716349117153</v>
      </c>
      <c r="N73">
        <f t="shared" si="27"/>
        <v>-1.1556381021899249</v>
      </c>
      <c r="O73">
        <f t="shared" si="27"/>
        <v>-2.0168543989248251</v>
      </c>
      <c r="P73">
        <f t="shared" si="27"/>
        <v>-4.9369658775486585E-3</v>
      </c>
      <c r="Q73">
        <f t="shared" si="27"/>
        <v>-8.4352871443654637E-3</v>
      </c>
      <c r="R73">
        <f t="shared" si="27"/>
        <v>164.70459342502832</v>
      </c>
      <c r="S73">
        <f t="shared" si="27"/>
        <v>164.70459342502829</v>
      </c>
      <c r="T73">
        <f t="shared" si="27"/>
        <v>105.69201512014324</v>
      </c>
      <c r="U73">
        <f t="shared" si="27"/>
        <v>105.69201512014325</v>
      </c>
      <c r="V73">
        <f t="shared" si="27"/>
        <v>1.9895606747495844</v>
      </c>
      <c r="W73">
        <f t="shared" si="27"/>
        <v>3.1875300136923355</v>
      </c>
      <c r="X73">
        <f t="shared" si="27"/>
        <v>0.74981684981684982</v>
      </c>
      <c r="Y73">
        <f t="shared" si="27"/>
        <v>1.419369153856288</v>
      </c>
      <c r="Z73">
        <f t="shared" si="27"/>
        <v>3.7615443647926246E-2</v>
      </c>
      <c r="AA73">
        <f t="shared" si="27"/>
        <v>7.1204322009470772E-2</v>
      </c>
      <c r="AB73">
        <f t="shared" si="27"/>
        <v>0.94481684981684988</v>
      </c>
      <c r="AC73">
        <f t="shared" si="27"/>
        <v>1.7460644548017734</v>
      </c>
      <c r="AD73">
        <f t="shared" si="27"/>
        <v>1.6748842811347076E-2</v>
      </c>
      <c r="AE73">
        <f t="shared" si="27"/>
        <v>3.0904151832758749E-2</v>
      </c>
      <c r="AF73">
        <f t="shared" si="27"/>
        <v>1.9061472818417411</v>
      </c>
      <c r="AG73">
        <f t="shared" si="27"/>
        <v>3.1820984562893146</v>
      </c>
      <c r="AH73">
        <f t="shared" ref="AH73:BM73" si="28">AVERAGE(AH60:AH72)</f>
        <v>3.4665264898853104E-2</v>
      </c>
      <c r="AI73">
        <f t="shared" si="28"/>
        <v>5.7578535423462619E-2</v>
      </c>
      <c r="AJ73">
        <f t="shared" si="28"/>
        <v>1.8600735579233976</v>
      </c>
      <c r="AK73">
        <f t="shared" si="28"/>
        <v>3.1577954391321867</v>
      </c>
      <c r="AL73">
        <f t="shared" si="28"/>
        <v>3.3692210682858423E-2</v>
      </c>
      <c r="AM73">
        <f t="shared" si="28"/>
        <v>5.6923709424426802E-2</v>
      </c>
      <c r="AN73">
        <f t="shared" si="28"/>
        <v>5.0999188906331758</v>
      </c>
      <c r="AO73">
        <f t="shared" si="28"/>
        <v>8.8936065679541709</v>
      </c>
      <c r="AP73">
        <f t="shared" si="28"/>
        <v>2.1808667011594278E-2</v>
      </c>
      <c r="AQ73">
        <f t="shared" si="28"/>
        <v>3.7229266218410197E-2</v>
      </c>
      <c r="AR73">
        <f t="shared" si="28"/>
        <v>5.2949188906331752</v>
      </c>
      <c r="AS73">
        <f t="shared" si="28"/>
        <v>9.1142248195347477</v>
      </c>
      <c r="AT73">
        <f t="shared" si="28"/>
        <v>2.3012660797625453E-2</v>
      </c>
      <c r="AU73">
        <f t="shared" si="28"/>
        <v>3.8716608363690723E-2</v>
      </c>
      <c r="AV73">
        <f t="shared" si="28"/>
        <v>4.3460266021533505</v>
      </c>
      <c r="AW73">
        <f t="shared" si="28"/>
        <v>7.5694334849472673</v>
      </c>
      <c r="AX73">
        <f t="shared" si="28"/>
        <v>1.8614195977631347E-2</v>
      </c>
      <c r="AY73">
        <f t="shared" si="28"/>
        <v>3.1730941898271914E-2</v>
      </c>
      <c r="AZ73">
        <f t="shared" si="28"/>
        <v>4.7516785802397887</v>
      </c>
      <c r="BA73">
        <f t="shared" si="28"/>
        <v>7.8103063239226671</v>
      </c>
      <c r="BB73">
        <f t="shared" si="28"/>
        <v>2.1794601551453255E-2</v>
      </c>
      <c r="BC73">
        <f t="shared" si="28"/>
        <v>3.4941585135543705E-2</v>
      </c>
      <c r="BD73" t="e">
        <f t="shared" si="28"/>
        <v>#DIV/0!</v>
      </c>
      <c r="BE73">
        <f t="shared" si="28"/>
        <v>137.875</v>
      </c>
      <c r="BF73">
        <f t="shared" si="28"/>
        <v>22.007375000000003</v>
      </c>
      <c r="BG73">
        <f t="shared" si="28"/>
        <v>7.6155383487654333</v>
      </c>
      <c r="BH73" t="e">
        <f t="shared" si="28"/>
        <v>#DIV/0!</v>
      </c>
      <c r="BI73">
        <f t="shared" si="28"/>
        <v>0</v>
      </c>
      <c r="BJ73">
        <f t="shared" si="28"/>
        <v>0</v>
      </c>
      <c r="BK73">
        <f t="shared" si="28"/>
        <v>0</v>
      </c>
      <c r="BL73">
        <f t="shared" si="28"/>
        <v>0</v>
      </c>
      <c r="BM73">
        <f t="shared" si="28"/>
        <v>0</v>
      </c>
      <c r="BN73">
        <f t="shared" ref="BN73:BR73" si="29">AVERAGE(BN60:BN72)</f>
        <v>0</v>
      </c>
      <c r="BO73">
        <f t="shared" si="29"/>
        <v>0.57658333333333345</v>
      </c>
      <c r="BP73">
        <f t="shared" si="29"/>
        <v>0.16159999999999999</v>
      </c>
      <c r="BQ73">
        <f t="shared" si="29"/>
        <v>5.5800000000000009E-2</v>
      </c>
      <c r="BR73" t="e">
        <f t="shared" si="29"/>
        <v>#DIV/0!</v>
      </c>
    </row>
    <row r="74" spans="1:70">
      <c r="A74" t="s">
        <v>143</v>
      </c>
      <c r="B74">
        <f t="shared" ref="B74:AG74" si="30">STDEV(B60:B72)</f>
        <v>0.52911339290898685</v>
      </c>
      <c r="C74">
        <f t="shared" si="30"/>
        <v>0.18329849139196852</v>
      </c>
      <c r="D74">
        <f t="shared" si="30"/>
        <v>1.2103365283487696E-2</v>
      </c>
      <c r="E74">
        <f t="shared" si="30"/>
        <v>1.1069573648976363E-2</v>
      </c>
      <c r="F74">
        <f t="shared" si="30"/>
        <v>0.82665471368280696</v>
      </c>
      <c r="G74">
        <f t="shared" si="30"/>
        <v>0.96215042691044517</v>
      </c>
      <c r="H74">
        <f t="shared" si="30"/>
        <v>1.610701384019848E-2</v>
      </c>
      <c r="I74">
        <f t="shared" si="30"/>
        <v>1.9117823637356517E-2</v>
      </c>
      <c r="J74">
        <f t="shared" si="30"/>
        <v>27.049486314497425</v>
      </c>
      <c r="K74">
        <f t="shared" si="30"/>
        <v>27.049486314497425</v>
      </c>
      <c r="L74">
        <f t="shared" si="30"/>
        <v>14.877297872341702</v>
      </c>
      <c r="M74">
        <f t="shared" si="30"/>
        <v>14.877297872341581</v>
      </c>
      <c r="N74">
        <f t="shared" si="30"/>
        <v>0.64806308853796546</v>
      </c>
      <c r="O74">
        <f t="shared" si="30"/>
        <v>1.4681826675834415</v>
      </c>
      <c r="P74">
        <f t="shared" si="30"/>
        <v>1.7237430406070592E-3</v>
      </c>
      <c r="Q74">
        <f t="shared" si="30"/>
        <v>4.5501340051748804E-3</v>
      </c>
      <c r="R74">
        <f t="shared" si="30"/>
        <v>49.781028080571467</v>
      </c>
      <c r="S74">
        <f t="shared" si="30"/>
        <v>49.781028080571538</v>
      </c>
      <c r="T74">
        <f t="shared" si="30"/>
        <v>2.6927744472112698</v>
      </c>
      <c r="U74">
        <f t="shared" si="30"/>
        <v>2.6927744472112596</v>
      </c>
      <c r="V74">
        <f t="shared" si="30"/>
        <v>0.52911339290898685</v>
      </c>
      <c r="W74">
        <f t="shared" si="30"/>
        <v>0.18329849139196852</v>
      </c>
      <c r="X74">
        <f t="shared" si="30"/>
        <v>1.0604011583068591</v>
      </c>
      <c r="Y74">
        <f t="shared" si="30"/>
        <v>2.0072911073975868</v>
      </c>
      <c r="Z74">
        <f t="shared" si="30"/>
        <v>5.3196270561578184E-2</v>
      </c>
      <c r="AA74">
        <f t="shared" si="30"/>
        <v>0.10069811788537464</v>
      </c>
      <c r="AB74">
        <f t="shared" si="30"/>
        <v>1.0910424521582764</v>
      </c>
      <c r="AC74">
        <f t="shared" si="30"/>
        <v>2.1252999221569375</v>
      </c>
      <c r="AD74">
        <f t="shared" si="30"/>
        <v>1.9060973152676151E-2</v>
      </c>
      <c r="AE74">
        <f t="shared" si="30"/>
        <v>3.7213837187942161E-2</v>
      </c>
      <c r="AF74">
        <f t="shared" si="30"/>
        <v>0.23374644462405242</v>
      </c>
      <c r="AG74">
        <f t="shared" si="30"/>
        <v>1.0451406804871421</v>
      </c>
      <c r="AH74">
        <f t="shared" ref="AH74:BR74" si="31">STDEV(AH60:AH72)</f>
        <v>2.5684649924067725E-3</v>
      </c>
      <c r="AI74">
        <f t="shared" si="31"/>
        <v>1.6234007406411861E-2</v>
      </c>
      <c r="AJ74">
        <f t="shared" si="31"/>
        <v>0.53204467778016284</v>
      </c>
      <c r="AK74">
        <f t="shared" si="31"/>
        <v>1.5208340209562499</v>
      </c>
      <c r="AL74">
        <f t="shared" si="31"/>
        <v>8.0505683887303336E-3</v>
      </c>
      <c r="AM74">
        <f t="shared" si="31"/>
        <v>2.4932536432094279E-2</v>
      </c>
      <c r="AN74">
        <f t="shared" si="31"/>
        <v>2.8199425834104455</v>
      </c>
      <c r="AO74">
        <f t="shared" si="31"/>
        <v>6.4132603196981162</v>
      </c>
      <c r="AP74">
        <f t="shared" si="31"/>
        <v>7.4240524690603639E-3</v>
      </c>
      <c r="AQ74">
        <f t="shared" si="31"/>
        <v>1.978597494904312E-2</v>
      </c>
      <c r="AR74">
        <f t="shared" si="31"/>
        <v>2.2377580002335229</v>
      </c>
      <c r="AS74">
        <f t="shared" si="31"/>
        <v>5.5212332560858082</v>
      </c>
      <c r="AT74">
        <f t="shared" si="31"/>
        <v>4.5526003648691075E-3</v>
      </c>
      <c r="AU74">
        <f t="shared" si="31"/>
        <v>1.5470169218821104E-2</v>
      </c>
      <c r="AV74">
        <f t="shared" si="31"/>
        <v>2.3483111472212066</v>
      </c>
      <c r="AW74">
        <f t="shared" si="31"/>
        <v>5.3749457922398474</v>
      </c>
      <c r="AX74">
        <f t="shared" si="31"/>
        <v>6.0761165318383194E-3</v>
      </c>
      <c r="AY74">
        <f t="shared" si="31"/>
        <v>1.6458465687590369E-2</v>
      </c>
      <c r="AZ74">
        <f t="shared" si="31"/>
        <v>0.12262808771797597</v>
      </c>
      <c r="BA74">
        <f t="shared" si="31"/>
        <v>1.442872031842062</v>
      </c>
      <c r="BB74">
        <f t="shared" si="31"/>
        <v>5.6583584283872628E-3</v>
      </c>
      <c r="BC74">
        <f t="shared" si="31"/>
        <v>1.7808173853979541E-3</v>
      </c>
      <c r="BD74" t="e">
        <f t="shared" si="31"/>
        <v>#DIV/0!</v>
      </c>
      <c r="BE74">
        <f t="shared" si="31"/>
        <v>34.117902192250916</v>
      </c>
      <c r="BF74">
        <f t="shared" si="31"/>
        <v>2.9325485982759116</v>
      </c>
      <c r="BG74">
        <f t="shared" si="31"/>
        <v>2.8522731006061255</v>
      </c>
      <c r="BH74" t="e">
        <f t="shared" si="31"/>
        <v>#DIV/0!</v>
      </c>
      <c r="BI74">
        <f t="shared" si="31"/>
        <v>0</v>
      </c>
      <c r="BJ74">
        <f t="shared" si="31"/>
        <v>0</v>
      </c>
      <c r="BK74">
        <f t="shared" si="31"/>
        <v>0</v>
      </c>
      <c r="BL74">
        <f t="shared" si="31"/>
        <v>0</v>
      </c>
      <c r="BM74">
        <f t="shared" si="31"/>
        <v>0</v>
      </c>
      <c r="BN74">
        <f t="shared" si="31"/>
        <v>0</v>
      </c>
      <c r="BO74">
        <f t="shared" si="31"/>
        <v>6.9414315686479391E-2</v>
      </c>
      <c r="BP74">
        <f t="shared" si="31"/>
        <v>0.10182337649086282</v>
      </c>
      <c r="BQ74">
        <f t="shared" si="31"/>
        <v>2.177888886054569E-2</v>
      </c>
      <c r="BR74" t="e">
        <f t="shared" si="31"/>
        <v>#DIV/0!</v>
      </c>
    </row>
    <row r="75" spans="1:70" ht="13.5" thickBot="1">
      <c r="A75" s="193" t="s">
        <v>144</v>
      </c>
      <c r="B75" s="193">
        <f t="shared" ref="B75:AG75" si="32">B74/(SQRT(COUNT(B60:B72)))</f>
        <v>0.37413966814256666</v>
      </c>
      <c r="C75" s="193">
        <f t="shared" si="32"/>
        <v>0.12961160624452495</v>
      </c>
      <c r="D75" s="193">
        <f t="shared" si="32"/>
        <v>8.5583716671319889E-3</v>
      </c>
      <c r="E75" s="193">
        <f t="shared" si="32"/>
        <v>7.8273705920351017E-3</v>
      </c>
      <c r="F75" s="193">
        <f t="shared" si="32"/>
        <v>0.58453315374493664</v>
      </c>
      <c r="G75" s="193">
        <f t="shared" si="32"/>
        <v>0.68034309138990734</v>
      </c>
      <c r="H75" s="193">
        <f t="shared" si="32"/>
        <v>1.1389378711069919E-2</v>
      </c>
      <c r="I75" s="193">
        <f t="shared" si="32"/>
        <v>1.351834273550326E-2</v>
      </c>
      <c r="J75" s="193">
        <f t="shared" si="32"/>
        <v>19.12687520059384</v>
      </c>
      <c r="K75" s="193">
        <f t="shared" si="32"/>
        <v>19.12687520059384</v>
      </c>
      <c r="L75" s="193">
        <f t="shared" si="32"/>
        <v>10.519838211265013</v>
      </c>
      <c r="M75" s="193">
        <f t="shared" si="32"/>
        <v>10.519838211264926</v>
      </c>
      <c r="N75" s="193">
        <f t="shared" si="32"/>
        <v>0.45824980454189329</v>
      </c>
      <c r="O75" s="193">
        <f t="shared" si="32"/>
        <v>1.0381619202688062</v>
      </c>
      <c r="P75" s="193">
        <f t="shared" si="32"/>
        <v>1.2188703930363699E-3</v>
      </c>
      <c r="Q75" s="193">
        <f t="shared" si="32"/>
        <v>3.2174306103666629E-3</v>
      </c>
      <c r="R75" s="193">
        <f t="shared" si="32"/>
        <v>35.200502530210024</v>
      </c>
      <c r="S75" s="193">
        <f t="shared" si="32"/>
        <v>35.200502530210073</v>
      </c>
      <c r="T75" s="193">
        <f t="shared" si="32"/>
        <v>1.9040790718289458</v>
      </c>
      <c r="U75" s="193">
        <f t="shared" si="32"/>
        <v>1.9040790718289384</v>
      </c>
      <c r="V75" s="193">
        <f t="shared" si="32"/>
        <v>0.37413966814256666</v>
      </c>
      <c r="W75" s="193">
        <f t="shared" si="32"/>
        <v>0.12961160624452495</v>
      </c>
      <c r="X75" s="193">
        <f t="shared" si="32"/>
        <v>0.74981684981684971</v>
      </c>
      <c r="Y75" s="193">
        <f t="shared" si="32"/>
        <v>1.419369153856288</v>
      </c>
      <c r="Z75" s="193">
        <f t="shared" si="32"/>
        <v>3.7615443647926239E-2</v>
      </c>
      <c r="AA75" s="193">
        <f t="shared" si="32"/>
        <v>7.1204322009470772E-2</v>
      </c>
      <c r="AB75" s="193">
        <f t="shared" si="32"/>
        <v>0.77148351648351654</v>
      </c>
      <c r="AC75" s="193">
        <f t="shared" si="32"/>
        <v>1.502813987012412</v>
      </c>
      <c r="AD75" s="193">
        <f t="shared" si="32"/>
        <v>1.3478143372272031E-2</v>
      </c>
      <c r="AE75" s="193">
        <f t="shared" si="32"/>
        <v>2.6314156629566023E-2</v>
      </c>
      <c r="AF75" s="193">
        <f t="shared" si="32"/>
        <v>0.16528369607191326</v>
      </c>
      <c r="AG75" s="193">
        <f t="shared" si="32"/>
        <v>0.73902606246638092</v>
      </c>
      <c r="AH75" s="193">
        <f t="shared" ref="AH75:BM75" si="33">AH74/(SQRT(COUNT(AH60:AH72)))</f>
        <v>1.8161790133710831E-3</v>
      </c>
      <c r="AI75" s="193">
        <f t="shared" si="33"/>
        <v>1.1479176722906463E-2</v>
      </c>
      <c r="AJ75" s="193">
        <f t="shared" si="33"/>
        <v>0.37621239955256475</v>
      </c>
      <c r="AK75" s="193">
        <f t="shared" si="33"/>
        <v>1.0753920492773681</v>
      </c>
      <c r="AL75" s="193">
        <f t="shared" si="33"/>
        <v>5.6926115000772758E-3</v>
      </c>
      <c r="AM75" s="193">
        <f t="shared" si="33"/>
        <v>1.7629965583314512E-2</v>
      </c>
      <c r="AN75" s="193">
        <f t="shared" si="33"/>
        <v>1.9940005232862372</v>
      </c>
      <c r="AO75" s="193">
        <f t="shared" si="33"/>
        <v>4.5348598615731435</v>
      </c>
      <c r="AP75" s="193">
        <f t="shared" si="33"/>
        <v>5.2495978447573144E-3</v>
      </c>
      <c r="AQ75" s="193">
        <f t="shared" si="33"/>
        <v>1.3990797058855543E-2</v>
      </c>
      <c r="AR75" s="193">
        <f t="shared" si="33"/>
        <v>1.5823338566195717</v>
      </c>
      <c r="AS75" s="193">
        <f t="shared" si="33"/>
        <v>3.9041014758909567</v>
      </c>
      <c r="AT75" s="193">
        <f t="shared" si="33"/>
        <v>3.2191745900312964E-3</v>
      </c>
      <c r="AU75" s="193">
        <f t="shared" si="33"/>
        <v>1.0939061560731796E-2</v>
      </c>
      <c r="AV75" s="193">
        <f t="shared" si="33"/>
        <v>1.6605067365360759</v>
      </c>
      <c r="AW75" s="193">
        <f t="shared" si="33"/>
        <v>3.8006606182028957</v>
      </c>
      <c r="AX75" s="193">
        <f t="shared" si="33"/>
        <v>4.2964632029425624E-3</v>
      </c>
      <c r="AY75" s="193">
        <f t="shared" si="33"/>
        <v>1.1637892695621262E-2</v>
      </c>
      <c r="AZ75" s="193">
        <f t="shared" si="33"/>
        <v>8.6711152389319576E-2</v>
      </c>
      <c r="BA75" s="193">
        <f t="shared" si="33"/>
        <v>1.0202645980999341</v>
      </c>
      <c r="BB75" s="193">
        <f t="shared" si="33"/>
        <v>4.0010636150966889E-3</v>
      </c>
      <c r="BC75" s="193">
        <f t="shared" si="33"/>
        <v>1.2592280492697908E-3</v>
      </c>
      <c r="BD75" s="193" t="e">
        <f t="shared" si="33"/>
        <v>#DIV/0!</v>
      </c>
      <c r="BE75" s="193">
        <f t="shared" si="33"/>
        <v>24.124999999999996</v>
      </c>
      <c r="BF75" s="193">
        <f t="shared" si="33"/>
        <v>2.0736250000000016</v>
      </c>
      <c r="BG75" s="193">
        <f t="shared" si="33"/>
        <v>2.0168616512345707</v>
      </c>
      <c r="BH75" s="193" t="e">
        <f t="shared" si="33"/>
        <v>#DIV/0!</v>
      </c>
      <c r="BI75" s="193">
        <f t="shared" si="33"/>
        <v>0</v>
      </c>
      <c r="BJ75" s="193">
        <f t="shared" si="33"/>
        <v>0</v>
      </c>
      <c r="BK75" s="193">
        <f t="shared" si="33"/>
        <v>0</v>
      </c>
      <c r="BL75" s="193">
        <f t="shared" si="33"/>
        <v>0</v>
      </c>
      <c r="BM75" s="193">
        <f t="shared" si="33"/>
        <v>0</v>
      </c>
      <c r="BN75" s="193">
        <f t="shared" ref="BN75:BR75" si="34">BN74/(SQRT(COUNT(BN60:BN72)))</f>
        <v>0</v>
      </c>
      <c r="BO75" s="193">
        <f t="shared" si="34"/>
        <v>4.9083333333333312E-2</v>
      </c>
      <c r="BP75" s="193">
        <f t="shared" si="34"/>
        <v>7.1999999999999981E-2</v>
      </c>
      <c r="BQ75" s="193">
        <f t="shared" si="34"/>
        <v>1.5400000000000018E-2</v>
      </c>
      <c r="BR75" s="193" t="e">
        <f t="shared" si="34"/>
        <v>#DIV/0!</v>
      </c>
    </row>
    <row r="77" spans="1:70">
      <c r="A77" s="205" t="s">
        <v>173</v>
      </c>
    </row>
    <row r="79" spans="1:70">
      <c r="A79" s="200" t="s">
        <v>141</v>
      </c>
      <c r="B79" s="200" t="s">
        <v>40</v>
      </c>
      <c r="C79" s="200" t="s">
        <v>41</v>
      </c>
      <c r="D79" s="200" t="s">
        <v>42</v>
      </c>
      <c r="E79" s="200" t="s">
        <v>43</v>
      </c>
      <c r="F79" s="200" t="s">
        <v>44</v>
      </c>
      <c r="G79" s="200" t="s">
        <v>45</v>
      </c>
      <c r="H79" s="200" t="s">
        <v>46</v>
      </c>
      <c r="I79" s="200" t="s">
        <v>47</v>
      </c>
      <c r="J79" s="200" t="s">
        <v>48</v>
      </c>
      <c r="K79" s="200" t="s">
        <v>49</v>
      </c>
      <c r="L79" s="200" t="s">
        <v>50</v>
      </c>
      <c r="M79" s="200" t="s">
        <v>51</v>
      </c>
      <c r="N79" s="200" t="s">
        <v>52</v>
      </c>
      <c r="O79" s="200" t="s">
        <v>53</v>
      </c>
      <c r="P79" s="200" t="s">
        <v>54</v>
      </c>
      <c r="Q79" s="200" t="s">
        <v>55</v>
      </c>
      <c r="R79" s="200" t="s">
        <v>56</v>
      </c>
      <c r="S79" s="200" t="s">
        <v>57</v>
      </c>
      <c r="T79" s="200" t="s">
        <v>58</v>
      </c>
      <c r="U79" s="200" t="s">
        <v>59</v>
      </c>
      <c r="V79" s="200" t="s">
        <v>60</v>
      </c>
      <c r="W79" s="200" t="s">
        <v>61</v>
      </c>
      <c r="X79" s="200" t="s">
        <v>62</v>
      </c>
      <c r="Y79" s="200" t="s">
        <v>63</v>
      </c>
      <c r="Z79" s="200" t="s">
        <v>64</v>
      </c>
      <c r="AA79" s="200" t="s">
        <v>65</v>
      </c>
      <c r="AB79" s="200" t="s">
        <v>66</v>
      </c>
      <c r="AC79" s="200" t="s">
        <v>67</v>
      </c>
      <c r="AD79" s="200" t="s">
        <v>68</v>
      </c>
      <c r="AE79" s="200" t="s">
        <v>69</v>
      </c>
      <c r="AF79" s="200" t="s">
        <v>70</v>
      </c>
      <c r="AG79" s="200" t="s">
        <v>71</v>
      </c>
      <c r="AH79" s="200" t="s">
        <v>72</v>
      </c>
      <c r="AI79" s="200" t="s">
        <v>73</v>
      </c>
      <c r="AJ79" s="200" t="s">
        <v>74</v>
      </c>
      <c r="AK79" s="200" t="s">
        <v>75</v>
      </c>
      <c r="AL79" s="200" t="s">
        <v>76</v>
      </c>
      <c r="AM79" s="200" t="s">
        <v>77</v>
      </c>
      <c r="AN79" s="200" t="s">
        <v>78</v>
      </c>
      <c r="AO79" s="200" t="s">
        <v>79</v>
      </c>
      <c r="AP79" s="200" t="s">
        <v>80</v>
      </c>
      <c r="AQ79" s="200" t="s">
        <v>81</v>
      </c>
      <c r="AR79" s="200" t="s">
        <v>82</v>
      </c>
      <c r="AS79" s="200" t="s">
        <v>83</v>
      </c>
      <c r="AT79" s="200" t="s">
        <v>84</v>
      </c>
      <c r="AU79" s="200" t="s">
        <v>85</v>
      </c>
      <c r="AV79" s="200" t="s">
        <v>86</v>
      </c>
      <c r="AW79" s="200" t="s">
        <v>87</v>
      </c>
      <c r="AX79" s="200" t="s">
        <v>88</v>
      </c>
      <c r="AY79" s="200" t="s">
        <v>89</v>
      </c>
      <c r="AZ79" s="200" t="s">
        <v>90</v>
      </c>
      <c r="BA79" s="200" t="s">
        <v>91</v>
      </c>
      <c r="BB79" s="200" t="s">
        <v>92</v>
      </c>
      <c r="BC79" s="200" t="s">
        <v>93</v>
      </c>
      <c r="BD79" s="200"/>
      <c r="BE79" s="200" t="s">
        <v>94</v>
      </c>
      <c r="BF79" s="200" t="s">
        <v>95</v>
      </c>
      <c r="BG79" s="200" t="s">
        <v>96</v>
      </c>
      <c r="BH79" s="200"/>
      <c r="BI79" s="200" t="s">
        <v>97</v>
      </c>
      <c r="BJ79" s="200" t="s">
        <v>98</v>
      </c>
      <c r="BK79" s="200" t="s">
        <v>99</v>
      </c>
      <c r="BL79" s="200" t="s">
        <v>100</v>
      </c>
      <c r="BM79" s="200" t="s">
        <v>101</v>
      </c>
      <c r="BN79" s="200" t="s">
        <v>102</v>
      </c>
      <c r="BO79" s="200" t="s">
        <v>103</v>
      </c>
      <c r="BP79" s="200" t="s">
        <v>104</v>
      </c>
      <c r="BQ79" s="200" t="s">
        <v>105</v>
      </c>
      <c r="BR79" s="200"/>
    </row>
    <row r="80" spans="1:70">
      <c r="A80" t="s">
        <v>178</v>
      </c>
    </row>
    <row r="81" spans="1:70">
      <c r="A81" s="194" t="s">
        <v>179</v>
      </c>
      <c r="B81">
        <v>2.7605598205071136</v>
      </c>
      <c r="C81">
        <v>3.4996677291831273</v>
      </c>
      <c r="D81">
        <v>0.21773981586631547</v>
      </c>
      <c r="E81">
        <v>0.2760371288768661</v>
      </c>
      <c r="F81">
        <v>0.68882685280407763</v>
      </c>
      <c r="G81">
        <v>0.87325226203950501</v>
      </c>
      <c r="H81">
        <v>1.3972657273573429E-2</v>
      </c>
      <c r="I81">
        <v>1.7713674374307885E-2</v>
      </c>
      <c r="J81">
        <v>75.047566523027186</v>
      </c>
      <c r="K81">
        <v>75.047566523027172</v>
      </c>
      <c r="L81">
        <v>93.582865302801508</v>
      </c>
      <c r="M81">
        <v>93.582865302801508</v>
      </c>
      <c r="N81">
        <v>0.77985014611118242</v>
      </c>
      <c r="O81">
        <v>0.98864598755287836</v>
      </c>
      <c r="P81">
        <v>5.8851284873157328E-3</v>
      </c>
      <c r="Q81">
        <v>7.4608034559351484E-3</v>
      </c>
      <c r="R81">
        <v>71.750289911561339</v>
      </c>
      <c r="S81">
        <v>71.750289911561339</v>
      </c>
      <c r="T81">
        <v>97.297173939501718</v>
      </c>
      <c r="U81">
        <v>97.297173939501718</v>
      </c>
      <c r="V81">
        <v>2.7605598205071136</v>
      </c>
      <c r="W81">
        <v>3.4996677291831273</v>
      </c>
      <c r="X81">
        <v>3.6807566862361383</v>
      </c>
      <c r="Y81">
        <v>4.6662366445039858</v>
      </c>
      <c r="Z81">
        <v>0.29032056366108405</v>
      </c>
      <c r="AA81">
        <v>0.368050530988424</v>
      </c>
      <c r="AB81">
        <v>3.9840900195694715</v>
      </c>
      <c r="AC81">
        <v>5.0507839634811944</v>
      </c>
      <c r="AD81">
        <v>8.0816135671677086E-2</v>
      </c>
      <c r="AE81">
        <v>0.10245371967903888</v>
      </c>
      <c r="AF81">
        <v>4.1721928019234511</v>
      </c>
      <c r="AG81">
        <v>5.2892490864912265</v>
      </c>
      <c r="AH81">
        <v>8.4631747242768521E-2</v>
      </c>
      <c r="AI81">
        <v>0.10729091704141787</v>
      </c>
      <c r="AJ81">
        <v>3.2509912521893018</v>
      </c>
      <c r="AK81">
        <v>4.1214064946629287</v>
      </c>
      <c r="AL81">
        <v>6.5945435171858233E-2</v>
      </c>
      <c r="AM81">
        <v>8.3601561409198083E-2</v>
      </c>
      <c r="AN81">
        <v>7.8143509458577949</v>
      </c>
      <c r="AO81">
        <v>9.9065528761866961</v>
      </c>
      <c r="AP81">
        <v>5.8970892793541681E-2</v>
      </c>
      <c r="AQ81">
        <v>7.475966611466657E-2</v>
      </c>
      <c r="AR81">
        <v>8.0310176125244617</v>
      </c>
      <c r="AS81">
        <v>10.181229532598987</v>
      </c>
      <c r="AT81">
        <v>6.0605964837331425E-2</v>
      </c>
      <c r="AU81">
        <v>7.6832509754580627E-2</v>
      </c>
      <c r="AV81">
        <v>8.2981149862938288</v>
      </c>
      <c r="AW81">
        <v>10.519839133661176</v>
      </c>
      <c r="AX81">
        <v>6.2621611524192738E-2</v>
      </c>
      <c r="AY81">
        <v>7.9387822488990997E-2</v>
      </c>
      <c r="AZ81">
        <v>7.7492913695817025</v>
      </c>
      <c r="BA81">
        <v>9.8240743521292302</v>
      </c>
      <c r="BB81">
        <v>5.8479921588850084E-2</v>
      </c>
      <c r="BC81">
        <v>7.4137243058207791E-2</v>
      </c>
      <c r="BE81">
        <v>101</v>
      </c>
      <c r="BF81">
        <v>12.678249999999998</v>
      </c>
      <c r="BG81">
        <v>3.1617364197530859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1.29</v>
      </c>
      <c r="BP81">
        <v>0.29199999999999998</v>
      </c>
      <c r="BQ81">
        <v>1.7999999999999999E-2</v>
      </c>
    </row>
    <row r="82" spans="1:70">
      <c r="A82" s="194"/>
    </row>
    <row r="83" spans="1:70">
      <c r="A83" s="194"/>
    </row>
    <row r="84" spans="1:70">
      <c r="A84" s="194"/>
    </row>
    <row r="85" spans="1:70">
      <c r="A85" s="194"/>
    </row>
    <row r="86" spans="1:70">
      <c r="A86" s="194"/>
    </row>
    <row r="87" spans="1:70">
      <c r="A87" s="194"/>
    </row>
    <row r="88" spans="1:70">
      <c r="A88" s="194"/>
    </row>
    <row r="89" spans="1:70">
      <c r="A89" s="194"/>
    </row>
    <row r="94" spans="1:70">
      <c r="A94" t="s">
        <v>142</v>
      </c>
      <c r="B94" s="57">
        <f t="shared" ref="B94:AG94" si="35">AVERAGE(B81:B93)</f>
        <v>2.7605598205071136</v>
      </c>
      <c r="C94" s="57">
        <f t="shared" si="35"/>
        <v>3.4996677291831273</v>
      </c>
      <c r="D94" s="57">
        <f t="shared" si="35"/>
        <v>0.21773981586631547</v>
      </c>
      <c r="E94" s="57">
        <f t="shared" si="35"/>
        <v>0.2760371288768661</v>
      </c>
      <c r="F94" s="57">
        <f t="shared" si="35"/>
        <v>0.68882685280407763</v>
      </c>
      <c r="G94" s="57">
        <f t="shared" si="35"/>
        <v>0.87325226203950501</v>
      </c>
      <c r="H94" s="57">
        <f t="shared" si="35"/>
        <v>1.3972657273573429E-2</v>
      </c>
      <c r="I94" s="57">
        <f t="shared" si="35"/>
        <v>1.7713674374307885E-2</v>
      </c>
      <c r="J94" s="57">
        <f t="shared" si="35"/>
        <v>75.047566523027186</v>
      </c>
      <c r="K94" s="57">
        <f t="shared" si="35"/>
        <v>75.047566523027172</v>
      </c>
      <c r="L94" s="57">
        <f t="shared" si="35"/>
        <v>93.582865302801508</v>
      </c>
      <c r="M94" s="57">
        <f t="shared" si="35"/>
        <v>93.582865302801508</v>
      </c>
      <c r="N94" s="57">
        <f t="shared" si="35"/>
        <v>0.77985014611118242</v>
      </c>
      <c r="O94" s="57">
        <f t="shared" si="35"/>
        <v>0.98864598755287836</v>
      </c>
      <c r="P94" s="57">
        <f t="shared" si="35"/>
        <v>5.8851284873157328E-3</v>
      </c>
      <c r="Q94" s="57">
        <f t="shared" si="35"/>
        <v>7.4608034559351484E-3</v>
      </c>
      <c r="R94" s="57">
        <f t="shared" si="35"/>
        <v>71.750289911561339</v>
      </c>
      <c r="S94" s="57">
        <f t="shared" si="35"/>
        <v>71.750289911561339</v>
      </c>
      <c r="T94" s="57">
        <f t="shared" si="35"/>
        <v>97.297173939501718</v>
      </c>
      <c r="U94" s="57">
        <f t="shared" si="35"/>
        <v>97.297173939501718</v>
      </c>
      <c r="V94" s="57">
        <f t="shared" si="35"/>
        <v>2.7605598205071136</v>
      </c>
      <c r="W94" s="57">
        <f t="shared" si="35"/>
        <v>3.4996677291831273</v>
      </c>
      <c r="X94" s="57">
        <f t="shared" si="35"/>
        <v>3.6807566862361383</v>
      </c>
      <c r="Y94" s="57">
        <f t="shared" si="35"/>
        <v>4.6662366445039858</v>
      </c>
      <c r="Z94" s="57">
        <f t="shared" si="35"/>
        <v>0.29032056366108405</v>
      </c>
      <c r="AA94" s="57">
        <f t="shared" si="35"/>
        <v>0.368050530988424</v>
      </c>
      <c r="AB94" s="57">
        <f t="shared" si="35"/>
        <v>3.9840900195694715</v>
      </c>
      <c r="AC94" s="57">
        <f t="shared" si="35"/>
        <v>5.0507839634811944</v>
      </c>
      <c r="AD94" s="57">
        <f t="shared" si="35"/>
        <v>8.0816135671677086E-2</v>
      </c>
      <c r="AE94" s="57">
        <f t="shared" si="35"/>
        <v>0.10245371967903888</v>
      </c>
      <c r="AF94" s="57">
        <f t="shared" si="35"/>
        <v>4.1721928019234511</v>
      </c>
      <c r="AG94" s="57">
        <f t="shared" si="35"/>
        <v>5.2892490864912265</v>
      </c>
      <c r="AH94" s="57">
        <f t="shared" ref="AH94:BM94" si="36">AVERAGE(AH81:AH93)</f>
        <v>8.4631747242768521E-2</v>
      </c>
      <c r="AI94" s="57">
        <f t="shared" si="36"/>
        <v>0.10729091704141787</v>
      </c>
      <c r="AJ94" s="57">
        <f t="shared" si="36"/>
        <v>3.2509912521893018</v>
      </c>
      <c r="AK94" s="57">
        <f t="shared" si="36"/>
        <v>4.1214064946629287</v>
      </c>
      <c r="AL94" s="57">
        <f t="shared" si="36"/>
        <v>6.5945435171858233E-2</v>
      </c>
      <c r="AM94" s="57">
        <f t="shared" si="36"/>
        <v>8.3601561409198083E-2</v>
      </c>
      <c r="AN94" s="57">
        <f t="shared" si="36"/>
        <v>7.8143509458577949</v>
      </c>
      <c r="AO94" s="57">
        <f t="shared" si="36"/>
        <v>9.9065528761866961</v>
      </c>
      <c r="AP94" s="57">
        <f t="shared" si="36"/>
        <v>5.8970892793541681E-2</v>
      </c>
      <c r="AQ94" s="57">
        <f t="shared" si="36"/>
        <v>7.475966611466657E-2</v>
      </c>
      <c r="AR94" s="57">
        <f t="shared" si="36"/>
        <v>8.0310176125244617</v>
      </c>
      <c r="AS94" s="57">
        <f t="shared" si="36"/>
        <v>10.181229532598987</v>
      </c>
      <c r="AT94" s="57">
        <f t="shared" si="36"/>
        <v>6.0605964837331425E-2</v>
      </c>
      <c r="AU94" s="57">
        <f t="shared" si="36"/>
        <v>7.6832509754580627E-2</v>
      </c>
      <c r="AV94" s="57">
        <f t="shared" si="36"/>
        <v>8.2981149862938288</v>
      </c>
      <c r="AW94" s="57">
        <f t="shared" si="36"/>
        <v>10.519839133661176</v>
      </c>
      <c r="AX94" s="57">
        <f t="shared" si="36"/>
        <v>6.2621611524192738E-2</v>
      </c>
      <c r="AY94" s="57">
        <f t="shared" si="36"/>
        <v>7.9387822488990997E-2</v>
      </c>
      <c r="AZ94" s="57">
        <f t="shared" si="36"/>
        <v>7.7492913695817025</v>
      </c>
      <c r="BA94" s="57">
        <f t="shared" si="36"/>
        <v>9.8240743521292302</v>
      </c>
      <c r="BB94" s="57">
        <f t="shared" si="36"/>
        <v>5.8479921588850084E-2</v>
      </c>
      <c r="BC94" s="57">
        <f t="shared" si="36"/>
        <v>7.4137243058207791E-2</v>
      </c>
      <c r="BD94" s="57" t="e">
        <f t="shared" si="36"/>
        <v>#DIV/0!</v>
      </c>
      <c r="BE94" s="57">
        <f t="shared" si="36"/>
        <v>101</v>
      </c>
      <c r="BF94" s="57">
        <f t="shared" si="36"/>
        <v>12.678249999999998</v>
      </c>
      <c r="BG94" s="57">
        <f t="shared" si="36"/>
        <v>3.1617364197530859</v>
      </c>
      <c r="BH94" s="57" t="e">
        <f t="shared" si="36"/>
        <v>#DIV/0!</v>
      </c>
      <c r="BI94" s="57">
        <f t="shared" si="36"/>
        <v>0</v>
      </c>
      <c r="BJ94" s="57">
        <f t="shared" si="36"/>
        <v>0</v>
      </c>
      <c r="BK94" s="57">
        <f t="shared" si="36"/>
        <v>0</v>
      </c>
      <c r="BL94" s="57">
        <f t="shared" si="36"/>
        <v>0</v>
      </c>
      <c r="BM94" s="57">
        <f t="shared" si="36"/>
        <v>0</v>
      </c>
      <c r="BN94" s="57">
        <f t="shared" ref="BN94:BR94" si="37">AVERAGE(BN81:BN93)</f>
        <v>0</v>
      </c>
      <c r="BO94" s="57">
        <f t="shared" si="37"/>
        <v>1.29</v>
      </c>
      <c r="BP94" s="57">
        <f t="shared" si="37"/>
        <v>0.29199999999999998</v>
      </c>
      <c r="BQ94" s="57">
        <f t="shared" si="37"/>
        <v>1.7999999999999999E-2</v>
      </c>
      <c r="BR94" s="57" t="e">
        <f t="shared" si="37"/>
        <v>#DIV/0!</v>
      </c>
    </row>
    <row r="95" spans="1:70">
      <c r="A95" t="s">
        <v>143</v>
      </c>
      <c r="B95" s="57" t="e">
        <f t="shared" ref="B95:AG95" si="38">STDEV(B81:B93)</f>
        <v>#DIV/0!</v>
      </c>
      <c r="C95" s="57" t="e">
        <f t="shared" si="38"/>
        <v>#DIV/0!</v>
      </c>
      <c r="D95" s="57" t="e">
        <f t="shared" si="38"/>
        <v>#DIV/0!</v>
      </c>
      <c r="E95" s="57" t="e">
        <f t="shared" si="38"/>
        <v>#DIV/0!</v>
      </c>
      <c r="F95" s="57" t="e">
        <f t="shared" si="38"/>
        <v>#DIV/0!</v>
      </c>
      <c r="G95" s="57" t="e">
        <f t="shared" si="38"/>
        <v>#DIV/0!</v>
      </c>
      <c r="H95" s="57" t="e">
        <f t="shared" si="38"/>
        <v>#DIV/0!</v>
      </c>
      <c r="I95" s="57" t="e">
        <f t="shared" si="38"/>
        <v>#DIV/0!</v>
      </c>
      <c r="J95" s="57" t="e">
        <f t="shared" si="38"/>
        <v>#DIV/0!</v>
      </c>
      <c r="K95" s="57" t="e">
        <f t="shared" si="38"/>
        <v>#DIV/0!</v>
      </c>
      <c r="L95" s="57" t="e">
        <f t="shared" si="38"/>
        <v>#DIV/0!</v>
      </c>
      <c r="M95" s="57" t="e">
        <f t="shared" si="38"/>
        <v>#DIV/0!</v>
      </c>
      <c r="N95" s="57" t="e">
        <f t="shared" si="38"/>
        <v>#DIV/0!</v>
      </c>
      <c r="O95" s="57" t="e">
        <f t="shared" si="38"/>
        <v>#DIV/0!</v>
      </c>
      <c r="P95" s="57" t="e">
        <f t="shared" si="38"/>
        <v>#DIV/0!</v>
      </c>
      <c r="Q95" s="57" t="e">
        <f t="shared" si="38"/>
        <v>#DIV/0!</v>
      </c>
      <c r="R95" s="57" t="e">
        <f t="shared" si="38"/>
        <v>#DIV/0!</v>
      </c>
      <c r="S95" s="57" t="e">
        <f t="shared" si="38"/>
        <v>#DIV/0!</v>
      </c>
      <c r="T95" s="57" t="e">
        <f t="shared" si="38"/>
        <v>#DIV/0!</v>
      </c>
      <c r="U95" s="57" t="e">
        <f t="shared" si="38"/>
        <v>#DIV/0!</v>
      </c>
      <c r="V95" s="57" t="e">
        <f t="shared" si="38"/>
        <v>#DIV/0!</v>
      </c>
      <c r="W95" s="57" t="e">
        <f t="shared" si="38"/>
        <v>#DIV/0!</v>
      </c>
      <c r="X95" s="57" t="e">
        <f t="shared" si="38"/>
        <v>#DIV/0!</v>
      </c>
      <c r="Y95" s="57" t="e">
        <f t="shared" si="38"/>
        <v>#DIV/0!</v>
      </c>
      <c r="Z95" s="57" t="e">
        <f t="shared" si="38"/>
        <v>#DIV/0!</v>
      </c>
      <c r="AA95" s="57" t="e">
        <f t="shared" si="38"/>
        <v>#DIV/0!</v>
      </c>
      <c r="AB95" s="57" t="e">
        <f t="shared" si="38"/>
        <v>#DIV/0!</v>
      </c>
      <c r="AC95" s="57" t="e">
        <f t="shared" si="38"/>
        <v>#DIV/0!</v>
      </c>
      <c r="AD95" s="57" t="e">
        <f t="shared" si="38"/>
        <v>#DIV/0!</v>
      </c>
      <c r="AE95" s="57" t="e">
        <f t="shared" si="38"/>
        <v>#DIV/0!</v>
      </c>
      <c r="AF95" s="57" t="e">
        <f t="shared" si="38"/>
        <v>#DIV/0!</v>
      </c>
      <c r="AG95" s="57" t="e">
        <f t="shared" si="38"/>
        <v>#DIV/0!</v>
      </c>
      <c r="AH95" s="57" t="e">
        <f t="shared" ref="AH95:BR95" si="39">STDEV(AH81:AH93)</f>
        <v>#DIV/0!</v>
      </c>
      <c r="AI95" s="57" t="e">
        <f t="shared" si="39"/>
        <v>#DIV/0!</v>
      </c>
      <c r="AJ95" s="57" t="e">
        <f t="shared" si="39"/>
        <v>#DIV/0!</v>
      </c>
      <c r="AK95" s="57" t="e">
        <f t="shared" si="39"/>
        <v>#DIV/0!</v>
      </c>
      <c r="AL95" s="57" t="e">
        <f t="shared" si="39"/>
        <v>#DIV/0!</v>
      </c>
      <c r="AM95" s="57" t="e">
        <f t="shared" si="39"/>
        <v>#DIV/0!</v>
      </c>
      <c r="AN95" s="57" t="e">
        <f t="shared" si="39"/>
        <v>#DIV/0!</v>
      </c>
      <c r="AO95" s="57" t="e">
        <f t="shared" si="39"/>
        <v>#DIV/0!</v>
      </c>
      <c r="AP95" s="57" t="e">
        <f t="shared" si="39"/>
        <v>#DIV/0!</v>
      </c>
      <c r="AQ95" s="57" t="e">
        <f t="shared" si="39"/>
        <v>#DIV/0!</v>
      </c>
      <c r="AR95" s="57" t="e">
        <f t="shared" si="39"/>
        <v>#DIV/0!</v>
      </c>
      <c r="AS95" s="57" t="e">
        <f t="shared" si="39"/>
        <v>#DIV/0!</v>
      </c>
      <c r="AT95" s="57" t="e">
        <f t="shared" si="39"/>
        <v>#DIV/0!</v>
      </c>
      <c r="AU95" s="57" t="e">
        <f t="shared" si="39"/>
        <v>#DIV/0!</v>
      </c>
      <c r="AV95" s="57" t="e">
        <f t="shared" si="39"/>
        <v>#DIV/0!</v>
      </c>
      <c r="AW95" s="57" t="e">
        <f t="shared" si="39"/>
        <v>#DIV/0!</v>
      </c>
      <c r="AX95" s="57" t="e">
        <f t="shared" si="39"/>
        <v>#DIV/0!</v>
      </c>
      <c r="AY95" s="57" t="e">
        <f t="shared" si="39"/>
        <v>#DIV/0!</v>
      </c>
      <c r="AZ95" s="57" t="e">
        <f t="shared" si="39"/>
        <v>#DIV/0!</v>
      </c>
      <c r="BA95" s="57" t="e">
        <f t="shared" si="39"/>
        <v>#DIV/0!</v>
      </c>
      <c r="BB95" s="57" t="e">
        <f t="shared" si="39"/>
        <v>#DIV/0!</v>
      </c>
      <c r="BC95" s="57" t="e">
        <f t="shared" si="39"/>
        <v>#DIV/0!</v>
      </c>
      <c r="BD95" s="57" t="e">
        <f t="shared" si="39"/>
        <v>#DIV/0!</v>
      </c>
      <c r="BE95" s="57" t="e">
        <f t="shared" si="39"/>
        <v>#DIV/0!</v>
      </c>
      <c r="BF95" s="57" t="e">
        <f t="shared" si="39"/>
        <v>#DIV/0!</v>
      </c>
      <c r="BG95" s="57" t="e">
        <f t="shared" si="39"/>
        <v>#DIV/0!</v>
      </c>
      <c r="BH95" s="57" t="e">
        <f t="shared" si="39"/>
        <v>#DIV/0!</v>
      </c>
      <c r="BI95" s="57" t="e">
        <f t="shared" si="39"/>
        <v>#DIV/0!</v>
      </c>
      <c r="BJ95" s="57" t="e">
        <f t="shared" si="39"/>
        <v>#DIV/0!</v>
      </c>
      <c r="BK95" s="57" t="e">
        <f t="shared" si="39"/>
        <v>#DIV/0!</v>
      </c>
      <c r="BL95" s="57" t="e">
        <f t="shared" si="39"/>
        <v>#DIV/0!</v>
      </c>
      <c r="BM95" s="57" t="e">
        <f t="shared" si="39"/>
        <v>#DIV/0!</v>
      </c>
      <c r="BN95" s="57" t="e">
        <f t="shared" si="39"/>
        <v>#DIV/0!</v>
      </c>
      <c r="BO95" s="57" t="e">
        <f t="shared" si="39"/>
        <v>#DIV/0!</v>
      </c>
      <c r="BP95" s="57" t="e">
        <f t="shared" si="39"/>
        <v>#DIV/0!</v>
      </c>
      <c r="BQ95" s="57" t="e">
        <f t="shared" si="39"/>
        <v>#DIV/0!</v>
      </c>
      <c r="BR95" s="57" t="e">
        <f t="shared" si="39"/>
        <v>#DIV/0!</v>
      </c>
    </row>
    <row r="96" spans="1:70" ht="13.5" thickBot="1">
      <c r="A96" t="s">
        <v>144</v>
      </c>
      <c r="B96" s="193" t="e">
        <f t="shared" ref="B96:AG96" si="40">B95/(SQRT(COUNT(B81:B93)))</f>
        <v>#DIV/0!</v>
      </c>
      <c r="C96" s="193" t="e">
        <f t="shared" si="40"/>
        <v>#DIV/0!</v>
      </c>
      <c r="D96" s="193" t="e">
        <f t="shared" si="40"/>
        <v>#DIV/0!</v>
      </c>
      <c r="E96" s="193" t="e">
        <f t="shared" si="40"/>
        <v>#DIV/0!</v>
      </c>
      <c r="F96" s="193" t="e">
        <f t="shared" si="40"/>
        <v>#DIV/0!</v>
      </c>
      <c r="G96" s="193" t="e">
        <f t="shared" si="40"/>
        <v>#DIV/0!</v>
      </c>
      <c r="H96" s="193" t="e">
        <f t="shared" si="40"/>
        <v>#DIV/0!</v>
      </c>
      <c r="I96" s="193" t="e">
        <f t="shared" si="40"/>
        <v>#DIV/0!</v>
      </c>
      <c r="J96" s="193" t="e">
        <f t="shared" si="40"/>
        <v>#DIV/0!</v>
      </c>
      <c r="K96" s="193" t="e">
        <f t="shared" si="40"/>
        <v>#DIV/0!</v>
      </c>
      <c r="L96" s="193" t="e">
        <f t="shared" si="40"/>
        <v>#DIV/0!</v>
      </c>
      <c r="M96" s="193" t="e">
        <f t="shared" si="40"/>
        <v>#DIV/0!</v>
      </c>
      <c r="N96" s="193" t="e">
        <f t="shared" si="40"/>
        <v>#DIV/0!</v>
      </c>
      <c r="O96" s="193" t="e">
        <f t="shared" si="40"/>
        <v>#DIV/0!</v>
      </c>
      <c r="P96" s="193" t="e">
        <f t="shared" si="40"/>
        <v>#DIV/0!</v>
      </c>
      <c r="Q96" s="193" t="e">
        <f t="shared" si="40"/>
        <v>#DIV/0!</v>
      </c>
      <c r="R96" s="193" t="e">
        <f t="shared" si="40"/>
        <v>#DIV/0!</v>
      </c>
      <c r="S96" s="193" t="e">
        <f t="shared" si="40"/>
        <v>#DIV/0!</v>
      </c>
      <c r="T96" s="193" t="e">
        <f t="shared" si="40"/>
        <v>#DIV/0!</v>
      </c>
      <c r="U96" s="193" t="e">
        <f t="shared" si="40"/>
        <v>#DIV/0!</v>
      </c>
      <c r="V96" s="193" t="e">
        <f t="shared" si="40"/>
        <v>#DIV/0!</v>
      </c>
      <c r="W96" s="193" t="e">
        <f t="shared" si="40"/>
        <v>#DIV/0!</v>
      </c>
      <c r="X96" s="193" t="e">
        <f t="shared" si="40"/>
        <v>#DIV/0!</v>
      </c>
      <c r="Y96" s="193" t="e">
        <f t="shared" si="40"/>
        <v>#DIV/0!</v>
      </c>
      <c r="Z96" s="193" t="e">
        <f t="shared" si="40"/>
        <v>#DIV/0!</v>
      </c>
      <c r="AA96" s="193" t="e">
        <f t="shared" si="40"/>
        <v>#DIV/0!</v>
      </c>
      <c r="AB96" s="193" t="e">
        <f t="shared" si="40"/>
        <v>#DIV/0!</v>
      </c>
      <c r="AC96" s="193" t="e">
        <f t="shared" si="40"/>
        <v>#DIV/0!</v>
      </c>
      <c r="AD96" s="193" t="e">
        <f t="shared" si="40"/>
        <v>#DIV/0!</v>
      </c>
      <c r="AE96" s="193" t="e">
        <f t="shared" si="40"/>
        <v>#DIV/0!</v>
      </c>
      <c r="AF96" s="193" t="e">
        <f t="shared" si="40"/>
        <v>#DIV/0!</v>
      </c>
      <c r="AG96" s="193" t="e">
        <f t="shared" si="40"/>
        <v>#DIV/0!</v>
      </c>
      <c r="AH96" s="193" t="e">
        <f t="shared" ref="AH96:BM96" si="41">AH95/(SQRT(COUNT(AH81:AH93)))</f>
        <v>#DIV/0!</v>
      </c>
      <c r="AI96" s="193" t="e">
        <f t="shared" si="41"/>
        <v>#DIV/0!</v>
      </c>
      <c r="AJ96" s="193" t="e">
        <f t="shared" si="41"/>
        <v>#DIV/0!</v>
      </c>
      <c r="AK96" s="193" t="e">
        <f t="shared" si="41"/>
        <v>#DIV/0!</v>
      </c>
      <c r="AL96" s="193" t="e">
        <f t="shared" si="41"/>
        <v>#DIV/0!</v>
      </c>
      <c r="AM96" s="193" t="e">
        <f t="shared" si="41"/>
        <v>#DIV/0!</v>
      </c>
      <c r="AN96" s="193" t="e">
        <f t="shared" si="41"/>
        <v>#DIV/0!</v>
      </c>
      <c r="AO96" s="193" t="e">
        <f t="shared" si="41"/>
        <v>#DIV/0!</v>
      </c>
      <c r="AP96" s="193" t="e">
        <f t="shared" si="41"/>
        <v>#DIV/0!</v>
      </c>
      <c r="AQ96" s="193" t="e">
        <f t="shared" si="41"/>
        <v>#DIV/0!</v>
      </c>
      <c r="AR96" s="193" t="e">
        <f t="shared" si="41"/>
        <v>#DIV/0!</v>
      </c>
      <c r="AS96" s="193" t="e">
        <f t="shared" si="41"/>
        <v>#DIV/0!</v>
      </c>
      <c r="AT96" s="193" t="e">
        <f t="shared" si="41"/>
        <v>#DIV/0!</v>
      </c>
      <c r="AU96" s="193" t="e">
        <f t="shared" si="41"/>
        <v>#DIV/0!</v>
      </c>
      <c r="AV96" s="193" t="e">
        <f t="shared" si="41"/>
        <v>#DIV/0!</v>
      </c>
      <c r="AW96" s="193" t="e">
        <f t="shared" si="41"/>
        <v>#DIV/0!</v>
      </c>
      <c r="AX96" s="193" t="e">
        <f t="shared" si="41"/>
        <v>#DIV/0!</v>
      </c>
      <c r="AY96" s="193" t="e">
        <f t="shared" si="41"/>
        <v>#DIV/0!</v>
      </c>
      <c r="AZ96" s="193" t="e">
        <f t="shared" si="41"/>
        <v>#DIV/0!</v>
      </c>
      <c r="BA96" s="193" t="e">
        <f t="shared" si="41"/>
        <v>#DIV/0!</v>
      </c>
      <c r="BB96" s="193" t="e">
        <f t="shared" si="41"/>
        <v>#DIV/0!</v>
      </c>
      <c r="BC96" s="193" t="e">
        <f t="shared" si="41"/>
        <v>#DIV/0!</v>
      </c>
      <c r="BD96" s="193" t="e">
        <f t="shared" si="41"/>
        <v>#DIV/0!</v>
      </c>
      <c r="BE96" s="193" t="e">
        <f t="shared" si="41"/>
        <v>#DIV/0!</v>
      </c>
      <c r="BF96" s="193" t="e">
        <f t="shared" si="41"/>
        <v>#DIV/0!</v>
      </c>
      <c r="BG96" s="193" t="e">
        <f t="shared" si="41"/>
        <v>#DIV/0!</v>
      </c>
      <c r="BH96" s="193" t="e">
        <f t="shared" si="41"/>
        <v>#DIV/0!</v>
      </c>
      <c r="BI96" s="193" t="e">
        <f t="shared" si="41"/>
        <v>#DIV/0!</v>
      </c>
      <c r="BJ96" s="193" t="e">
        <f t="shared" si="41"/>
        <v>#DIV/0!</v>
      </c>
      <c r="BK96" s="193" t="e">
        <f t="shared" si="41"/>
        <v>#DIV/0!</v>
      </c>
      <c r="BL96" s="193" t="e">
        <f t="shared" si="41"/>
        <v>#DIV/0!</v>
      </c>
      <c r="BM96" s="193" t="e">
        <f t="shared" si="41"/>
        <v>#DIV/0!</v>
      </c>
      <c r="BN96" s="193" t="e">
        <f t="shared" ref="BN96:BR96" si="42">BN95/(SQRT(COUNT(BN81:BN93)))</f>
        <v>#DIV/0!</v>
      </c>
      <c r="BO96" s="193" t="e">
        <f t="shared" si="42"/>
        <v>#DIV/0!</v>
      </c>
      <c r="BP96" s="193" t="e">
        <f t="shared" si="42"/>
        <v>#DIV/0!</v>
      </c>
      <c r="BQ96" s="193" t="e">
        <f t="shared" si="42"/>
        <v>#DIV/0!</v>
      </c>
      <c r="BR96" s="193" t="e">
        <f t="shared" si="42"/>
        <v>#DIV/0!</v>
      </c>
    </row>
    <row r="97" spans="1:70">
      <c r="A97" s="201" t="s">
        <v>146</v>
      </c>
      <c r="B97" s="202" t="s">
        <v>40</v>
      </c>
      <c r="C97" s="202" t="s">
        <v>41</v>
      </c>
      <c r="D97" s="202" t="s">
        <v>42</v>
      </c>
      <c r="E97" s="202" t="s">
        <v>43</v>
      </c>
      <c r="F97" s="202" t="s">
        <v>44</v>
      </c>
      <c r="G97" s="202" t="s">
        <v>45</v>
      </c>
      <c r="H97" s="202" t="s">
        <v>46</v>
      </c>
      <c r="I97" s="202" t="s">
        <v>47</v>
      </c>
      <c r="J97" s="202" t="s">
        <v>48</v>
      </c>
      <c r="K97" s="202" t="s">
        <v>49</v>
      </c>
      <c r="L97" s="202" t="s">
        <v>50</v>
      </c>
      <c r="M97" s="202" t="s">
        <v>51</v>
      </c>
      <c r="N97" s="202" t="s">
        <v>52</v>
      </c>
      <c r="O97" s="202" t="s">
        <v>53</v>
      </c>
      <c r="P97" s="202" t="s">
        <v>54</v>
      </c>
      <c r="Q97" s="202" t="s">
        <v>55</v>
      </c>
      <c r="R97" s="202" t="s">
        <v>56</v>
      </c>
      <c r="S97" s="202" t="s">
        <v>57</v>
      </c>
      <c r="T97" s="202" t="s">
        <v>58</v>
      </c>
      <c r="U97" s="202" t="s">
        <v>59</v>
      </c>
      <c r="V97" s="202" t="s">
        <v>60</v>
      </c>
      <c r="W97" s="202" t="s">
        <v>61</v>
      </c>
      <c r="X97" s="202" t="s">
        <v>62</v>
      </c>
      <c r="Y97" s="202" t="s">
        <v>63</v>
      </c>
      <c r="Z97" s="202" t="s">
        <v>64</v>
      </c>
      <c r="AA97" s="202" t="s">
        <v>65</v>
      </c>
      <c r="AB97" s="202" t="s">
        <v>66</v>
      </c>
      <c r="AC97" s="202" t="s">
        <v>67</v>
      </c>
      <c r="AD97" s="202" t="s">
        <v>68</v>
      </c>
      <c r="AE97" s="202" t="s">
        <v>69</v>
      </c>
      <c r="AF97" s="202" t="s">
        <v>70</v>
      </c>
      <c r="AG97" s="202" t="s">
        <v>71</v>
      </c>
      <c r="AH97" s="202" t="s">
        <v>72</v>
      </c>
      <c r="AI97" s="202" t="s">
        <v>73</v>
      </c>
      <c r="AJ97" s="202" t="s">
        <v>74</v>
      </c>
      <c r="AK97" s="202" t="s">
        <v>75</v>
      </c>
      <c r="AL97" s="202" t="s">
        <v>76</v>
      </c>
      <c r="AM97" s="202" t="s">
        <v>77</v>
      </c>
      <c r="AN97" s="202" t="s">
        <v>78</v>
      </c>
      <c r="AO97" s="202" t="s">
        <v>79</v>
      </c>
      <c r="AP97" s="202" t="s">
        <v>80</v>
      </c>
      <c r="AQ97" s="202" t="s">
        <v>81</v>
      </c>
      <c r="AR97" s="202" t="s">
        <v>82</v>
      </c>
      <c r="AS97" s="202" t="s">
        <v>83</v>
      </c>
      <c r="AT97" s="202" t="s">
        <v>84</v>
      </c>
      <c r="AU97" s="202" t="s">
        <v>85</v>
      </c>
      <c r="AV97" s="202" t="s">
        <v>86</v>
      </c>
      <c r="AW97" s="202" t="s">
        <v>87</v>
      </c>
      <c r="AX97" s="202" t="s">
        <v>88</v>
      </c>
      <c r="AY97" s="202" t="s">
        <v>89</v>
      </c>
      <c r="AZ97" s="202" t="s">
        <v>90</v>
      </c>
      <c r="BA97" s="202" t="s">
        <v>91</v>
      </c>
      <c r="BB97" s="202" t="s">
        <v>92</v>
      </c>
      <c r="BC97" s="202" t="s">
        <v>93</v>
      </c>
      <c r="BD97" s="202"/>
      <c r="BE97" s="202" t="s">
        <v>94</v>
      </c>
      <c r="BF97" s="202" t="s">
        <v>95</v>
      </c>
      <c r="BG97" s="202" t="s">
        <v>96</v>
      </c>
      <c r="BH97" s="202"/>
      <c r="BI97" s="202" t="s">
        <v>97</v>
      </c>
      <c r="BJ97" s="202" t="s">
        <v>98</v>
      </c>
      <c r="BK97" s="202" t="s">
        <v>99</v>
      </c>
      <c r="BL97" s="202" t="s">
        <v>100</v>
      </c>
      <c r="BM97" s="202" t="s">
        <v>101</v>
      </c>
      <c r="BN97" s="202" t="s">
        <v>102</v>
      </c>
      <c r="BO97" s="202" t="s">
        <v>103</v>
      </c>
      <c r="BP97" s="202" t="s">
        <v>104</v>
      </c>
      <c r="BQ97" s="202" t="s">
        <v>105</v>
      </c>
      <c r="BR97" s="202"/>
    </row>
    <row r="98" spans="1:70">
      <c r="A98" s="194" t="s">
        <v>180</v>
      </c>
      <c r="B98">
        <v>2.8146448019082553</v>
      </c>
      <c r="C98">
        <v>3.5612504936320586</v>
      </c>
      <c r="D98">
        <v>0.24856174111507082</v>
      </c>
      <c r="E98">
        <v>0.31449461141382884</v>
      </c>
      <c r="F98">
        <v>0.75501709128350203</v>
      </c>
      <c r="G98">
        <v>0.9552910502991615</v>
      </c>
      <c r="H98">
        <v>1.9299238560884575E-2</v>
      </c>
      <c r="I98">
        <v>2.4418506663816446E-2</v>
      </c>
      <c r="J98">
        <v>73.17540420121145</v>
      </c>
      <c r="K98">
        <v>73.17540420121145</v>
      </c>
      <c r="L98">
        <v>92.235635913110997</v>
      </c>
      <c r="M98">
        <v>92.235635913110997</v>
      </c>
      <c r="N98">
        <v>-1.4858912624820348</v>
      </c>
      <c r="O98">
        <v>-1.8800350894756321</v>
      </c>
      <c r="P98">
        <v>-8.725446947526248E-3</v>
      </c>
      <c r="Q98">
        <v>-1.103993734057355E-2</v>
      </c>
      <c r="R98">
        <v>152.79143078638694</v>
      </c>
      <c r="S98">
        <v>152.79143078638694</v>
      </c>
      <c r="T98">
        <v>103.51037408588428</v>
      </c>
      <c r="U98">
        <v>103.51037408588431</v>
      </c>
      <c r="V98">
        <v>2.8146448019082553</v>
      </c>
      <c r="W98">
        <v>3.5612504936320586</v>
      </c>
      <c r="X98">
        <v>2.5013071895424837</v>
      </c>
      <c r="Y98">
        <v>3.1647977241904006</v>
      </c>
      <c r="Z98">
        <v>0.2208908455073294</v>
      </c>
      <c r="AA98">
        <v>0.27948380274074131</v>
      </c>
      <c r="AB98">
        <v>2.6313071895424835</v>
      </c>
      <c r="AC98">
        <v>3.3292812014157653</v>
      </c>
      <c r="AD98">
        <v>6.7259702812320646E-2</v>
      </c>
      <c r="AE98">
        <v>8.5100844582424159E-2</v>
      </c>
      <c r="AF98">
        <v>3.2563242808259854</v>
      </c>
      <c r="AG98">
        <v>4.1200887744895613</v>
      </c>
      <c r="AH98">
        <v>8.3235968897641843E-2</v>
      </c>
      <c r="AI98">
        <v>0.1053149353423572</v>
      </c>
      <c r="AJ98">
        <v>3.1026655215745409</v>
      </c>
      <c r="AK98">
        <v>3.9256708742756175</v>
      </c>
      <c r="AL98">
        <v>7.930824714670516E-2</v>
      </c>
      <c r="AM98">
        <v>0.10034535587183595</v>
      </c>
      <c r="AN98">
        <v>9.307189542483659</v>
      </c>
      <c r="AO98">
        <v>11.775991531871256</v>
      </c>
      <c r="AP98">
        <v>5.4653655105192538E-2</v>
      </c>
      <c r="AQ98">
        <v>6.9150947959829789E-2</v>
      </c>
      <c r="AR98">
        <v>8.8738562091503255</v>
      </c>
      <c r="AS98">
        <v>11.227713274453373</v>
      </c>
      <c r="AT98">
        <v>5.2109036191235893E-2</v>
      </c>
      <c r="AU98">
        <v>6.5931349750745022E-2</v>
      </c>
      <c r="AV98">
        <v>8.1412329205245015</v>
      </c>
      <c r="AW98">
        <v>10.3007561513037</v>
      </c>
      <c r="AX98">
        <v>4.7806927551907297E-2</v>
      </c>
      <c r="AY98">
        <v>6.0488074455375407E-2</v>
      </c>
      <c r="AZ98">
        <v>6.6488506755546908</v>
      </c>
      <c r="BA98">
        <v>8.4125082974419279</v>
      </c>
      <c r="BB98">
        <v>3.9043364273284378E-2</v>
      </c>
      <c r="BC98">
        <v>4.9399910140356836E-2</v>
      </c>
      <c r="BE98">
        <v>93.75</v>
      </c>
      <c r="BF98">
        <v>11.323725</v>
      </c>
      <c r="BG98">
        <v>2.6212326388888889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1.2597499999999999</v>
      </c>
      <c r="BP98">
        <v>0.34939999999999999</v>
      </c>
      <c r="BQ98">
        <v>5.5599999999999997E-2</v>
      </c>
    </row>
    <row r="99" spans="1:70">
      <c r="A99" s="194"/>
    </row>
    <row r="100" spans="1:70">
      <c r="A100" s="194"/>
    </row>
    <row r="101" spans="1:70">
      <c r="A101" s="194"/>
    </row>
    <row r="102" spans="1:70">
      <c r="A102" s="194"/>
    </row>
    <row r="103" spans="1:70">
      <c r="A103" s="194"/>
    </row>
    <row r="104" spans="1:70">
      <c r="A104" s="194"/>
    </row>
    <row r="105" spans="1:70">
      <c r="A105" s="194"/>
    </row>
    <row r="106" spans="1:70">
      <c r="A106" s="194"/>
    </row>
    <row r="111" spans="1:70">
      <c r="A111" t="s">
        <v>142</v>
      </c>
      <c r="B111">
        <f t="shared" ref="B111:BM111" si="43">AVERAGE(B98:B110)</f>
        <v>2.8146448019082553</v>
      </c>
      <c r="C111">
        <f t="shared" si="43"/>
        <v>3.5612504936320586</v>
      </c>
      <c r="D111">
        <f t="shared" si="43"/>
        <v>0.24856174111507082</v>
      </c>
      <c r="E111">
        <f t="shared" si="43"/>
        <v>0.31449461141382884</v>
      </c>
      <c r="F111">
        <f t="shared" si="43"/>
        <v>0.75501709128350203</v>
      </c>
      <c r="G111">
        <f t="shared" si="43"/>
        <v>0.9552910502991615</v>
      </c>
      <c r="H111">
        <f t="shared" si="43"/>
        <v>1.9299238560884575E-2</v>
      </c>
      <c r="I111">
        <f t="shared" si="43"/>
        <v>2.4418506663816446E-2</v>
      </c>
      <c r="J111">
        <f t="shared" si="43"/>
        <v>73.17540420121145</v>
      </c>
      <c r="K111">
        <f t="shared" si="43"/>
        <v>73.17540420121145</v>
      </c>
      <c r="L111">
        <f t="shared" si="43"/>
        <v>92.235635913110997</v>
      </c>
      <c r="M111">
        <f t="shared" si="43"/>
        <v>92.235635913110997</v>
      </c>
      <c r="N111">
        <f t="shared" si="43"/>
        <v>-1.4858912624820348</v>
      </c>
      <c r="O111">
        <f t="shared" si="43"/>
        <v>-1.8800350894756321</v>
      </c>
      <c r="P111">
        <f t="shared" si="43"/>
        <v>-8.725446947526248E-3</v>
      </c>
      <c r="Q111">
        <f t="shared" si="43"/>
        <v>-1.103993734057355E-2</v>
      </c>
      <c r="R111">
        <f t="shared" si="43"/>
        <v>152.79143078638694</v>
      </c>
      <c r="S111">
        <f t="shared" si="43"/>
        <v>152.79143078638694</v>
      </c>
      <c r="T111">
        <f t="shared" si="43"/>
        <v>103.51037408588428</v>
      </c>
      <c r="U111">
        <f t="shared" si="43"/>
        <v>103.51037408588431</v>
      </c>
      <c r="V111">
        <f t="shared" si="43"/>
        <v>2.8146448019082553</v>
      </c>
      <c r="W111">
        <f t="shared" si="43"/>
        <v>3.5612504936320586</v>
      </c>
      <c r="X111">
        <f t="shared" si="43"/>
        <v>2.5013071895424837</v>
      </c>
      <c r="Y111">
        <f t="shared" si="43"/>
        <v>3.1647977241904006</v>
      </c>
      <c r="Z111">
        <f t="shared" si="43"/>
        <v>0.2208908455073294</v>
      </c>
      <c r="AA111">
        <f t="shared" si="43"/>
        <v>0.27948380274074131</v>
      </c>
      <c r="AB111">
        <f t="shared" si="43"/>
        <v>2.6313071895424835</v>
      </c>
      <c r="AC111">
        <f t="shared" si="43"/>
        <v>3.3292812014157653</v>
      </c>
      <c r="AD111">
        <f t="shared" si="43"/>
        <v>6.7259702812320646E-2</v>
      </c>
      <c r="AE111">
        <f t="shared" si="43"/>
        <v>8.5100844582424159E-2</v>
      </c>
      <c r="AF111">
        <f t="shared" si="43"/>
        <v>3.2563242808259854</v>
      </c>
      <c r="AG111">
        <f t="shared" si="43"/>
        <v>4.1200887744895613</v>
      </c>
      <c r="AH111">
        <f t="shared" si="43"/>
        <v>8.3235968897641843E-2</v>
      </c>
      <c r="AI111">
        <f t="shared" si="43"/>
        <v>0.1053149353423572</v>
      </c>
      <c r="AJ111">
        <f t="shared" si="43"/>
        <v>3.1026655215745409</v>
      </c>
      <c r="AK111">
        <f t="shared" si="43"/>
        <v>3.9256708742756175</v>
      </c>
      <c r="AL111">
        <f t="shared" si="43"/>
        <v>7.930824714670516E-2</v>
      </c>
      <c r="AM111">
        <f t="shared" si="43"/>
        <v>0.10034535587183595</v>
      </c>
      <c r="AN111">
        <f t="shared" si="43"/>
        <v>9.307189542483659</v>
      </c>
      <c r="AO111">
        <f t="shared" si="43"/>
        <v>11.775991531871256</v>
      </c>
      <c r="AP111">
        <f t="shared" si="43"/>
        <v>5.4653655105192538E-2</v>
      </c>
      <c r="AQ111">
        <f t="shared" si="43"/>
        <v>6.9150947959829789E-2</v>
      </c>
      <c r="AR111">
        <f t="shared" si="43"/>
        <v>8.8738562091503255</v>
      </c>
      <c r="AS111">
        <f t="shared" si="43"/>
        <v>11.227713274453373</v>
      </c>
      <c r="AT111">
        <f t="shared" si="43"/>
        <v>5.2109036191235893E-2</v>
      </c>
      <c r="AU111">
        <f t="shared" si="43"/>
        <v>6.5931349750745022E-2</v>
      </c>
      <c r="AV111">
        <f t="shared" si="43"/>
        <v>8.1412329205245015</v>
      </c>
      <c r="AW111">
        <f t="shared" si="43"/>
        <v>10.3007561513037</v>
      </c>
      <c r="AX111">
        <f t="shared" si="43"/>
        <v>4.7806927551907297E-2</v>
      </c>
      <c r="AY111">
        <f t="shared" si="43"/>
        <v>6.0488074455375407E-2</v>
      </c>
      <c r="AZ111">
        <f t="shared" si="43"/>
        <v>6.6488506755546908</v>
      </c>
      <c r="BA111">
        <f t="shared" si="43"/>
        <v>8.4125082974419279</v>
      </c>
      <c r="BB111">
        <f t="shared" si="43"/>
        <v>3.9043364273284378E-2</v>
      </c>
      <c r="BC111">
        <f t="shared" si="43"/>
        <v>4.9399910140356836E-2</v>
      </c>
      <c r="BD111" t="e">
        <f t="shared" si="43"/>
        <v>#DIV/0!</v>
      </c>
      <c r="BE111">
        <f t="shared" si="43"/>
        <v>93.75</v>
      </c>
      <c r="BF111">
        <f t="shared" si="43"/>
        <v>11.323725</v>
      </c>
      <c r="BG111">
        <f t="shared" si="43"/>
        <v>2.6212326388888889</v>
      </c>
      <c r="BH111" t="e">
        <f t="shared" si="43"/>
        <v>#DIV/0!</v>
      </c>
      <c r="BI111">
        <f t="shared" si="43"/>
        <v>0</v>
      </c>
      <c r="BJ111">
        <f t="shared" si="43"/>
        <v>0</v>
      </c>
      <c r="BK111">
        <f t="shared" si="43"/>
        <v>0</v>
      </c>
      <c r="BL111">
        <f t="shared" si="43"/>
        <v>0</v>
      </c>
      <c r="BM111">
        <f t="shared" si="43"/>
        <v>0</v>
      </c>
      <c r="BN111">
        <f t="shared" ref="BN111:BR111" si="44">AVERAGE(BN98:BN110)</f>
        <v>0</v>
      </c>
      <c r="BO111">
        <f t="shared" si="44"/>
        <v>1.2597499999999999</v>
      </c>
      <c r="BP111">
        <f t="shared" si="44"/>
        <v>0.34939999999999999</v>
      </c>
      <c r="BQ111">
        <f t="shared" si="44"/>
        <v>5.5599999999999997E-2</v>
      </c>
      <c r="BR111" t="e">
        <f t="shared" si="44"/>
        <v>#DIV/0!</v>
      </c>
    </row>
    <row r="112" spans="1:70">
      <c r="A112" t="s">
        <v>143</v>
      </c>
      <c r="B112" t="e">
        <f t="shared" ref="B112:BM112" si="45">STDEV(B98:B110)</f>
        <v>#DIV/0!</v>
      </c>
      <c r="C112" t="e">
        <f t="shared" si="45"/>
        <v>#DIV/0!</v>
      </c>
      <c r="D112" t="e">
        <f t="shared" si="45"/>
        <v>#DIV/0!</v>
      </c>
      <c r="E112" t="e">
        <f t="shared" si="45"/>
        <v>#DIV/0!</v>
      </c>
      <c r="F112" t="e">
        <f t="shared" si="45"/>
        <v>#DIV/0!</v>
      </c>
      <c r="G112" t="e">
        <f t="shared" si="45"/>
        <v>#DIV/0!</v>
      </c>
      <c r="H112" t="e">
        <f t="shared" si="45"/>
        <v>#DIV/0!</v>
      </c>
      <c r="I112" t="e">
        <f t="shared" si="45"/>
        <v>#DIV/0!</v>
      </c>
      <c r="J112" t="e">
        <f t="shared" si="45"/>
        <v>#DIV/0!</v>
      </c>
      <c r="K112" t="e">
        <f t="shared" si="45"/>
        <v>#DIV/0!</v>
      </c>
      <c r="L112" t="e">
        <f t="shared" si="45"/>
        <v>#DIV/0!</v>
      </c>
      <c r="M112" t="e">
        <f t="shared" si="45"/>
        <v>#DIV/0!</v>
      </c>
      <c r="N112" t="e">
        <f t="shared" si="45"/>
        <v>#DIV/0!</v>
      </c>
      <c r="O112" t="e">
        <f t="shared" si="45"/>
        <v>#DIV/0!</v>
      </c>
      <c r="P112" t="e">
        <f t="shared" si="45"/>
        <v>#DIV/0!</v>
      </c>
      <c r="Q112" t="e">
        <f t="shared" si="45"/>
        <v>#DIV/0!</v>
      </c>
      <c r="R112" t="e">
        <f t="shared" si="45"/>
        <v>#DIV/0!</v>
      </c>
      <c r="S112" t="e">
        <f t="shared" si="45"/>
        <v>#DIV/0!</v>
      </c>
      <c r="T112" t="e">
        <f t="shared" si="45"/>
        <v>#DIV/0!</v>
      </c>
      <c r="U112" t="e">
        <f t="shared" si="45"/>
        <v>#DIV/0!</v>
      </c>
      <c r="V112" t="e">
        <f t="shared" si="45"/>
        <v>#DIV/0!</v>
      </c>
      <c r="W112" t="e">
        <f t="shared" si="45"/>
        <v>#DIV/0!</v>
      </c>
      <c r="X112" t="e">
        <f t="shared" si="45"/>
        <v>#DIV/0!</v>
      </c>
      <c r="Y112" t="e">
        <f t="shared" si="45"/>
        <v>#DIV/0!</v>
      </c>
      <c r="Z112" t="e">
        <f t="shared" si="45"/>
        <v>#DIV/0!</v>
      </c>
      <c r="AA112" t="e">
        <f t="shared" si="45"/>
        <v>#DIV/0!</v>
      </c>
      <c r="AB112" t="e">
        <f t="shared" si="45"/>
        <v>#DIV/0!</v>
      </c>
      <c r="AC112" t="e">
        <f t="shared" si="45"/>
        <v>#DIV/0!</v>
      </c>
      <c r="AD112" t="e">
        <f t="shared" si="45"/>
        <v>#DIV/0!</v>
      </c>
      <c r="AE112" t="e">
        <f t="shared" si="45"/>
        <v>#DIV/0!</v>
      </c>
      <c r="AF112" t="e">
        <f t="shared" si="45"/>
        <v>#DIV/0!</v>
      </c>
      <c r="AG112" t="e">
        <f t="shared" si="45"/>
        <v>#DIV/0!</v>
      </c>
      <c r="AH112" t="e">
        <f t="shared" si="45"/>
        <v>#DIV/0!</v>
      </c>
      <c r="AI112" t="e">
        <f t="shared" si="45"/>
        <v>#DIV/0!</v>
      </c>
      <c r="AJ112" t="e">
        <f t="shared" si="45"/>
        <v>#DIV/0!</v>
      </c>
      <c r="AK112" t="e">
        <f t="shared" si="45"/>
        <v>#DIV/0!</v>
      </c>
      <c r="AL112" t="e">
        <f t="shared" si="45"/>
        <v>#DIV/0!</v>
      </c>
      <c r="AM112" t="e">
        <f t="shared" si="45"/>
        <v>#DIV/0!</v>
      </c>
      <c r="AN112" t="e">
        <f t="shared" si="45"/>
        <v>#DIV/0!</v>
      </c>
      <c r="AO112" t="e">
        <f t="shared" si="45"/>
        <v>#DIV/0!</v>
      </c>
      <c r="AP112" t="e">
        <f t="shared" si="45"/>
        <v>#DIV/0!</v>
      </c>
      <c r="AQ112" t="e">
        <f t="shared" si="45"/>
        <v>#DIV/0!</v>
      </c>
      <c r="AR112" t="e">
        <f t="shared" si="45"/>
        <v>#DIV/0!</v>
      </c>
      <c r="AS112" t="e">
        <f t="shared" si="45"/>
        <v>#DIV/0!</v>
      </c>
      <c r="AT112" t="e">
        <f t="shared" si="45"/>
        <v>#DIV/0!</v>
      </c>
      <c r="AU112" t="e">
        <f t="shared" si="45"/>
        <v>#DIV/0!</v>
      </c>
      <c r="AV112" t="e">
        <f t="shared" si="45"/>
        <v>#DIV/0!</v>
      </c>
      <c r="AW112" t="e">
        <f t="shared" si="45"/>
        <v>#DIV/0!</v>
      </c>
      <c r="AX112" t="e">
        <f t="shared" si="45"/>
        <v>#DIV/0!</v>
      </c>
      <c r="AY112" t="e">
        <f t="shared" si="45"/>
        <v>#DIV/0!</v>
      </c>
      <c r="AZ112" t="e">
        <f t="shared" si="45"/>
        <v>#DIV/0!</v>
      </c>
      <c r="BA112" t="e">
        <f t="shared" si="45"/>
        <v>#DIV/0!</v>
      </c>
      <c r="BB112" t="e">
        <f t="shared" si="45"/>
        <v>#DIV/0!</v>
      </c>
      <c r="BC112" t="e">
        <f t="shared" si="45"/>
        <v>#DIV/0!</v>
      </c>
      <c r="BD112" t="e">
        <f t="shared" si="45"/>
        <v>#DIV/0!</v>
      </c>
      <c r="BE112" t="e">
        <f t="shared" si="45"/>
        <v>#DIV/0!</v>
      </c>
      <c r="BF112" t="e">
        <f t="shared" si="45"/>
        <v>#DIV/0!</v>
      </c>
      <c r="BG112" t="e">
        <f t="shared" si="45"/>
        <v>#DIV/0!</v>
      </c>
      <c r="BH112" t="e">
        <f t="shared" si="45"/>
        <v>#DIV/0!</v>
      </c>
      <c r="BI112" t="e">
        <f t="shared" si="45"/>
        <v>#DIV/0!</v>
      </c>
      <c r="BJ112" t="e">
        <f t="shared" si="45"/>
        <v>#DIV/0!</v>
      </c>
      <c r="BK112" t="e">
        <f t="shared" si="45"/>
        <v>#DIV/0!</v>
      </c>
      <c r="BL112" t="e">
        <f t="shared" si="45"/>
        <v>#DIV/0!</v>
      </c>
      <c r="BM112" t="e">
        <f t="shared" si="45"/>
        <v>#DIV/0!</v>
      </c>
      <c r="BN112" t="e">
        <f t="shared" ref="BN112:BR112" si="46">STDEV(BN98:BN110)</f>
        <v>#DIV/0!</v>
      </c>
      <c r="BO112" t="e">
        <f t="shared" si="46"/>
        <v>#DIV/0!</v>
      </c>
      <c r="BP112" t="e">
        <f t="shared" si="46"/>
        <v>#DIV/0!</v>
      </c>
      <c r="BQ112" t="e">
        <f t="shared" si="46"/>
        <v>#DIV/0!</v>
      </c>
      <c r="BR112" t="e">
        <f t="shared" si="46"/>
        <v>#DIV/0!</v>
      </c>
    </row>
    <row r="113" spans="1:70" ht="13.5" thickBot="1">
      <c r="A113" s="193" t="s">
        <v>144</v>
      </c>
      <c r="B113" s="193" t="e">
        <f t="shared" ref="B113:BM113" si="47">B112/(SQRT(COUNT(B98:B110)))</f>
        <v>#DIV/0!</v>
      </c>
      <c r="C113" s="193" t="e">
        <f t="shared" si="47"/>
        <v>#DIV/0!</v>
      </c>
      <c r="D113" s="193" t="e">
        <f t="shared" si="47"/>
        <v>#DIV/0!</v>
      </c>
      <c r="E113" s="193" t="e">
        <f t="shared" si="47"/>
        <v>#DIV/0!</v>
      </c>
      <c r="F113" s="193" t="e">
        <f t="shared" si="47"/>
        <v>#DIV/0!</v>
      </c>
      <c r="G113" s="193" t="e">
        <f t="shared" si="47"/>
        <v>#DIV/0!</v>
      </c>
      <c r="H113" s="193" t="e">
        <f t="shared" si="47"/>
        <v>#DIV/0!</v>
      </c>
      <c r="I113" s="193" t="e">
        <f t="shared" si="47"/>
        <v>#DIV/0!</v>
      </c>
      <c r="J113" s="193" t="e">
        <f t="shared" si="47"/>
        <v>#DIV/0!</v>
      </c>
      <c r="K113" s="193" t="e">
        <f t="shared" si="47"/>
        <v>#DIV/0!</v>
      </c>
      <c r="L113" s="193" t="e">
        <f t="shared" si="47"/>
        <v>#DIV/0!</v>
      </c>
      <c r="M113" s="193" t="e">
        <f t="shared" si="47"/>
        <v>#DIV/0!</v>
      </c>
      <c r="N113" s="193" t="e">
        <f t="shared" si="47"/>
        <v>#DIV/0!</v>
      </c>
      <c r="O113" s="193" t="e">
        <f t="shared" si="47"/>
        <v>#DIV/0!</v>
      </c>
      <c r="P113" s="193" t="e">
        <f t="shared" si="47"/>
        <v>#DIV/0!</v>
      </c>
      <c r="Q113" s="193" t="e">
        <f t="shared" si="47"/>
        <v>#DIV/0!</v>
      </c>
      <c r="R113" s="193" t="e">
        <f t="shared" si="47"/>
        <v>#DIV/0!</v>
      </c>
      <c r="S113" s="193" t="e">
        <f t="shared" si="47"/>
        <v>#DIV/0!</v>
      </c>
      <c r="T113" s="193" t="e">
        <f t="shared" si="47"/>
        <v>#DIV/0!</v>
      </c>
      <c r="U113" s="193" t="e">
        <f t="shared" si="47"/>
        <v>#DIV/0!</v>
      </c>
      <c r="V113" s="193" t="e">
        <f t="shared" si="47"/>
        <v>#DIV/0!</v>
      </c>
      <c r="W113" s="193" t="e">
        <f t="shared" si="47"/>
        <v>#DIV/0!</v>
      </c>
      <c r="X113" s="193" t="e">
        <f t="shared" si="47"/>
        <v>#DIV/0!</v>
      </c>
      <c r="Y113" s="193" t="e">
        <f t="shared" si="47"/>
        <v>#DIV/0!</v>
      </c>
      <c r="Z113" s="193" t="e">
        <f t="shared" si="47"/>
        <v>#DIV/0!</v>
      </c>
      <c r="AA113" s="193" t="e">
        <f t="shared" si="47"/>
        <v>#DIV/0!</v>
      </c>
      <c r="AB113" s="193" t="e">
        <f t="shared" si="47"/>
        <v>#DIV/0!</v>
      </c>
      <c r="AC113" s="193" t="e">
        <f t="shared" si="47"/>
        <v>#DIV/0!</v>
      </c>
      <c r="AD113" s="193" t="e">
        <f t="shared" si="47"/>
        <v>#DIV/0!</v>
      </c>
      <c r="AE113" s="193" t="e">
        <f t="shared" si="47"/>
        <v>#DIV/0!</v>
      </c>
      <c r="AF113" s="193" t="e">
        <f t="shared" si="47"/>
        <v>#DIV/0!</v>
      </c>
      <c r="AG113" s="193" t="e">
        <f t="shared" si="47"/>
        <v>#DIV/0!</v>
      </c>
      <c r="AH113" s="193" t="e">
        <f t="shared" si="47"/>
        <v>#DIV/0!</v>
      </c>
      <c r="AI113" s="193" t="e">
        <f t="shared" si="47"/>
        <v>#DIV/0!</v>
      </c>
      <c r="AJ113" s="193" t="e">
        <f t="shared" si="47"/>
        <v>#DIV/0!</v>
      </c>
      <c r="AK113" s="193" t="e">
        <f t="shared" si="47"/>
        <v>#DIV/0!</v>
      </c>
      <c r="AL113" s="193" t="e">
        <f t="shared" si="47"/>
        <v>#DIV/0!</v>
      </c>
      <c r="AM113" s="193" t="e">
        <f t="shared" si="47"/>
        <v>#DIV/0!</v>
      </c>
      <c r="AN113" s="193" t="e">
        <f t="shared" si="47"/>
        <v>#DIV/0!</v>
      </c>
      <c r="AO113" s="193" t="e">
        <f t="shared" si="47"/>
        <v>#DIV/0!</v>
      </c>
      <c r="AP113" s="193" t="e">
        <f t="shared" si="47"/>
        <v>#DIV/0!</v>
      </c>
      <c r="AQ113" s="193" t="e">
        <f t="shared" si="47"/>
        <v>#DIV/0!</v>
      </c>
      <c r="AR113" s="193" t="e">
        <f t="shared" si="47"/>
        <v>#DIV/0!</v>
      </c>
      <c r="AS113" s="193" t="e">
        <f t="shared" si="47"/>
        <v>#DIV/0!</v>
      </c>
      <c r="AT113" s="193" t="e">
        <f t="shared" si="47"/>
        <v>#DIV/0!</v>
      </c>
      <c r="AU113" s="193" t="e">
        <f t="shared" si="47"/>
        <v>#DIV/0!</v>
      </c>
      <c r="AV113" s="193" t="e">
        <f t="shared" si="47"/>
        <v>#DIV/0!</v>
      </c>
      <c r="AW113" s="193" t="e">
        <f t="shared" si="47"/>
        <v>#DIV/0!</v>
      </c>
      <c r="AX113" s="193" t="e">
        <f t="shared" si="47"/>
        <v>#DIV/0!</v>
      </c>
      <c r="AY113" s="193" t="e">
        <f t="shared" si="47"/>
        <v>#DIV/0!</v>
      </c>
      <c r="AZ113" s="193" t="e">
        <f t="shared" si="47"/>
        <v>#DIV/0!</v>
      </c>
      <c r="BA113" s="193" t="e">
        <f t="shared" si="47"/>
        <v>#DIV/0!</v>
      </c>
      <c r="BB113" s="193" t="e">
        <f t="shared" si="47"/>
        <v>#DIV/0!</v>
      </c>
      <c r="BC113" s="193" t="e">
        <f t="shared" si="47"/>
        <v>#DIV/0!</v>
      </c>
      <c r="BD113" s="193" t="e">
        <f t="shared" si="47"/>
        <v>#DIV/0!</v>
      </c>
      <c r="BE113" s="193" t="e">
        <f t="shared" si="47"/>
        <v>#DIV/0!</v>
      </c>
      <c r="BF113" s="193" t="e">
        <f t="shared" si="47"/>
        <v>#DIV/0!</v>
      </c>
      <c r="BG113" s="193" t="e">
        <f t="shared" si="47"/>
        <v>#DIV/0!</v>
      </c>
      <c r="BH113" s="193" t="e">
        <f t="shared" si="47"/>
        <v>#DIV/0!</v>
      </c>
      <c r="BI113" s="193" t="e">
        <f t="shared" si="47"/>
        <v>#DIV/0!</v>
      </c>
      <c r="BJ113" s="193" t="e">
        <f t="shared" si="47"/>
        <v>#DIV/0!</v>
      </c>
      <c r="BK113" s="193" t="e">
        <f t="shared" si="47"/>
        <v>#DIV/0!</v>
      </c>
      <c r="BL113" s="193" t="e">
        <f t="shared" si="47"/>
        <v>#DIV/0!</v>
      </c>
      <c r="BM113" s="193" t="e">
        <f t="shared" si="47"/>
        <v>#DIV/0!</v>
      </c>
      <c r="BN113" s="193" t="e">
        <f t="shared" ref="BN113:BR113" si="48">BN112/(SQRT(COUNT(BN98:BN110)))</f>
        <v>#DIV/0!</v>
      </c>
      <c r="BO113" s="193" t="e">
        <f t="shared" si="48"/>
        <v>#DIV/0!</v>
      </c>
      <c r="BP113" s="193" t="e">
        <f t="shared" si="48"/>
        <v>#DIV/0!</v>
      </c>
      <c r="BQ113" s="193" t="e">
        <f t="shared" si="48"/>
        <v>#DIV/0!</v>
      </c>
      <c r="BR113" s="193" t="e">
        <f t="shared" si="48"/>
        <v>#DIV/0!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U74"/>
  <sheetViews>
    <sheetView zoomScale="87" zoomScaleNormal="87" workbookViewId="0">
      <selection activeCell="C6" sqref="C6"/>
    </sheetView>
  </sheetViews>
  <sheetFormatPr defaultColWidth="13.7109375" defaultRowHeight="14.1" customHeight="1"/>
  <cols>
    <col min="1" max="1" width="6.28515625" style="12" customWidth="1"/>
    <col min="2" max="2" width="16.5703125" style="192" customWidth="1"/>
    <col min="3" max="3" width="8.28515625" style="12" customWidth="1"/>
    <col min="4" max="4" width="11.140625" style="66" customWidth="1"/>
    <col min="5" max="5" width="12.85546875" style="192" customWidth="1"/>
    <col min="6" max="6" width="9.28515625" style="192" customWidth="1"/>
    <col min="7" max="7" width="9.140625" style="68" customWidth="1"/>
    <col min="8" max="8" width="10.85546875" style="12" customWidth="1"/>
    <col min="9" max="9" width="13.140625" style="12" customWidth="1"/>
    <col min="10" max="10" width="12.28515625" style="12" customWidth="1"/>
    <col min="11" max="11" width="10.140625" style="12" customWidth="1"/>
    <col min="12" max="12" width="14.42578125" style="12" customWidth="1"/>
    <col min="13" max="13" width="8.85546875" style="12" customWidth="1"/>
    <col min="14" max="14" width="17.140625" style="68" customWidth="1"/>
    <col min="15" max="15" width="15.7109375" style="12" customWidth="1"/>
    <col min="16" max="16" width="10.85546875" style="12" customWidth="1"/>
    <col min="17" max="17" width="6.140625" style="12" customWidth="1"/>
    <col min="18" max="18" width="7.28515625" style="12" customWidth="1"/>
    <col min="19" max="19" width="12" style="13" customWidth="1"/>
    <col min="20" max="20" width="10.42578125" style="13" customWidth="1"/>
    <col min="21" max="21" width="13.7109375" style="13" customWidth="1"/>
    <col min="22" max="22" width="2.5703125" style="13" customWidth="1"/>
    <col min="23" max="29" width="13.7109375" style="13" customWidth="1"/>
    <col min="30" max="31" width="25" style="13" customWidth="1"/>
    <col min="32" max="34" width="13.7109375" style="13" customWidth="1"/>
    <col min="35" max="35" width="19.85546875" style="13" customWidth="1"/>
    <col min="36" max="36" width="19.5703125" style="13" customWidth="1"/>
    <col min="37" max="37" width="27.42578125" style="13" customWidth="1"/>
    <col min="38" max="38" width="31.42578125" style="13" customWidth="1"/>
    <col min="39" max="39" width="31.28515625" style="13" customWidth="1"/>
    <col min="40" max="45" width="27.42578125" style="13" customWidth="1"/>
    <col min="46" max="46" width="31.28515625" style="13" customWidth="1"/>
    <col min="47" max="47" width="35.42578125" style="13" customWidth="1"/>
    <col min="48" max="50" width="13.7109375" style="13" customWidth="1"/>
    <col min="51" max="52" width="17.28515625" style="13" customWidth="1"/>
    <col min="53" max="60" width="17.5703125" style="13" customWidth="1"/>
    <col min="61" max="65" width="20.42578125" style="13" customWidth="1"/>
    <col min="66" max="68" width="13.7109375" style="13" customWidth="1"/>
    <col min="69" max="69" width="18.7109375" style="13" customWidth="1"/>
    <col min="70" max="72" width="13.7109375" style="13" customWidth="1"/>
    <col min="73" max="73" width="17.28515625" style="13" customWidth="1"/>
    <col min="74" max="74" width="16.85546875" style="13" customWidth="1"/>
    <col min="75" max="75" width="13.7109375" style="13" customWidth="1"/>
    <col min="76" max="76" width="17" style="13" customWidth="1"/>
    <col min="77" max="81" width="17.85546875" style="13" customWidth="1"/>
    <col min="82" max="92" width="13.7109375" style="13" customWidth="1"/>
    <col min="93" max="93" width="26.140625" style="13" customWidth="1"/>
    <col min="94" max="94" width="25.7109375" style="13" customWidth="1"/>
    <col min="95" max="95" width="22.85546875" style="13" customWidth="1"/>
    <col min="96" max="99" width="13.7109375" style="13" customWidth="1"/>
    <col min="100" max="16384" width="13.7109375" style="12"/>
  </cols>
  <sheetData>
    <row r="1" spans="1:99" ht="14.1" customHeight="1">
      <c r="A1" s="1" t="s">
        <v>0</v>
      </c>
      <c r="B1" s="2"/>
      <c r="C1" s="3" t="s">
        <v>1</v>
      </c>
      <c r="D1" s="4"/>
      <c r="E1" s="1" t="s">
        <v>2</v>
      </c>
      <c r="F1" s="1"/>
      <c r="G1" s="5"/>
      <c r="H1" s="6"/>
      <c r="I1" s="6" t="s">
        <v>3</v>
      </c>
      <c r="J1" s="5"/>
      <c r="K1" s="7"/>
      <c r="L1" s="7"/>
      <c r="M1" s="8" t="s">
        <v>4</v>
      </c>
      <c r="N1" s="9" t="e">
        <f>((AVERAGE(W7:W8))*20)</f>
        <v>#DIV/0!</v>
      </c>
      <c r="O1" s="10" t="e">
        <f>(O3*20)</f>
        <v>#DIV/0!</v>
      </c>
      <c r="P1" s="10"/>
      <c r="Q1" s="11" t="s">
        <v>5</v>
      </c>
      <c r="S1" s="13">
        <v>-120</v>
      </c>
      <c r="T1" s="13" t="s">
        <v>6</v>
      </c>
      <c r="U1" s="14"/>
      <c r="V1" s="15"/>
      <c r="W1" s="15" t="s">
        <v>7</v>
      </c>
    </row>
    <row r="2" spans="1:99" ht="14.1" customHeight="1" thickBot="1">
      <c r="A2" s="16" t="s">
        <v>8</v>
      </c>
      <c r="B2" s="17"/>
      <c r="C2" s="3" t="s">
        <v>9</v>
      </c>
      <c r="D2" s="18"/>
      <c r="E2" s="3" t="s">
        <v>10</v>
      </c>
      <c r="F2" s="3"/>
      <c r="G2" s="19" t="e">
        <f>D2/(D3/100*D3/100)</f>
        <v>#DIV/0!</v>
      </c>
      <c r="H2" s="13"/>
      <c r="I2" s="20" t="s">
        <v>11</v>
      </c>
      <c r="J2" s="21"/>
      <c r="K2" s="22"/>
      <c r="L2" s="23"/>
      <c r="M2" s="24" t="s">
        <v>12</v>
      </c>
      <c r="N2" s="25" t="e">
        <f>(O1*0.068)</f>
        <v>#DIV/0!</v>
      </c>
      <c r="O2" s="13"/>
      <c r="P2" s="13"/>
      <c r="Q2" s="11"/>
      <c r="R2" s="26"/>
      <c r="T2" s="13" t="s">
        <v>6</v>
      </c>
      <c r="U2" s="14"/>
      <c r="V2" s="15"/>
      <c r="W2" s="27"/>
    </row>
    <row r="3" spans="1:99" ht="14.1" customHeight="1" thickTop="1" thickBot="1">
      <c r="A3" s="16" t="s">
        <v>13</v>
      </c>
      <c r="B3" s="28" t="s">
        <v>14</v>
      </c>
      <c r="C3" s="3" t="s">
        <v>15</v>
      </c>
      <c r="D3" s="29"/>
      <c r="E3" s="3" t="s">
        <v>16</v>
      </c>
      <c r="F3" s="3"/>
      <c r="G3" s="19">
        <f>SQRT(((D2*D3)/3600))</f>
        <v>0</v>
      </c>
      <c r="H3" s="13"/>
      <c r="I3" s="20"/>
      <c r="J3" s="30"/>
      <c r="K3" s="30"/>
      <c r="L3" s="30"/>
      <c r="M3" s="31" t="s">
        <v>17</v>
      </c>
      <c r="N3" s="32" t="e">
        <f>($O$1/$N$1)*100</f>
        <v>#DIV/0!</v>
      </c>
      <c r="O3" s="33" t="e">
        <f>((AVERAGE(W2:W5))*2.85714)</f>
        <v>#DIV/0!</v>
      </c>
      <c r="P3" s="33"/>
      <c r="Q3" s="34" t="s">
        <v>18</v>
      </c>
      <c r="R3" s="13"/>
      <c r="T3" s="13">
        <v>-30</v>
      </c>
      <c r="U3" s="14"/>
      <c r="V3" s="15"/>
      <c r="W3" s="27"/>
    </row>
    <row r="4" spans="1:99" ht="14.1" customHeight="1" thickTop="1">
      <c r="B4" s="35"/>
      <c r="C4" s="3" t="s">
        <v>19</v>
      </c>
      <c r="D4" s="36">
        <f>(1-G4)*D2</f>
        <v>0</v>
      </c>
      <c r="E4" s="37" t="s">
        <v>20</v>
      </c>
      <c r="F4" s="37"/>
      <c r="G4" s="38"/>
      <c r="H4" s="13"/>
      <c r="I4" s="20"/>
      <c r="J4" s="30"/>
      <c r="K4" s="30"/>
      <c r="L4" s="30"/>
      <c r="M4" s="33"/>
      <c r="N4" s="39"/>
      <c r="O4" s="30"/>
      <c r="P4" s="30"/>
      <c r="Q4" s="30"/>
      <c r="R4" s="30"/>
      <c r="U4" s="14"/>
      <c r="V4" s="15"/>
      <c r="W4" s="27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</row>
    <row r="5" spans="1:99" ht="14.1" customHeight="1" thickBot="1">
      <c r="A5" s="16"/>
      <c r="B5" s="30"/>
      <c r="C5" s="3"/>
      <c r="D5" s="41" t="s">
        <v>21</v>
      </c>
      <c r="E5" s="42" t="e">
        <f>AVERAGE(U1:U2)</f>
        <v>#DIV/0!</v>
      </c>
      <c r="F5" s="42"/>
      <c r="G5" s="19"/>
      <c r="H5" s="30"/>
      <c r="I5" s="30"/>
      <c r="J5" s="43" t="s">
        <v>22</v>
      </c>
      <c r="K5" s="43"/>
      <c r="L5" s="44" t="s">
        <v>23</v>
      </c>
      <c r="M5" s="45"/>
      <c r="N5" s="43" t="s">
        <v>22</v>
      </c>
      <c r="O5" s="44" t="s">
        <v>23</v>
      </c>
      <c r="P5" s="44" t="s">
        <v>24</v>
      </c>
      <c r="Q5" s="46"/>
      <c r="R5" s="46"/>
      <c r="T5" s="13">
        <v>-20</v>
      </c>
      <c r="U5" s="14"/>
      <c r="V5" s="15"/>
      <c r="W5" s="27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</row>
    <row r="6" spans="1:99" s="1" customFormat="1" ht="14.1" customHeight="1">
      <c r="A6" s="47" t="s">
        <v>25</v>
      </c>
      <c r="B6" s="48" t="s">
        <v>26</v>
      </c>
      <c r="C6" s="48"/>
      <c r="D6" s="49" t="s">
        <v>27</v>
      </c>
      <c r="E6" s="48" t="s">
        <v>28</v>
      </c>
      <c r="F6" s="48"/>
      <c r="G6" s="48" t="s">
        <v>29</v>
      </c>
      <c r="H6" s="50" t="s">
        <v>30</v>
      </c>
      <c r="I6" s="50"/>
      <c r="J6" s="51" t="s">
        <v>31</v>
      </c>
      <c r="K6" s="52"/>
      <c r="L6" s="52" t="s">
        <v>31</v>
      </c>
      <c r="M6" s="52" t="s">
        <v>32</v>
      </c>
      <c r="N6" s="52" t="s">
        <v>33</v>
      </c>
      <c r="O6" s="53" t="s">
        <v>34</v>
      </c>
      <c r="P6" s="54"/>
      <c r="Q6" s="55"/>
      <c r="R6" s="55"/>
      <c r="S6" s="13"/>
      <c r="T6" s="13"/>
      <c r="U6" s="14"/>
      <c r="V6" s="15"/>
      <c r="W6" s="56" t="s">
        <v>35</v>
      </c>
      <c r="X6" s="13" t="s">
        <v>36</v>
      </c>
      <c r="Y6" s="57" t="s">
        <v>37</v>
      </c>
      <c r="Z6" s="58" t="s">
        <v>38</v>
      </c>
      <c r="AA6" s="40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60"/>
      <c r="AY6" s="60"/>
      <c r="AZ6" s="60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60"/>
      <c r="BO6" s="60"/>
      <c r="BP6" s="60"/>
      <c r="BQ6" s="59"/>
      <c r="BR6" s="59"/>
      <c r="BS6" s="59"/>
      <c r="BT6" s="59"/>
      <c r="BU6" s="59"/>
      <c r="BV6" s="59"/>
      <c r="BW6" s="59"/>
      <c r="BX6" s="59"/>
      <c r="BY6" s="59"/>
      <c r="BZ6" s="61"/>
      <c r="CA6" s="61"/>
      <c r="CB6" s="61"/>
      <c r="CC6" s="61"/>
      <c r="CD6" s="40"/>
      <c r="CE6" s="61"/>
      <c r="CF6" s="61"/>
      <c r="CG6" s="33"/>
      <c r="CH6" s="40"/>
      <c r="CI6" s="30"/>
      <c r="CJ6" s="30"/>
      <c r="CK6" s="30"/>
      <c r="CL6" s="30"/>
      <c r="CM6" s="30"/>
      <c r="CN6" s="30"/>
      <c r="CO6" s="30"/>
      <c r="CP6" s="62"/>
      <c r="CQ6" s="62"/>
      <c r="CR6" s="13"/>
      <c r="CS6" s="13"/>
      <c r="CT6" s="13"/>
      <c r="CU6" s="13"/>
    </row>
    <row r="7" spans="1:99" ht="14.1" customHeight="1">
      <c r="A7" s="63">
        <v>-30</v>
      </c>
      <c r="B7" s="64"/>
      <c r="C7" s="65"/>
      <c r="D7" s="42" t="e">
        <f>AVERAGE(U3:U4)</f>
        <v>#DIV/0!</v>
      </c>
      <c r="E7" s="66" t="e">
        <f>D7-$E$5</f>
        <v>#DIV/0!</v>
      </c>
      <c r="F7" s="66"/>
      <c r="G7" s="66" t="e">
        <f>($E7*7.1425)</f>
        <v>#DIV/0!</v>
      </c>
      <c r="H7" s="66" t="e">
        <f>($G7/($B7*0.01))</f>
        <v>#DIV/0!</v>
      </c>
      <c r="I7" s="66"/>
      <c r="J7" s="67" t="e">
        <f>$N$2/$H7/$D$2</f>
        <v>#DIV/0!</v>
      </c>
      <c r="K7" s="67"/>
      <c r="L7" s="67" t="e">
        <f>J7/($D$4/$D$2)</f>
        <v>#DIV/0!</v>
      </c>
      <c r="N7" s="68" t="e">
        <f>J7-M7</f>
        <v>#DIV/0!</v>
      </c>
      <c r="O7" s="67" t="e">
        <f>N7/($D$4/$D$2)</f>
        <v>#DIV/0!</v>
      </c>
      <c r="P7" s="67"/>
      <c r="Q7" s="30"/>
      <c r="R7" s="30"/>
      <c r="T7" s="13">
        <v>-10</v>
      </c>
      <c r="U7" s="14"/>
      <c r="V7" s="15"/>
      <c r="W7" s="27"/>
      <c r="X7" s="69"/>
      <c r="Y7" s="70">
        <v>-30</v>
      </c>
      <c r="Z7" s="71"/>
      <c r="AA7" s="40"/>
      <c r="AB7" s="72"/>
      <c r="AC7" s="72"/>
      <c r="AD7" s="72"/>
      <c r="AE7" s="72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19"/>
      <c r="AY7" s="74"/>
      <c r="AZ7" s="74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</row>
    <row r="8" spans="1:99" ht="14.1" customHeight="1">
      <c r="A8" s="63">
        <v>-20</v>
      </c>
      <c r="B8" s="64"/>
      <c r="C8" s="65"/>
      <c r="D8" s="66" t="e">
        <f>AVERAGE(U5:U6)</f>
        <v>#DIV/0!</v>
      </c>
      <c r="E8" s="66" t="e">
        <f>D8-$E$5</f>
        <v>#DIV/0!</v>
      </c>
      <c r="F8" s="66"/>
      <c r="G8" s="66" t="e">
        <f>($E8*7.1425)</f>
        <v>#DIV/0!</v>
      </c>
      <c r="H8" s="66" t="e">
        <f>($G8/($B8*0.01))</f>
        <v>#DIV/0!</v>
      </c>
      <c r="I8" s="66"/>
      <c r="J8" s="67" t="e">
        <f>$N$2/H8/$D$2</f>
        <v>#DIV/0!</v>
      </c>
      <c r="K8" s="67"/>
      <c r="L8" s="67" t="e">
        <f>J8/($D$4/$D$2)</f>
        <v>#DIV/0!</v>
      </c>
      <c r="N8" s="68" t="e">
        <f>J8-M8</f>
        <v>#DIV/0!</v>
      </c>
      <c r="O8" s="67" t="e">
        <f>N8/($D$4/$D$2)</f>
        <v>#DIV/0!</v>
      </c>
      <c r="P8" s="67"/>
      <c r="Q8" s="30"/>
      <c r="R8" s="30"/>
      <c r="U8" s="14"/>
      <c r="V8" s="15"/>
      <c r="W8" s="27"/>
      <c r="X8" s="69"/>
      <c r="Y8" s="70">
        <v>-20</v>
      </c>
      <c r="Z8" s="71"/>
      <c r="AA8" s="40"/>
      <c r="AB8" s="72"/>
      <c r="AC8" s="72"/>
      <c r="AD8" s="72"/>
      <c r="AE8" s="72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19"/>
      <c r="AY8" s="74"/>
      <c r="AZ8" s="74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</row>
    <row r="9" spans="1:99" ht="14.1" customHeight="1" thickBot="1">
      <c r="A9" s="63">
        <v>-10</v>
      </c>
      <c r="B9" s="75"/>
      <c r="C9" s="65"/>
      <c r="D9" s="66" t="e">
        <f>AVERAGE(U7:U8)</f>
        <v>#DIV/0!</v>
      </c>
      <c r="E9" s="66" t="e">
        <f>D9-$E$5</f>
        <v>#DIV/0!</v>
      </c>
      <c r="F9" s="66"/>
      <c r="G9" s="66" t="e">
        <f>($E9*7.1425)</f>
        <v>#DIV/0!</v>
      </c>
      <c r="H9" s="66" t="e">
        <f>($G9/($B9*0.01))</f>
        <v>#DIV/0!</v>
      </c>
      <c r="I9" s="66"/>
      <c r="J9" s="67" t="e">
        <f>$N$2/H9/$D$2</f>
        <v>#DIV/0!</v>
      </c>
      <c r="K9" s="67"/>
      <c r="L9" s="67" t="e">
        <f>J9/($D$4/$D$2)</f>
        <v>#DIV/0!</v>
      </c>
      <c r="N9" s="68" t="e">
        <f>J9-M9</f>
        <v>#DIV/0!</v>
      </c>
      <c r="O9" s="67" t="e">
        <f>N9/($D$4/$D$2)</f>
        <v>#DIV/0!</v>
      </c>
      <c r="P9" s="67"/>
      <c r="Q9" s="30"/>
      <c r="R9" s="30"/>
      <c r="T9" s="13">
        <v>-5</v>
      </c>
      <c r="U9" s="14"/>
      <c r="V9" s="15"/>
      <c r="W9" s="76"/>
      <c r="X9" s="69"/>
      <c r="Y9" s="70">
        <v>-10</v>
      </c>
      <c r="Z9" s="71"/>
      <c r="AA9" s="40"/>
      <c r="AB9" s="72"/>
      <c r="AC9" s="72"/>
      <c r="AD9" s="72"/>
      <c r="AE9" s="72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19"/>
      <c r="AY9" s="74"/>
      <c r="AZ9" s="74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</row>
    <row r="10" spans="1:99" s="80" customFormat="1" ht="14.1" customHeight="1">
      <c r="A10" s="77">
        <v>0</v>
      </c>
      <c r="B10" s="75"/>
      <c r="C10" s="65"/>
      <c r="D10" s="66" t="e">
        <f>AVERAGE(U11:U12)</f>
        <v>#DIV/0!</v>
      </c>
      <c r="E10" s="66" t="e">
        <f>D10-$E$5</f>
        <v>#DIV/0!</v>
      </c>
      <c r="F10" s="66"/>
      <c r="G10" s="78" t="e">
        <f>($E10*7.1425)</f>
        <v>#DIV/0!</v>
      </c>
      <c r="H10" s="78" t="e">
        <f>($G10/($B10*0.01))</f>
        <v>#DIV/0!</v>
      </c>
      <c r="I10" s="78"/>
      <c r="J10" s="79" t="e">
        <f>$N$2/H10/$D$2</f>
        <v>#DIV/0!</v>
      </c>
      <c r="K10" s="79"/>
      <c r="L10" s="67" t="e">
        <f>J10/($D$4/$D$2)</f>
        <v>#DIV/0!</v>
      </c>
      <c r="N10" s="81" t="e">
        <f>J10-M10</f>
        <v>#DIV/0!</v>
      </c>
      <c r="O10" s="67" t="e">
        <f>N10/($D$4/$D$2)</f>
        <v>#DIV/0!</v>
      </c>
      <c r="P10" s="67"/>
      <c r="Q10" s="30"/>
      <c r="R10" s="30"/>
      <c r="S10" s="13"/>
      <c r="T10" s="13" t="s">
        <v>39</v>
      </c>
      <c r="U10" s="14"/>
      <c r="V10" s="15"/>
      <c r="W10" s="15"/>
      <c r="X10" s="69"/>
      <c r="Y10" s="70">
        <v>0</v>
      </c>
      <c r="Z10" s="82"/>
      <c r="AA10" s="30"/>
      <c r="AB10" s="83" t="s">
        <v>40</v>
      </c>
      <c r="AC10" s="83" t="s">
        <v>41</v>
      </c>
      <c r="AD10" s="83" t="s">
        <v>42</v>
      </c>
      <c r="AE10" s="83" t="s">
        <v>43</v>
      </c>
      <c r="AF10" s="83" t="s">
        <v>44</v>
      </c>
      <c r="AG10" s="83" t="s">
        <v>45</v>
      </c>
      <c r="AH10" s="83" t="s">
        <v>46</v>
      </c>
      <c r="AI10" s="83" t="s">
        <v>47</v>
      </c>
      <c r="AJ10" s="83" t="s">
        <v>48</v>
      </c>
      <c r="AK10" s="83" t="s">
        <v>49</v>
      </c>
      <c r="AL10" s="83" t="s">
        <v>50</v>
      </c>
      <c r="AM10" s="83" t="s">
        <v>51</v>
      </c>
      <c r="AN10" s="83" t="s">
        <v>52</v>
      </c>
      <c r="AO10" s="83" t="s">
        <v>53</v>
      </c>
      <c r="AP10" s="83" t="s">
        <v>54</v>
      </c>
      <c r="AQ10" s="83" t="s">
        <v>55</v>
      </c>
      <c r="AR10" s="83" t="s">
        <v>56</v>
      </c>
      <c r="AS10" s="83" t="s">
        <v>57</v>
      </c>
      <c r="AT10" s="83" t="s">
        <v>58</v>
      </c>
      <c r="AU10" s="83" t="s">
        <v>59</v>
      </c>
      <c r="AV10" s="84" t="s">
        <v>60</v>
      </c>
      <c r="AW10" s="84" t="s">
        <v>61</v>
      </c>
      <c r="AX10" s="85" t="s">
        <v>62</v>
      </c>
      <c r="AY10" s="85" t="s">
        <v>63</v>
      </c>
      <c r="AZ10" s="85" t="s">
        <v>64</v>
      </c>
      <c r="BA10" s="86" t="s">
        <v>65</v>
      </c>
      <c r="BB10" s="86" t="s">
        <v>66</v>
      </c>
      <c r="BC10" s="86" t="s">
        <v>67</v>
      </c>
      <c r="BD10" s="86" t="s">
        <v>68</v>
      </c>
      <c r="BE10" s="86" t="s">
        <v>69</v>
      </c>
      <c r="BF10" s="86" t="s">
        <v>70</v>
      </c>
      <c r="BG10" s="86" t="s">
        <v>71</v>
      </c>
      <c r="BH10" s="86" t="s">
        <v>72</v>
      </c>
      <c r="BI10" s="86" t="s">
        <v>73</v>
      </c>
      <c r="BJ10" s="86" t="s">
        <v>74</v>
      </c>
      <c r="BK10" s="86" t="s">
        <v>75</v>
      </c>
      <c r="BL10" s="86" t="s">
        <v>76</v>
      </c>
      <c r="BM10" s="86" t="s">
        <v>77</v>
      </c>
      <c r="BN10" s="87" t="s">
        <v>78</v>
      </c>
      <c r="BO10" s="87" t="s">
        <v>79</v>
      </c>
      <c r="BP10" s="87" t="s">
        <v>80</v>
      </c>
      <c r="BQ10" s="88" t="s">
        <v>81</v>
      </c>
      <c r="BR10" s="88" t="s">
        <v>82</v>
      </c>
      <c r="BS10" s="88" t="s">
        <v>83</v>
      </c>
      <c r="BT10" s="88" t="s">
        <v>84</v>
      </c>
      <c r="BU10" s="88" t="s">
        <v>85</v>
      </c>
      <c r="BV10" s="88" t="s">
        <v>86</v>
      </c>
      <c r="BW10" s="88" t="s">
        <v>87</v>
      </c>
      <c r="BX10" s="88" t="s">
        <v>88</v>
      </c>
      <c r="BY10" s="88" t="s">
        <v>89</v>
      </c>
      <c r="BZ10" s="88" t="s">
        <v>90</v>
      </c>
      <c r="CA10" s="88" t="s">
        <v>91</v>
      </c>
      <c r="CB10" s="88" t="s">
        <v>92</v>
      </c>
      <c r="CC10" s="88" t="s">
        <v>93</v>
      </c>
      <c r="CD10" s="40"/>
      <c r="CE10" s="89" t="s">
        <v>94</v>
      </c>
      <c r="CF10" s="89" t="s">
        <v>95</v>
      </c>
      <c r="CG10" s="90" t="s">
        <v>96</v>
      </c>
      <c r="CH10" s="40"/>
      <c r="CI10" s="91" t="s">
        <v>97</v>
      </c>
      <c r="CJ10" s="91" t="s">
        <v>98</v>
      </c>
      <c r="CK10" s="91" t="s">
        <v>99</v>
      </c>
      <c r="CL10" s="91" t="s">
        <v>100</v>
      </c>
      <c r="CM10" s="91" t="s">
        <v>101</v>
      </c>
      <c r="CN10" s="91" t="s">
        <v>102</v>
      </c>
      <c r="CO10" s="91" t="s">
        <v>103</v>
      </c>
      <c r="CP10" s="92" t="s">
        <v>104</v>
      </c>
      <c r="CQ10" s="92" t="s">
        <v>105</v>
      </c>
      <c r="CR10" s="13"/>
      <c r="CS10" s="13"/>
      <c r="CT10" s="13"/>
      <c r="CU10" s="13"/>
    </row>
    <row r="11" spans="1:99" s="49" customFormat="1" ht="14.1" customHeight="1">
      <c r="A11" s="93" t="s">
        <v>106</v>
      </c>
      <c r="B11" s="49" t="e">
        <f>AVERAGE(B7:B10)</f>
        <v>#DIV/0!</v>
      </c>
      <c r="E11" s="50" t="e">
        <f>AVERAGE(E7:E10)</f>
        <v>#DIV/0!</v>
      </c>
      <c r="G11" s="50" t="e">
        <f>AVERAGE(G7:G10)</f>
        <v>#DIV/0!</v>
      </c>
      <c r="H11" s="50" t="e">
        <f>AVERAGE(H7:H10)</f>
        <v>#DIV/0!</v>
      </c>
      <c r="J11" s="94" t="e">
        <f>AVERAGE(J7:J10)</f>
        <v>#DIV/0!</v>
      </c>
      <c r="K11" s="50" t="s">
        <v>39</v>
      </c>
      <c r="L11" s="50" t="e">
        <f>AVERAGE(L7:L10)</f>
        <v>#DIV/0!</v>
      </c>
      <c r="M11" s="50"/>
      <c r="N11" s="94" t="e">
        <f>AVERAGE(N7:N10)</f>
        <v>#DIV/0!</v>
      </c>
      <c r="O11" s="50" t="e">
        <f>AVERAGE(O7:O10)</f>
        <v>#DIV/0!</v>
      </c>
      <c r="P11" s="95"/>
      <c r="Q11" s="95"/>
      <c r="R11" s="95"/>
      <c r="S11" s="6"/>
      <c r="T11" s="13">
        <v>0</v>
      </c>
      <c r="U11" s="14"/>
      <c r="V11" s="15"/>
      <c r="W11" s="15"/>
      <c r="X11" s="96" t="e">
        <f>AVERAGE(X7:X10)</f>
        <v>#DIV/0!</v>
      </c>
      <c r="Y11" s="70" t="s">
        <v>107</v>
      </c>
      <c r="Z11" s="96" t="e">
        <f>AVERAGE(Z7:Z10)</f>
        <v>#DIV/0!</v>
      </c>
      <c r="AA11" s="30"/>
      <c r="AB11" s="72" t="e">
        <f>J11</f>
        <v>#DIV/0!</v>
      </c>
      <c r="AC11" s="73" t="e">
        <f>AB11/($D$4/$D$2)</f>
        <v>#DIV/0!</v>
      </c>
      <c r="AD11" s="73" t="e">
        <f>AB11/Z11</f>
        <v>#DIV/0!</v>
      </c>
      <c r="AE11" s="73" t="e">
        <f>AC11/Z11</f>
        <v>#DIV/0!</v>
      </c>
      <c r="AF11" s="72" t="e">
        <f>N20</f>
        <v>#DIV/0!</v>
      </c>
      <c r="AG11" s="72" t="e">
        <f>AF11/($D$4/$D$2)</f>
        <v>#DIV/0!</v>
      </c>
      <c r="AH11" s="72" t="e">
        <f>AF11/Z18</f>
        <v>#DIV/0!</v>
      </c>
      <c r="AI11" s="72" t="e">
        <f>AG11/Z18</f>
        <v>#DIV/0!</v>
      </c>
      <c r="AJ11" s="73" t="e">
        <f>((AB11-AF11)/AB11)*100</f>
        <v>#DIV/0!</v>
      </c>
      <c r="AK11" s="73" t="e">
        <f>((AC11-AG11)/AC11)*100</f>
        <v>#DIV/0!</v>
      </c>
      <c r="AL11" s="73" t="e">
        <f>((AD11-AH11)/AD11)*100</f>
        <v>#DIV/0!</v>
      </c>
      <c r="AM11" s="73" t="e">
        <f>((AE11-AI11)/AE11)*100</f>
        <v>#DIV/0!</v>
      </c>
      <c r="AN11" s="72" t="e">
        <f>N29</f>
        <v>#DIV/0!</v>
      </c>
      <c r="AO11" s="72" t="e">
        <f>AN11/($D$4/$D$2)</f>
        <v>#DIV/0!</v>
      </c>
      <c r="AP11" s="72" t="e">
        <f>AN11/Z25</f>
        <v>#DIV/0!</v>
      </c>
      <c r="AQ11" s="72" t="e">
        <f>AO11/Z25</f>
        <v>#DIV/0!</v>
      </c>
      <c r="AR11" s="73" t="e">
        <f>((AB11-AN11)/AB11)*100</f>
        <v>#DIV/0!</v>
      </c>
      <c r="AS11" s="73" t="e">
        <f>((AC11-AO11)/AC11)*100</f>
        <v>#DIV/0!</v>
      </c>
      <c r="AT11" s="73" t="e">
        <f>((AD11-AP11)/AD11)*100</f>
        <v>#DIV/0!</v>
      </c>
      <c r="AU11" s="73" t="e">
        <f>((AE11-AQ11)/AE11)*100</f>
        <v>#DIV/0!</v>
      </c>
      <c r="AV11" s="72" t="e">
        <f>J11</f>
        <v>#DIV/0!</v>
      </c>
      <c r="AW11" s="72" t="e">
        <f>AV11/($D$4/$D$2)</f>
        <v>#DIV/0!</v>
      </c>
      <c r="AX11" s="95" t="e">
        <f>M20</f>
        <v>#DIV/0!</v>
      </c>
      <c r="AY11" s="95" t="e">
        <f>AX11/($D$4/$D$2)</f>
        <v>#DIV/0!</v>
      </c>
      <c r="AZ11" s="95" t="e">
        <f>AX11/Z11</f>
        <v>#DIV/0!</v>
      </c>
      <c r="BA11" s="73" t="e">
        <f>AY11/Z11</f>
        <v>#DIV/0!</v>
      </c>
      <c r="BB11" s="72" t="e">
        <f>P21</f>
        <v>#DIV/0!</v>
      </c>
      <c r="BC11" s="73" t="e">
        <f>BB11/($D$4/$D$2)</f>
        <v>#DIV/0!</v>
      </c>
      <c r="BD11" s="73" t="e">
        <f>BB11/Z18</f>
        <v>#DIV/0!</v>
      </c>
      <c r="BE11" s="73" t="e">
        <f>BC11/Z18</f>
        <v>#DIV/0!</v>
      </c>
      <c r="BF11" s="72" t="e">
        <f>K20</f>
        <v>#DIV/0!</v>
      </c>
      <c r="BG11" s="73" t="e">
        <f>BF11/($D$4/$D$2)</f>
        <v>#DIV/0!</v>
      </c>
      <c r="BH11" s="73" t="e">
        <f>BF11/Z18</f>
        <v>#DIV/0!</v>
      </c>
      <c r="BI11" s="73" t="e">
        <f>BG11/Z18</f>
        <v>#DIV/0!</v>
      </c>
      <c r="BJ11" s="72" t="e">
        <f>J21</f>
        <v>#DIV/0!</v>
      </c>
      <c r="BK11" s="73" t="e">
        <f>BJ11/($D$4/$D$2)</f>
        <v>#DIV/0!</v>
      </c>
      <c r="BL11" s="73" t="e">
        <f>BJ11/Z18</f>
        <v>#DIV/0!</v>
      </c>
      <c r="BM11" s="73" t="e">
        <f>BK11/Z18</f>
        <v>#DIV/0!</v>
      </c>
      <c r="BN11" s="95" t="e">
        <f>M29</f>
        <v>#DIV/0!</v>
      </c>
      <c r="BO11" s="95" t="e">
        <f>BN11/($D$4/$D$2)</f>
        <v>#DIV/0!</v>
      </c>
      <c r="BP11" s="95" t="e">
        <f>BN11/Z25</f>
        <v>#DIV/0!</v>
      </c>
      <c r="BQ11" s="73" t="e">
        <f>BO11/Z25</f>
        <v>#DIV/0!</v>
      </c>
      <c r="BR11" s="72" t="e">
        <f>P30</f>
        <v>#DIV/0!</v>
      </c>
      <c r="BS11" s="73" t="e">
        <f>BR11/($D$4/$D$2)</f>
        <v>#DIV/0!</v>
      </c>
      <c r="BT11" s="73" t="e">
        <f>BR11/Z25</f>
        <v>#DIV/0!</v>
      </c>
      <c r="BU11" s="73" t="e">
        <f>BS11/Z25</f>
        <v>#DIV/0!</v>
      </c>
      <c r="BV11" s="72" t="e">
        <f>K29</f>
        <v>#DIV/0!</v>
      </c>
      <c r="BW11" s="73" t="e">
        <f>BV11/($D$4/$D$2)</f>
        <v>#DIV/0!</v>
      </c>
      <c r="BX11" s="73" t="e">
        <f>BV11/Z25</f>
        <v>#DIV/0!</v>
      </c>
      <c r="BY11" s="73" t="e">
        <f>BW11/Z25</f>
        <v>#DIV/0!</v>
      </c>
      <c r="BZ11" s="72" t="e">
        <f>J30</f>
        <v>#DIV/0!</v>
      </c>
      <c r="CA11" s="73" t="e">
        <f>BZ11/($D$4/$D$2)</f>
        <v>#DIV/0!</v>
      </c>
      <c r="CB11" s="73" t="e">
        <f>BZ11/Z25</f>
        <v>#DIV/0!</v>
      </c>
      <c r="CC11" s="73" t="e">
        <f>CA11/Z25</f>
        <v>#DIV/0!</v>
      </c>
      <c r="CD11" s="13"/>
      <c r="CE11" s="97" t="e">
        <f>B11</f>
        <v>#DIV/0!</v>
      </c>
      <c r="CF11" s="13" t="e">
        <f>Z11</f>
        <v>#DIV/0!</v>
      </c>
      <c r="CG11" s="40" t="e">
        <f>((CE11/18)*CF11)/22.5</f>
        <v>#DIV/0!</v>
      </c>
      <c r="CH11" s="40"/>
      <c r="CI11" s="40">
        <f>X28</f>
        <v>0</v>
      </c>
      <c r="CJ11" s="40">
        <f>X29</f>
        <v>0</v>
      </c>
      <c r="CK11" s="40">
        <f>X30</f>
        <v>0</v>
      </c>
      <c r="CL11" s="40">
        <f>X31</f>
        <v>0</v>
      </c>
      <c r="CM11" s="40">
        <f>X32</f>
        <v>0</v>
      </c>
      <c r="CN11" s="40">
        <f>X33</f>
        <v>0</v>
      </c>
      <c r="CO11" s="13" t="e">
        <f>X11</f>
        <v>#DIV/0!</v>
      </c>
      <c r="CP11" s="13" t="e">
        <f>X18</f>
        <v>#DIV/0!</v>
      </c>
      <c r="CQ11" s="13" t="e">
        <f>X25</f>
        <v>#DIV/0!</v>
      </c>
      <c r="CR11" s="13"/>
      <c r="CS11" s="13"/>
      <c r="CT11" s="13"/>
      <c r="CU11" s="13"/>
    </row>
    <row r="12" spans="1:99" ht="14.1" customHeight="1" thickBot="1">
      <c r="B12" s="98"/>
      <c r="C12" s="65"/>
      <c r="D12" s="99"/>
      <c r="E12" s="13"/>
      <c r="F12" s="13"/>
      <c r="G12" s="13"/>
      <c r="H12" s="13"/>
      <c r="I12" s="13"/>
      <c r="J12" s="6" t="s">
        <v>108</v>
      </c>
      <c r="K12" s="13"/>
      <c r="L12" s="13"/>
      <c r="M12" s="12" t="s">
        <v>39</v>
      </c>
      <c r="N12" s="13"/>
      <c r="O12" s="13"/>
      <c r="P12" s="13"/>
      <c r="Q12" s="30"/>
      <c r="R12" s="30"/>
      <c r="U12" s="14"/>
      <c r="V12" s="15"/>
      <c r="W12" s="15"/>
      <c r="Y12" s="70"/>
      <c r="Z12" s="96"/>
      <c r="AA12" s="30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30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40"/>
      <c r="CG12" s="40"/>
      <c r="CH12" s="40"/>
      <c r="CI12" s="40"/>
      <c r="CJ12" s="40"/>
      <c r="CK12" s="40"/>
      <c r="CL12" s="40"/>
      <c r="CM12" s="40"/>
      <c r="CN12" s="40"/>
    </row>
    <row r="13" spans="1:99" ht="14.1" customHeight="1" thickBot="1">
      <c r="B13" s="98"/>
      <c r="C13" s="65"/>
      <c r="D13" s="99"/>
      <c r="E13" s="13"/>
      <c r="F13" s="13"/>
      <c r="G13" s="13"/>
      <c r="H13" s="13"/>
      <c r="I13" s="13"/>
      <c r="J13" s="6"/>
      <c r="K13" s="13"/>
      <c r="L13" s="13"/>
      <c r="M13" s="100" t="s">
        <v>32</v>
      </c>
      <c r="N13" s="101"/>
      <c r="O13" s="101"/>
      <c r="P13" s="101"/>
      <c r="Q13" s="30"/>
      <c r="R13" s="102" t="s">
        <v>25</v>
      </c>
      <c r="S13" s="103" t="s">
        <v>109</v>
      </c>
      <c r="T13" s="13">
        <v>30</v>
      </c>
      <c r="U13" s="14"/>
      <c r="V13" s="15"/>
      <c r="W13" s="15"/>
      <c r="X13" s="69"/>
      <c r="Y13" s="30">
        <v>90</v>
      </c>
      <c r="Z13" s="71"/>
      <c r="AA13" s="40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19"/>
      <c r="AY13" s="74"/>
      <c r="AZ13" s="74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40"/>
      <c r="CG13" s="40"/>
      <c r="CH13" s="40"/>
      <c r="CI13" s="40"/>
      <c r="CJ13" s="40"/>
      <c r="CK13" s="40"/>
      <c r="CL13" s="40"/>
      <c r="CM13" s="40"/>
      <c r="CN13" s="40"/>
    </row>
    <row r="14" spans="1:99" ht="14.1" customHeight="1">
      <c r="A14" s="12">
        <v>90</v>
      </c>
      <c r="B14" s="75"/>
      <c r="C14" s="65"/>
      <c r="D14" s="104" t="e">
        <f>AVERAGE(U17:U18)</f>
        <v>#DIV/0!</v>
      </c>
      <c r="E14" s="78" t="e">
        <f>D14-$E$5</f>
        <v>#DIV/0!</v>
      </c>
      <c r="F14" s="78"/>
      <c r="G14" s="78" t="e">
        <f t="shared" ref="G14:G27" si="0">($E14*7.1425)</f>
        <v>#DIV/0!</v>
      </c>
      <c r="H14" s="78" t="e">
        <f t="shared" ref="H14:H27" si="1">($G14/($B14*0.01))</f>
        <v>#DIV/0!</v>
      </c>
      <c r="I14" s="33" t="e">
        <f>$C$15*A14+$C$16</f>
        <v>#DIV/0!</v>
      </c>
      <c r="J14" s="105" t="s">
        <v>110</v>
      </c>
      <c r="K14" s="106" t="s">
        <v>111</v>
      </c>
      <c r="L14" s="13"/>
      <c r="M14" s="107" t="e">
        <f>(((S14/60)*$J$1)/$D$2)</f>
        <v>#DIV/0!</v>
      </c>
      <c r="N14" s="101"/>
      <c r="O14" s="101"/>
      <c r="P14" s="101"/>
      <c r="Q14" s="30"/>
      <c r="R14" s="108">
        <v>90</v>
      </c>
      <c r="S14" s="109"/>
      <c r="U14" s="14"/>
      <c r="V14" s="15"/>
      <c r="W14" s="110"/>
      <c r="X14" s="69"/>
      <c r="Y14" s="30">
        <v>100</v>
      </c>
      <c r="Z14" s="71"/>
      <c r="AA14" s="40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19"/>
      <c r="AY14" s="74"/>
      <c r="AZ14" s="74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40"/>
      <c r="CG14" s="40"/>
      <c r="CH14" s="40"/>
      <c r="CI14" s="40"/>
      <c r="CJ14" s="40"/>
      <c r="CK14" s="40"/>
      <c r="CL14" s="40"/>
      <c r="CM14" s="40"/>
      <c r="CN14" s="40"/>
    </row>
    <row r="15" spans="1:99" s="115" customFormat="1" ht="14.1" customHeight="1">
      <c r="A15" s="12">
        <v>100</v>
      </c>
      <c r="B15" s="75"/>
      <c r="C15" s="65" t="e">
        <f>SLOPE(G15:G18,A15:A18)</f>
        <v>#DIV/0!</v>
      </c>
      <c r="D15" s="104" t="e">
        <f>AVERAGE(U19:U20)</f>
        <v>#DIV/0!</v>
      </c>
      <c r="E15" s="66" t="e">
        <f>D15-$E$5</f>
        <v>#DIV/0!</v>
      </c>
      <c r="F15" s="111">
        <v>180</v>
      </c>
      <c r="G15" s="112" t="e">
        <f t="shared" si="0"/>
        <v>#DIV/0!</v>
      </c>
      <c r="H15" s="78" t="e">
        <f t="shared" si="1"/>
        <v>#DIV/0!</v>
      </c>
      <c r="I15" s="33" t="e">
        <f>$C$15*A15+$C$16</f>
        <v>#DIV/0!</v>
      </c>
      <c r="J15" s="113" t="e">
        <f>((($N$2-(130*$D$2*(((B15+B14)*0.01)/2))*((I15-I14)/(A15-A14))))/((I15+I14)/2))/$D$2</f>
        <v>#DIV/0!</v>
      </c>
      <c r="K15" s="114" t="e">
        <f>$N$2/H15/$D$2</f>
        <v>#DIV/0!</v>
      </c>
      <c r="L15" s="114" t="e">
        <f>J15/($D$4/$D$2)</f>
        <v>#DIV/0!</v>
      </c>
      <c r="M15" s="107" t="e">
        <f>(((S15/60)*$J$1)/$D$2)</f>
        <v>#DIV/0!</v>
      </c>
      <c r="N15" s="19" t="e">
        <f>K15-M15</f>
        <v>#DIV/0!</v>
      </c>
      <c r="O15" s="74" t="e">
        <f>N15/($D$4/$D$2)</f>
        <v>#DIV/0!</v>
      </c>
      <c r="P15" s="74"/>
      <c r="Q15" s="30"/>
      <c r="R15" s="108">
        <v>100</v>
      </c>
      <c r="S15" s="109"/>
      <c r="T15" s="13">
        <v>60</v>
      </c>
      <c r="U15" s="14"/>
      <c r="V15" s="15"/>
      <c r="W15" s="110"/>
      <c r="X15" s="69"/>
      <c r="Y15" s="30">
        <v>110</v>
      </c>
      <c r="Z15" s="71"/>
      <c r="AA15" s="40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19"/>
      <c r="AY15" s="74"/>
      <c r="AZ15" s="74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40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40"/>
      <c r="CH15" s="40"/>
      <c r="CI15" s="40"/>
      <c r="CJ15" s="40"/>
      <c r="CK15" s="40"/>
      <c r="CL15" s="40"/>
      <c r="CM15" s="40"/>
      <c r="CN15" s="40"/>
      <c r="CO15" s="13"/>
      <c r="CP15" s="13"/>
      <c r="CQ15" s="13"/>
      <c r="CR15" s="13"/>
      <c r="CS15" s="13"/>
      <c r="CT15" s="13"/>
      <c r="CU15" s="13"/>
    </row>
    <row r="16" spans="1:99" ht="14.1" customHeight="1">
      <c r="A16" s="12">
        <v>110</v>
      </c>
      <c r="B16" s="75"/>
      <c r="C16" s="65" t="e">
        <f>INTERCEPT(G15:G18,A15:A18)</f>
        <v>#DIV/0!</v>
      </c>
      <c r="D16" s="104" t="e">
        <f>AVERAGE(U21:U22)</f>
        <v>#DIV/0!</v>
      </c>
      <c r="E16" s="66" t="e">
        <f>D16-$E$5</f>
        <v>#DIV/0!</v>
      </c>
      <c r="F16" s="116">
        <v>210</v>
      </c>
      <c r="G16" s="66" t="e">
        <f t="shared" si="0"/>
        <v>#DIV/0!</v>
      </c>
      <c r="H16" s="78" t="e">
        <f t="shared" si="1"/>
        <v>#DIV/0!</v>
      </c>
      <c r="I16" s="33" t="e">
        <f>$C$15*A16+$C$16</f>
        <v>#DIV/0!</v>
      </c>
      <c r="J16" s="113" t="e">
        <f>((($N$2-(130*$D$2*(((B16+B15)*0.01)/2))*((I16-I15)/(A16-A15))))/((I16+I15)/2))/$D$2</f>
        <v>#DIV/0!</v>
      </c>
      <c r="K16" s="67" t="e">
        <f>$N$2/H16/$D$2</f>
        <v>#DIV/0!</v>
      </c>
      <c r="L16" s="67" t="e">
        <f>J16/($D$4/$D$2)</f>
        <v>#DIV/0!</v>
      </c>
      <c r="M16" s="107" t="e">
        <f>(((S16/60)*$J$1)/$D$2)</f>
        <v>#DIV/0!</v>
      </c>
      <c r="N16" s="19" t="e">
        <f>K16-M16</f>
        <v>#DIV/0!</v>
      </c>
      <c r="O16" s="67" t="e">
        <f>N16/($D$4/$D$2)</f>
        <v>#DIV/0!</v>
      </c>
      <c r="P16" s="67"/>
      <c r="Q16" s="30"/>
      <c r="R16" s="108">
        <v>110</v>
      </c>
      <c r="S16" s="109"/>
      <c r="U16" s="14"/>
      <c r="V16" s="15"/>
      <c r="W16" s="110"/>
      <c r="X16" s="69"/>
      <c r="Y16" s="30">
        <v>115</v>
      </c>
      <c r="Z16" s="71"/>
      <c r="AA16" s="40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19"/>
      <c r="AY16" s="74"/>
      <c r="AZ16" s="74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40"/>
    </row>
    <row r="17" spans="1:67" ht="14.1" customHeight="1">
      <c r="A17" s="12">
        <v>115</v>
      </c>
      <c r="B17" s="75"/>
      <c r="C17" s="65"/>
      <c r="D17" s="104" t="e">
        <f>AVERAGE(U23:U24)</f>
        <v>#DIV/0!</v>
      </c>
      <c r="E17" s="66" t="e">
        <f>D17-$E$5</f>
        <v>#DIV/0!</v>
      </c>
      <c r="F17" s="116">
        <v>220</v>
      </c>
      <c r="G17" s="66" t="e">
        <f t="shared" si="0"/>
        <v>#DIV/0!</v>
      </c>
      <c r="H17" s="78" t="e">
        <f t="shared" si="1"/>
        <v>#DIV/0!</v>
      </c>
      <c r="I17" s="33" t="e">
        <f>$C$15*A17+$C$16</f>
        <v>#DIV/0!</v>
      </c>
      <c r="J17" s="113" t="e">
        <f>((($N$2-(130*$D$2*(((B17+B16)*0.01)/2))*((I17-I16)/(A17-A16))))/((I17+I16)/2))/$D$2</f>
        <v>#DIV/0!</v>
      </c>
      <c r="K17" s="67" t="e">
        <f>$N$2/H17/$D$2</f>
        <v>#DIV/0!</v>
      </c>
      <c r="L17" s="67" t="e">
        <f>J17/($D$4/$D$2)</f>
        <v>#DIV/0!</v>
      </c>
      <c r="M17" s="107" t="e">
        <f>(((S17/60)*$J$1)/$D$2)</f>
        <v>#DIV/0!</v>
      </c>
      <c r="N17" s="19" t="e">
        <f>K17-M17</f>
        <v>#DIV/0!</v>
      </c>
      <c r="O17" s="67" t="e">
        <f>N17/($D$4/$D$2)</f>
        <v>#DIV/0!</v>
      </c>
      <c r="P17" s="67"/>
      <c r="Q17" s="30"/>
      <c r="R17" s="108">
        <v>115</v>
      </c>
      <c r="S17" s="117"/>
      <c r="T17" s="40">
        <v>90</v>
      </c>
      <c r="U17" s="14"/>
      <c r="V17" s="15"/>
      <c r="W17" s="110"/>
      <c r="X17" s="69"/>
      <c r="Y17" s="30">
        <v>120</v>
      </c>
      <c r="Z17" s="71"/>
      <c r="AA17" s="40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19"/>
      <c r="AY17" s="74"/>
      <c r="AZ17" s="74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40"/>
    </row>
    <row r="18" spans="1:67" ht="14.1" customHeight="1">
      <c r="A18" s="12">
        <v>120</v>
      </c>
      <c r="B18" s="118"/>
      <c r="C18" s="65"/>
      <c r="D18" s="104" t="e">
        <f>AVERAGE(U25:U26)</f>
        <v>#DIV/0!</v>
      </c>
      <c r="E18" s="66" t="e">
        <f>D18-$E$5</f>
        <v>#DIV/0!</v>
      </c>
      <c r="F18" s="116">
        <v>225</v>
      </c>
      <c r="G18" s="66" t="e">
        <f t="shared" si="0"/>
        <v>#DIV/0!</v>
      </c>
      <c r="H18" s="78" t="e">
        <f t="shared" si="1"/>
        <v>#DIV/0!</v>
      </c>
      <c r="I18" s="33" t="e">
        <f>$C$15*A18+$C$16</f>
        <v>#DIV/0!</v>
      </c>
      <c r="J18" s="113" t="e">
        <f>((($N$2-(130*$D$2*(((B18+B17)*0.01)/2))*((I18-I17)/(A18-A17))))/((I18+I17)/2))/$D$2</f>
        <v>#DIV/0!</v>
      </c>
      <c r="K18" s="67" t="e">
        <f>$N$2/H18/$D$2</f>
        <v>#DIV/0!</v>
      </c>
      <c r="L18" s="67" t="e">
        <f>J18/($D$4/$D$2)</f>
        <v>#DIV/0!</v>
      </c>
      <c r="M18" s="107" t="e">
        <f>(((S18/60)*$J$1)/$D$2)</f>
        <v>#DIV/0!</v>
      </c>
      <c r="N18" s="19" t="e">
        <f>K18-M18</f>
        <v>#DIV/0!</v>
      </c>
      <c r="O18" s="67" t="e">
        <f>N18/($D$4/$D$2)</f>
        <v>#DIV/0!</v>
      </c>
      <c r="P18" s="67"/>
      <c r="Q18" s="30"/>
      <c r="R18" s="108">
        <v>120</v>
      </c>
      <c r="S18" s="117"/>
      <c r="T18" s="30"/>
      <c r="U18" s="14"/>
      <c r="V18" s="15"/>
      <c r="W18" s="110"/>
      <c r="X18" s="96" t="e">
        <f>AVERAGE(X13:X17)</f>
        <v>#DIV/0!</v>
      </c>
      <c r="Y18" s="30" t="s">
        <v>107</v>
      </c>
      <c r="Z18" s="96" t="e">
        <f>AVERAGE(Z13:Z17)</f>
        <v>#DIV/0!</v>
      </c>
      <c r="AA18" s="30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5"/>
      <c r="AY18" s="95"/>
      <c r="AZ18" s="95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2"/>
      <c r="BO18" s="40"/>
    </row>
    <row r="19" spans="1:67" ht="14.1" customHeight="1" thickBot="1">
      <c r="A19" s="63"/>
      <c r="B19" s="98"/>
      <c r="C19" s="65"/>
      <c r="D19" s="99"/>
      <c r="E19" s="66"/>
      <c r="F19" s="63"/>
      <c r="G19" s="66"/>
      <c r="H19" s="66"/>
      <c r="I19" s="33"/>
      <c r="J19" s="113"/>
      <c r="K19" s="67"/>
      <c r="L19" s="67"/>
      <c r="M19" s="107"/>
      <c r="O19" s="67"/>
      <c r="P19" s="67"/>
      <c r="Q19" s="30"/>
      <c r="R19" s="108"/>
      <c r="S19" s="117"/>
      <c r="T19" s="41">
        <v>100</v>
      </c>
      <c r="U19" s="14"/>
      <c r="V19" s="15"/>
      <c r="W19" s="110"/>
      <c r="Y19" s="30"/>
      <c r="Z19" s="96"/>
      <c r="AA19" s="30"/>
      <c r="AB19" s="96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30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40"/>
    </row>
    <row r="20" spans="1:67" ht="14.1" customHeight="1" thickBot="1">
      <c r="A20" s="119" t="s">
        <v>112</v>
      </c>
      <c r="B20" s="120" t="e">
        <f>AVERAGE(B14:B19)</f>
        <v>#DIV/0!</v>
      </c>
      <c r="C20" s="121"/>
      <c r="D20" s="122" t="e">
        <f>AVERAGE(D14:D18)</f>
        <v>#DIV/0!</v>
      </c>
      <c r="E20" s="122" t="e">
        <f>AVERAGE(E14:E18)</f>
        <v>#DIV/0!</v>
      </c>
      <c r="F20" s="122"/>
      <c r="G20" s="122" t="e">
        <f>AVERAGE(G14:G18)</f>
        <v>#DIV/0!</v>
      </c>
      <c r="H20" s="122" t="e">
        <f>AVERAGE(H14:H18)</f>
        <v>#DIV/0!</v>
      </c>
      <c r="I20" s="122"/>
      <c r="J20" s="122" t="e">
        <f t="shared" ref="J20:O20" si="2">AVERAGE(J14:J18)</f>
        <v>#DIV/0!</v>
      </c>
      <c r="K20" s="123" t="e">
        <f t="shared" si="2"/>
        <v>#DIV/0!</v>
      </c>
      <c r="L20" s="122" t="e">
        <f t="shared" si="2"/>
        <v>#DIV/0!</v>
      </c>
      <c r="M20" s="122" t="e">
        <f t="shared" si="2"/>
        <v>#DIV/0!</v>
      </c>
      <c r="N20" s="123" t="e">
        <f t="shared" si="2"/>
        <v>#DIV/0!</v>
      </c>
      <c r="O20" s="122" t="e">
        <f t="shared" si="2"/>
        <v>#DIV/0!</v>
      </c>
      <c r="P20" s="124"/>
      <c r="Q20" s="30"/>
      <c r="R20" s="108"/>
      <c r="S20" s="117"/>
      <c r="T20" s="41"/>
      <c r="U20" s="14"/>
      <c r="V20" s="15"/>
      <c r="W20" s="110"/>
      <c r="X20" s="69"/>
      <c r="Y20" s="70">
        <v>210</v>
      </c>
      <c r="Z20" s="71"/>
      <c r="AA20" s="40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4"/>
      <c r="AY20" s="74"/>
      <c r="AZ20" s="74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40"/>
    </row>
    <row r="21" spans="1:67" ht="14.1" customHeight="1" thickBot="1">
      <c r="A21" s="70"/>
      <c r="B21" s="118"/>
      <c r="C21" s="36"/>
      <c r="D21" s="99"/>
      <c r="E21" s="33"/>
      <c r="F21" s="125" t="s">
        <v>113</v>
      </c>
      <c r="G21" s="33"/>
      <c r="H21" s="33"/>
      <c r="I21" s="126" t="s">
        <v>114</v>
      </c>
      <c r="J21" s="127" t="e">
        <f>J20-((B18-B15)*0.25*$D$2*10)/(30*$D$2)</f>
        <v>#DIV/0!</v>
      </c>
      <c r="K21" s="74"/>
      <c r="L21" s="128" t="s">
        <v>33</v>
      </c>
      <c r="M21" s="129" t="e">
        <f>J21-M20</f>
        <v>#DIV/0!</v>
      </c>
      <c r="N21" s="19"/>
      <c r="O21" s="74"/>
      <c r="P21" s="130" t="e">
        <f>$M$20-(((B18-B14)*1.3)/(A18-A14))</f>
        <v>#DIV/0!</v>
      </c>
      <c r="Q21" s="30"/>
      <c r="R21" s="131"/>
      <c r="S21" s="117"/>
      <c r="T21" s="41">
        <v>110</v>
      </c>
      <c r="U21" s="14"/>
      <c r="V21" s="15"/>
      <c r="W21" s="110"/>
      <c r="X21" s="69"/>
      <c r="Y21" s="70">
        <v>220</v>
      </c>
      <c r="Z21" s="71"/>
      <c r="AA21" s="40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4"/>
      <c r="AY21" s="74"/>
      <c r="AZ21" s="74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40"/>
    </row>
    <row r="22" spans="1:67" ht="14.1" customHeight="1" thickBot="1">
      <c r="A22" s="63"/>
      <c r="B22" s="98"/>
      <c r="C22" s="65"/>
      <c r="D22" s="99"/>
      <c r="E22" s="66"/>
      <c r="F22" s="63"/>
      <c r="G22" s="66"/>
      <c r="H22" s="66"/>
      <c r="I22" s="33"/>
      <c r="J22" s="132"/>
      <c r="K22" s="67"/>
      <c r="L22" s="133"/>
      <c r="M22" s="134"/>
      <c r="N22" s="101"/>
      <c r="O22" s="133"/>
      <c r="P22" s="133"/>
      <c r="Q22" s="30"/>
      <c r="R22" s="102" t="s">
        <v>25</v>
      </c>
      <c r="S22" s="103" t="s">
        <v>109</v>
      </c>
      <c r="T22" s="30"/>
      <c r="U22" s="14"/>
      <c r="V22" s="15"/>
      <c r="W22" s="110"/>
      <c r="X22" s="69"/>
      <c r="Y22" s="70">
        <v>230</v>
      </c>
      <c r="Z22" s="71"/>
      <c r="AA22" s="40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4"/>
      <c r="AY22" s="74"/>
      <c r="AZ22" s="74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40"/>
    </row>
    <row r="23" spans="1:67" ht="14.1" customHeight="1">
      <c r="A23" s="63">
        <v>210</v>
      </c>
      <c r="B23" s="75"/>
      <c r="C23" s="65"/>
      <c r="D23" s="104" t="e">
        <f>AVERAGE(U31:U32)</f>
        <v>#DIV/0!</v>
      </c>
      <c r="E23" s="78" t="e">
        <f>D23-$E$5</f>
        <v>#DIV/0!</v>
      </c>
      <c r="F23" s="78"/>
      <c r="G23" s="78" t="e">
        <f t="shared" si="0"/>
        <v>#DIV/0!</v>
      </c>
      <c r="H23" s="78" t="e">
        <f t="shared" si="1"/>
        <v>#DIV/0!</v>
      </c>
      <c r="I23" s="33" t="e">
        <f>$C$24*A23+$C$25</f>
        <v>#DIV/0!</v>
      </c>
      <c r="J23" s="105" t="s">
        <v>110</v>
      </c>
      <c r="K23" s="106" t="s">
        <v>111</v>
      </c>
      <c r="L23" s="67"/>
      <c r="M23" s="19" t="e">
        <f>(((S23/60)*$J$1)/$D$2)</f>
        <v>#DIV/0!</v>
      </c>
      <c r="N23" s="101"/>
      <c r="O23" s="133"/>
      <c r="P23" s="133"/>
      <c r="Q23" s="30"/>
      <c r="R23" s="131">
        <v>210</v>
      </c>
      <c r="S23" s="117"/>
      <c r="T23" s="13">
        <v>115</v>
      </c>
      <c r="U23" s="14"/>
      <c r="V23" s="15"/>
      <c r="W23" s="110"/>
      <c r="X23" s="69"/>
      <c r="Y23" s="70">
        <v>235</v>
      </c>
      <c r="Z23" s="71"/>
      <c r="AA23" s="40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4"/>
      <c r="AY23" s="74"/>
      <c r="AZ23" s="74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40"/>
    </row>
    <row r="24" spans="1:67" ht="14.1" customHeight="1">
      <c r="A24" s="63">
        <v>220</v>
      </c>
      <c r="B24" s="75"/>
      <c r="C24" s="65" t="e">
        <f>SLOPE(G24:G27,A24:A27)</f>
        <v>#DIV/0!</v>
      </c>
      <c r="D24" s="104" t="e">
        <f>AVERAGE(U33:U34)</f>
        <v>#DIV/0!</v>
      </c>
      <c r="E24" s="66" t="e">
        <f>D24-$E$5</f>
        <v>#DIV/0!</v>
      </c>
      <c r="F24" s="111">
        <v>180</v>
      </c>
      <c r="G24" s="112" t="e">
        <f t="shared" si="0"/>
        <v>#DIV/0!</v>
      </c>
      <c r="H24" s="112" t="e">
        <f t="shared" si="1"/>
        <v>#DIV/0!</v>
      </c>
      <c r="I24" s="33" t="e">
        <f>$C$24*A24+$C$25</f>
        <v>#DIV/0!</v>
      </c>
      <c r="J24" s="113" t="e">
        <f>((($N$2-(130*$D$2*(((B24+B23)*0.01)/2))*((I24-I23)/(A24-A23))))/((I24+I23)/2))/$D$2</f>
        <v>#DIV/0!</v>
      </c>
      <c r="K24" s="114" t="e">
        <f>$N$2/H24/$D$2</f>
        <v>#DIV/0!</v>
      </c>
      <c r="L24" s="114" t="e">
        <f>J24/($D$4/$D$2)</f>
        <v>#DIV/0!</v>
      </c>
      <c r="M24" s="107" t="e">
        <f>(((S24/60)*$J$1)/$D$2)</f>
        <v>#DIV/0!</v>
      </c>
      <c r="N24" s="19" t="e">
        <f>K24-M24</f>
        <v>#DIV/0!</v>
      </c>
      <c r="O24" s="74" t="e">
        <f>N24/($D$4/$D$2)</f>
        <v>#DIV/0!</v>
      </c>
      <c r="P24" s="74"/>
      <c r="Q24" s="30"/>
      <c r="R24" s="131">
        <v>220</v>
      </c>
      <c r="S24" s="117"/>
      <c r="U24" s="14"/>
      <c r="V24" s="15"/>
      <c r="W24" s="110"/>
      <c r="X24" s="69"/>
      <c r="Y24" s="70">
        <v>240</v>
      </c>
      <c r="Z24" s="71"/>
      <c r="AA24" s="40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4"/>
      <c r="AY24" s="74"/>
      <c r="AZ24" s="74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40"/>
    </row>
    <row r="25" spans="1:67" ht="14.1" customHeight="1">
      <c r="A25" s="63">
        <v>230</v>
      </c>
      <c r="B25" s="75"/>
      <c r="C25" s="65" t="e">
        <f>INTERCEPT(G24:G27,A24:A27)</f>
        <v>#DIV/0!</v>
      </c>
      <c r="D25" s="104" t="e">
        <f>AVERAGE(U35:U36)</f>
        <v>#DIV/0!</v>
      </c>
      <c r="E25" s="66" t="e">
        <f>D25-$E$5</f>
        <v>#DIV/0!</v>
      </c>
      <c r="F25" s="111">
        <v>180</v>
      </c>
      <c r="G25" s="112" t="e">
        <f t="shared" si="0"/>
        <v>#DIV/0!</v>
      </c>
      <c r="H25" s="112" t="e">
        <f t="shared" si="1"/>
        <v>#DIV/0!</v>
      </c>
      <c r="I25" s="33" t="e">
        <f>$C$24*A25+$C$25</f>
        <v>#DIV/0!</v>
      </c>
      <c r="J25" s="113" t="e">
        <f>((($N$2-(130*$D$2*(((B25+B24)*0.01)/2))*((I25-I24)/(A25-A24))))/((I25+I24)/2))/$D$2</f>
        <v>#DIV/0!</v>
      </c>
      <c r="K25" s="114" t="e">
        <f>$N$2/H25/$D$2</f>
        <v>#DIV/0!</v>
      </c>
      <c r="L25" s="114" t="e">
        <f>J25/($D$4/$D$2)</f>
        <v>#DIV/0!</v>
      </c>
      <c r="M25" s="107" t="e">
        <f>(((S25/60)*$J$1)/$D$2)</f>
        <v>#DIV/0!</v>
      </c>
      <c r="N25" s="19" t="e">
        <f>K25-M25</f>
        <v>#DIV/0!</v>
      </c>
      <c r="O25" s="114" t="e">
        <f>N25/($D$4/$D$2)</f>
        <v>#DIV/0!</v>
      </c>
      <c r="P25" s="74"/>
      <c r="Q25" s="30"/>
      <c r="R25" s="131">
        <v>230</v>
      </c>
      <c r="S25" s="117"/>
      <c r="T25" s="13">
        <v>120</v>
      </c>
      <c r="U25" s="14"/>
      <c r="V25" s="15"/>
      <c r="W25" s="110"/>
      <c r="X25" s="96" t="e">
        <f>AVERAGE(X20:X24)</f>
        <v>#DIV/0!</v>
      </c>
      <c r="Y25" s="57" t="s">
        <v>107</v>
      </c>
      <c r="Z25" s="96" t="e">
        <f>AVERAGE(Z20:Z24)</f>
        <v>#DIV/0!</v>
      </c>
      <c r="AA25" s="30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5"/>
      <c r="AY25" s="95"/>
      <c r="AZ25" s="95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40"/>
    </row>
    <row r="26" spans="1:67" ht="14.1" customHeight="1">
      <c r="A26" s="63">
        <v>235</v>
      </c>
      <c r="B26" s="75"/>
      <c r="C26" s="65"/>
      <c r="D26" s="104" t="e">
        <f>AVERAGE(U37:U38)</f>
        <v>#DIV/0!</v>
      </c>
      <c r="E26" s="66" t="e">
        <f>D26-$E$5</f>
        <v>#DIV/0!</v>
      </c>
      <c r="F26" s="111">
        <v>180</v>
      </c>
      <c r="G26" s="112" t="e">
        <f t="shared" si="0"/>
        <v>#DIV/0!</v>
      </c>
      <c r="H26" s="112" t="e">
        <f t="shared" si="1"/>
        <v>#DIV/0!</v>
      </c>
      <c r="I26" s="33" t="e">
        <f>$C$24*A26+$C$25</f>
        <v>#DIV/0!</v>
      </c>
      <c r="J26" s="113" t="e">
        <f>((($N$2-(130*$D$2*(((B26+B25)*0.01)/2))*((I26-I25)/(A26-A25))))/((I26+I25)/2))/$D$2</f>
        <v>#DIV/0!</v>
      </c>
      <c r="K26" s="114" t="e">
        <f>$N$2/H26/$D$2</f>
        <v>#DIV/0!</v>
      </c>
      <c r="L26" s="114" t="e">
        <f>J26/($D$4/$D$2)</f>
        <v>#DIV/0!</v>
      </c>
      <c r="M26" s="107" t="e">
        <f>(((S26/60)*$J$1)/$D$2)</f>
        <v>#DIV/0!</v>
      </c>
      <c r="N26" s="19" t="e">
        <f>K26-M26</f>
        <v>#DIV/0!</v>
      </c>
      <c r="O26" s="114" t="e">
        <f>N26/($D$4/$D$2)</f>
        <v>#DIV/0!</v>
      </c>
      <c r="P26" s="74"/>
      <c r="Q26" s="30"/>
      <c r="R26" s="131">
        <v>235</v>
      </c>
      <c r="S26" s="117"/>
      <c r="U26" s="14"/>
      <c r="V26" s="15"/>
      <c r="W26" s="11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</row>
    <row r="27" spans="1:67" ht="14.1" customHeight="1">
      <c r="A27" s="63">
        <v>240</v>
      </c>
      <c r="B27" s="118"/>
      <c r="C27" s="65"/>
      <c r="D27" s="104" t="e">
        <f>AVERAGE(U39:U40)</f>
        <v>#DIV/0!</v>
      </c>
      <c r="E27" s="66" t="e">
        <f>D27-$E$5</f>
        <v>#DIV/0!</v>
      </c>
      <c r="F27" s="111">
        <v>180</v>
      </c>
      <c r="G27" s="112" t="e">
        <f t="shared" si="0"/>
        <v>#DIV/0!</v>
      </c>
      <c r="H27" s="112" t="e">
        <f t="shared" si="1"/>
        <v>#DIV/0!</v>
      </c>
      <c r="I27" s="33" t="e">
        <f>$C$24*A27+$C$25</f>
        <v>#DIV/0!</v>
      </c>
      <c r="J27" s="113" t="e">
        <f>((($N$2-(130*$D$2*(((B27+B26)*0.01)/2))*((I27-I26)/(A27-A26))))/((I27+I26)/2))/$D$2</f>
        <v>#DIV/0!</v>
      </c>
      <c r="K27" s="114" t="e">
        <f>$N$2/H27/$D$2</f>
        <v>#DIV/0!</v>
      </c>
      <c r="L27" s="114" t="e">
        <f>J27/($D$4/$D$2)</f>
        <v>#DIV/0!</v>
      </c>
      <c r="M27" s="107" t="e">
        <f>(((S27/60)*$J$1)/$D$2)</f>
        <v>#DIV/0!</v>
      </c>
      <c r="N27" s="19" t="e">
        <f>K27-M27</f>
        <v>#DIV/0!</v>
      </c>
      <c r="O27" s="114" t="e">
        <f>N27/($D$4/$D$2)</f>
        <v>#DIV/0!</v>
      </c>
      <c r="P27" s="74"/>
      <c r="Q27" s="30"/>
      <c r="R27" s="131">
        <v>240</v>
      </c>
      <c r="S27" s="117"/>
      <c r="T27" s="13">
        <v>150</v>
      </c>
      <c r="U27" s="14"/>
      <c r="V27" s="15"/>
      <c r="W27" s="11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</row>
    <row r="28" spans="1:67" ht="14.1" customHeight="1" thickBot="1">
      <c r="A28" s="63"/>
      <c r="B28" s="118"/>
      <c r="C28" s="65"/>
      <c r="D28" s="99"/>
      <c r="E28" s="66"/>
      <c r="F28" s="135"/>
      <c r="G28" s="112"/>
      <c r="H28" s="112"/>
      <c r="I28" s="33"/>
      <c r="J28" s="113"/>
      <c r="K28" s="114"/>
      <c r="L28" s="114"/>
      <c r="M28" s="107"/>
      <c r="N28" s="107"/>
      <c r="O28" s="114"/>
      <c r="P28" s="74"/>
      <c r="Q28" s="30"/>
      <c r="R28" s="108"/>
      <c r="S28" s="117"/>
      <c r="U28" s="14"/>
      <c r="V28" s="15"/>
      <c r="W28" s="110"/>
      <c r="X28" s="69"/>
      <c r="Y28" s="13" t="s">
        <v>115</v>
      </c>
    </row>
    <row r="29" spans="1:67" ht="14.1" customHeight="1" thickBot="1">
      <c r="A29" s="119" t="s">
        <v>112</v>
      </c>
      <c r="B29" s="122" t="e">
        <f>AVERAGE(B23:B28)</f>
        <v>#DIV/0!</v>
      </c>
      <c r="C29" s="121"/>
      <c r="D29" s="122" t="e">
        <f>AVERAGE(D23:D28)</f>
        <v>#DIV/0!</v>
      </c>
      <c r="E29" s="122" t="e">
        <f>AVERAGE(E23:E28)</f>
        <v>#DIV/0!</v>
      </c>
      <c r="F29" s="122">
        <f>AVERAGE(F24:F28)</f>
        <v>180</v>
      </c>
      <c r="G29" s="122" t="e">
        <f>AVERAGE(G23:G28)</f>
        <v>#DIV/0!</v>
      </c>
      <c r="H29" s="122" t="e">
        <f>AVERAGE(H23:H28)</f>
        <v>#DIV/0!</v>
      </c>
      <c r="I29" s="122"/>
      <c r="J29" s="122" t="e">
        <f t="shared" ref="J29:O29" si="3">AVERAGE(J23:J28)</f>
        <v>#DIV/0!</v>
      </c>
      <c r="K29" s="123" t="e">
        <f t="shared" si="3"/>
        <v>#DIV/0!</v>
      </c>
      <c r="L29" s="122" t="e">
        <f t="shared" si="3"/>
        <v>#DIV/0!</v>
      </c>
      <c r="M29" s="122" t="e">
        <f t="shared" si="3"/>
        <v>#DIV/0!</v>
      </c>
      <c r="N29" s="123" t="e">
        <f t="shared" si="3"/>
        <v>#DIV/0!</v>
      </c>
      <c r="O29" s="122" t="e">
        <f t="shared" si="3"/>
        <v>#DIV/0!</v>
      </c>
      <c r="P29" s="122"/>
      <c r="Q29" s="136"/>
      <c r="R29" s="137"/>
      <c r="S29" s="138"/>
      <c r="T29" s="13">
        <v>180</v>
      </c>
      <c r="U29" s="14"/>
      <c r="V29" s="15"/>
      <c r="W29" s="110"/>
      <c r="X29" s="69"/>
      <c r="Y29" s="13" t="s">
        <v>116</v>
      </c>
    </row>
    <row r="30" spans="1:67" ht="14.1" customHeight="1">
      <c r="A30" s="70"/>
      <c r="B30" s="139"/>
      <c r="C30" s="36"/>
      <c r="D30" s="99"/>
      <c r="E30" s="33"/>
      <c r="F30" s="125" t="s">
        <v>117</v>
      </c>
      <c r="G30" s="33"/>
      <c r="H30" s="33"/>
      <c r="I30" s="140" t="s">
        <v>114</v>
      </c>
      <c r="J30" s="141" t="e">
        <f>J29-((B27-B24)*0.25*$D$2*10)/(20*$D$2)</f>
        <v>#DIV/0!</v>
      </c>
      <c r="K30" s="74"/>
      <c r="L30" s="142" t="s">
        <v>33</v>
      </c>
      <c r="M30" s="143" t="e">
        <f>J30-M29</f>
        <v>#DIV/0!</v>
      </c>
      <c r="N30" s="19" t="e">
        <f>AVERAGE(J24:J25)-M29</f>
        <v>#DIV/0!</v>
      </c>
      <c r="O30" s="74"/>
      <c r="P30" s="130" t="e">
        <f>$M$29-(((B27-B23)*1.3)/(A27-A23))</f>
        <v>#DIV/0!</v>
      </c>
      <c r="Q30" s="30"/>
      <c r="R30" s="63"/>
      <c r="S30" s="144"/>
      <c r="U30" s="14"/>
      <c r="V30" s="15"/>
      <c r="W30" s="110"/>
      <c r="X30" s="69"/>
      <c r="Y30" s="13" t="s">
        <v>118</v>
      </c>
    </row>
    <row r="31" spans="1:67" ht="14.1" customHeight="1">
      <c r="A31" s="145"/>
      <c r="B31" s="139"/>
      <c r="C31" s="146"/>
      <c r="D31" s="147"/>
      <c r="E31" s="148"/>
      <c r="F31" s="145"/>
      <c r="G31" s="148"/>
      <c r="H31" s="148"/>
      <c r="I31" s="148"/>
      <c r="J31" s="149"/>
      <c r="K31" s="150"/>
      <c r="L31" s="133"/>
      <c r="M31" s="134"/>
      <c r="N31" s="101"/>
      <c r="O31" s="150"/>
      <c r="P31" s="150"/>
      <c r="Q31" s="96"/>
      <c r="R31" s="151"/>
      <c r="S31" s="101" t="s">
        <v>32</v>
      </c>
      <c r="T31" s="13">
        <v>210</v>
      </c>
      <c r="U31" s="14"/>
      <c r="V31" s="15"/>
      <c r="W31" s="110"/>
      <c r="X31" s="69"/>
      <c r="Y31" s="13" t="s">
        <v>119</v>
      </c>
    </row>
    <row r="32" spans="1:67" ht="14.1" customHeight="1">
      <c r="A32" s="145"/>
      <c r="B32" s="148"/>
      <c r="C32" s="146"/>
      <c r="D32" s="147"/>
      <c r="E32" s="148"/>
      <c r="F32" s="148"/>
      <c r="G32" s="148"/>
      <c r="H32" s="148"/>
      <c r="I32" s="148"/>
      <c r="J32" s="152"/>
      <c r="K32" s="153"/>
      <c r="L32" s="58"/>
      <c r="M32" s="124"/>
      <c r="N32" s="101"/>
      <c r="O32" s="150"/>
      <c r="P32" s="150"/>
      <c r="Q32" s="96"/>
      <c r="R32" s="145"/>
      <c r="S32" s="58"/>
      <c r="U32" s="14"/>
      <c r="V32" s="15"/>
      <c r="W32" s="110"/>
      <c r="X32" s="69"/>
      <c r="Y32" s="13" t="s">
        <v>120</v>
      </c>
    </row>
    <row r="33" spans="1:99" ht="14.1" customHeight="1">
      <c r="A33" s="145"/>
      <c r="B33" s="148"/>
      <c r="C33" s="146"/>
      <c r="D33" s="147"/>
      <c r="E33" s="148"/>
      <c r="F33" s="145"/>
      <c r="G33" s="148"/>
      <c r="H33" s="148"/>
      <c r="I33" s="148"/>
      <c r="J33" s="149"/>
      <c r="K33" s="150"/>
      <c r="L33" s="150"/>
      <c r="M33" s="124"/>
      <c r="N33" s="124"/>
      <c r="O33" s="150"/>
      <c r="P33" s="150"/>
      <c r="Q33" s="96"/>
      <c r="R33" s="145"/>
      <c r="S33" s="58"/>
      <c r="T33" s="13">
        <v>220</v>
      </c>
      <c r="U33" s="14"/>
      <c r="V33" s="15"/>
      <c r="W33" s="110"/>
      <c r="X33" s="69"/>
      <c r="Y33" s="20" t="s">
        <v>121</v>
      </c>
    </row>
    <row r="34" spans="1:99" ht="14.1" customHeight="1">
      <c r="A34" s="145"/>
      <c r="B34" s="148"/>
      <c r="C34" s="146"/>
      <c r="D34" s="147"/>
      <c r="E34" s="148"/>
      <c r="F34" s="145"/>
      <c r="G34" s="148"/>
      <c r="H34" s="148"/>
      <c r="I34" s="148"/>
      <c r="J34" s="149"/>
      <c r="K34" s="150"/>
      <c r="L34" s="150"/>
      <c r="M34" s="124"/>
      <c r="N34" s="124"/>
      <c r="O34" s="150"/>
      <c r="P34" s="150"/>
      <c r="Q34" s="96"/>
      <c r="R34" s="145"/>
      <c r="S34" s="58"/>
      <c r="U34" s="14"/>
      <c r="V34" s="15"/>
      <c r="W34" s="110"/>
    </row>
    <row r="35" spans="1:99" ht="14.1" customHeight="1">
      <c r="A35" s="145"/>
      <c r="B35" s="148"/>
      <c r="C35" s="146"/>
      <c r="D35" s="147"/>
      <c r="E35" s="148"/>
      <c r="F35" s="145"/>
      <c r="G35" s="148"/>
      <c r="H35" s="148"/>
      <c r="I35" s="148"/>
      <c r="J35" s="149"/>
      <c r="K35" s="150"/>
      <c r="L35" s="150"/>
      <c r="M35" s="124"/>
      <c r="N35" s="124"/>
      <c r="O35" s="150"/>
      <c r="P35" s="150"/>
      <c r="Q35" s="96"/>
      <c r="R35" s="145"/>
      <c r="S35" s="58"/>
      <c r="T35" s="13">
        <v>230</v>
      </c>
      <c r="U35" s="14"/>
      <c r="V35" s="15"/>
      <c r="W35" s="110"/>
    </row>
    <row r="36" spans="1:99" ht="14.1" customHeight="1">
      <c r="A36" s="145"/>
      <c r="B36" s="139"/>
      <c r="C36" s="146"/>
      <c r="D36" s="147"/>
      <c r="E36" s="148"/>
      <c r="F36" s="145"/>
      <c r="G36" s="148"/>
      <c r="H36" s="148"/>
      <c r="I36" s="148"/>
      <c r="J36" s="149"/>
      <c r="K36" s="150"/>
      <c r="L36" s="150"/>
      <c r="M36" s="124"/>
      <c r="N36" s="124"/>
      <c r="O36" s="150"/>
      <c r="P36" s="150"/>
      <c r="Q36" s="96"/>
      <c r="R36" s="145"/>
      <c r="S36" s="58"/>
      <c r="U36" s="14"/>
      <c r="V36" s="15"/>
      <c r="W36" s="110"/>
      <c r="X36"/>
    </row>
    <row r="37" spans="1:99" ht="14.1" customHeight="1">
      <c r="A37" s="145"/>
      <c r="B37" s="139"/>
      <c r="C37" s="146"/>
      <c r="D37" s="147"/>
      <c r="E37" s="148"/>
      <c r="F37" s="145"/>
      <c r="G37" s="148"/>
      <c r="H37" s="148"/>
      <c r="I37" s="148"/>
      <c r="J37" s="149"/>
      <c r="K37" s="150"/>
      <c r="L37" s="150"/>
      <c r="M37" s="124"/>
      <c r="N37" s="124"/>
      <c r="O37" s="150"/>
      <c r="P37" s="150"/>
      <c r="Q37" s="96"/>
      <c r="R37" s="96"/>
      <c r="S37" s="58"/>
      <c r="T37" s="13">
        <v>235</v>
      </c>
      <c r="U37" s="14"/>
      <c r="V37" s="15"/>
      <c r="W37" s="15"/>
      <c r="X37" s="6"/>
    </row>
    <row r="38" spans="1:99" s="156" customFormat="1" ht="14.1" customHeight="1">
      <c r="A38" s="154"/>
      <c r="B38" s="139"/>
      <c r="C38" s="155"/>
      <c r="D38" s="139"/>
      <c r="E38" s="139"/>
      <c r="F38" s="139"/>
      <c r="G38" s="139"/>
      <c r="H38" s="139"/>
      <c r="I38" s="139"/>
      <c r="J38" s="124"/>
      <c r="K38" s="124"/>
      <c r="L38" s="124"/>
      <c r="M38" s="124"/>
      <c r="N38" s="124"/>
      <c r="O38" s="124"/>
      <c r="P38" s="124"/>
      <c r="Q38" s="155"/>
      <c r="R38" s="145"/>
      <c r="S38" s="58"/>
      <c r="T38" s="13"/>
      <c r="U38" s="14"/>
      <c r="V38" s="15"/>
      <c r="W38" s="15"/>
      <c r="X38" s="6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</row>
    <row r="39" spans="1:99" s="3" customFormat="1" ht="14.1" customHeight="1">
      <c r="A39" s="157"/>
      <c r="B39" s="158"/>
      <c r="C39" s="159"/>
      <c r="D39" s="160"/>
      <c r="E39" s="160"/>
      <c r="F39" s="161"/>
      <c r="G39" s="160"/>
      <c r="H39" s="148"/>
      <c r="I39" s="162"/>
      <c r="J39" s="163"/>
      <c r="K39" s="150"/>
      <c r="L39" s="155"/>
      <c r="M39" s="134"/>
      <c r="N39" s="155"/>
      <c r="O39" s="155"/>
      <c r="P39" s="155"/>
      <c r="Q39" s="58"/>
      <c r="R39" s="58"/>
      <c r="S39" s="58"/>
      <c r="T39" s="13">
        <v>240</v>
      </c>
      <c r="U39" s="14"/>
      <c r="V39" s="15"/>
      <c r="W39" s="15"/>
      <c r="X39" s="6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</row>
    <row r="40" spans="1:99" ht="14.1" customHeight="1">
      <c r="A40" s="164"/>
      <c r="B40" s="165"/>
      <c r="C40" s="164"/>
      <c r="D40" s="148"/>
      <c r="E40" s="164"/>
      <c r="F40" s="164"/>
      <c r="G40" s="96"/>
      <c r="H40" s="101"/>
      <c r="I40" s="58"/>
      <c r="J40" s="155"/>
      <c r="K40" s="166"/>
      <c r="L40" s="167"/>
      <c r="M40" s="168"/>
      <c r="N40" s="134"/>
      <c r="O40" s="169"/>
      <c r="P40" s="169"/>
      <c r="Q40" s="58"/>
      <c r="R40" s="58"/>
      <c r="S40" s="58"/>
      <c r="U40" s="14"/>
      <c r="V40" s="15"/>
      <c r="W40" s="15"/>
    </row>
    <row r="41" spans="1:99" ht="14.1" customHeight="1">
      <c r="A41" s="164"/>
      <c r="B41" s="170"/>
      <c r="C41" s="164"/>
      <c r="D41" s="171"/>
      <c r="E41" s="164"/>
      <c r="F41" s="164"/>
      <c r="G41" s="124"/>
      <c r="H41" s="58"/>
      <c r="I41" s="58"/>
      <c r="J41" s="170"/>
      <c r="K41" s="170"/>
      <c r="L41" s="96"/>
      <c r="M41" s="172"/>
      <c r="N41" s="160"/>
      <c r="O41" s="58"/>
      <c r="P41" s="58"/>
      <c r="Q41" s="58"/>
      <c r="R41" s="58"/>
      <c r="S41" s="58"/>
      <c r="U41" s="173"/>
      <c r="V41" s="174"/>
      <c r="W41" s="175"/>
    </row>
    <row r="42" spans="1:99" ht="14.1" customHeight="1">
      <c r="A42" s="3"/>
      <c r="B42" s="3"/>
      <c r="C42" s="3"/>
      <c r="D42" s="33"/>
      <c r="E42" s="3"/>
      <c r="F42" s="3"/>
      <c r="G42" s="19"/>
      <c r="H42" s="40"/>
      <c r="I42" s="40"/>
      <c r="J42" s="30"/>
      <c r="K42" s="30"/>
      <c r="L42" s="30"/>
      <c r="M42" s="30"/>
      <c r="N42" s="33"/>
      <c r="O42" s="33"/>
      <c r="P42" s="33"/>
      <c r="Q42" s="40"/>
      <c r="R42" s="40"/>
      <c r="U42" s="173"/>
      <c r="V42" s="174"/>
      <c r="W42" s="175"/>
    </row>
    <row r="43" spans="1:99" ht="14.1" customHeight="1">
      <c r="A43" s="30"/>
      <c r="B43" s="176"/>
      <c r="C43" s="3"/>
      <c r="D43" s="33"/>
      <c r="E43" s="177"/>
      <c r="F43" s="177"/>
      <c r="G43" s="33"/>
      <c r="H43" s="174"/>
      <c r="I43" s="40"/>
      <c r="J43" s="30"/>
      <c r="K43" s="30"/>
      <c r="L43" s="30"/>
      <c r="M43" s="33"/>
      <c r="N43" s="178"/>
      <c r="O43" s="33"/>
      <c r="P43" s="33"/>
      <c r="Q43" s="40"/>
      <c r="R43" s="40"/>
      <c r="U43" s="173"/>
      <c r="V43" s="174"/>
      <c r="W43" s="175"/>
    </row>
    <row r="44" spans="1:99" ht="14.1" customHeight="1">
      <c r="A44" s="3"/>
      <c r="B44" s="30"/>
      <c r="C44" s="3"/>
      <c r="D44" s="41"/>
      <c r="E44" s="42"/>
      <c r="F44" s="42"/>
      <c r="G44" s="19"/>
      <c r="H44" s="19"/>
      <c r="I44" s="30"/>
      <c r="J44" s="179"/>
      <c r="K44" s="179"/>
      <c r="L44" s="180"/>
      <c r="M44" s="39"/>
      <c r="N44" s="179"/>
      <c r="O44" s="180"/>
      <c r="P44" s="180"/>
      <c r="Q44" s="46"/>
      <c r="R44" s="46"/>
      <c r="U44" s="173"/>
      <c r="V44" s="174"/>
      <c r="W44" s="175"/>
    </row>
    <row r="45" spans="1:99" s="1" customFormat="1" ht="14.1" customHeight="1">
      <c r="A45" s="3"/>
      <c r="B45" s="181"/>
      <c r="C45" s="181"/>
      <c r="D45" s="25"/>
      <c r="E45" s="181"/>
      <c r="F45" s="181"/>
      <c r="G45" s="181"/>
      <c r="H45" s="95"/>
      <c r="I45" s="95"/>
      <c r="J45" s="182"/>
      <c r="K45" s="182"/>
      <c r="L45" s="182"/>
      <c r="M45" s="182"/>
      <c r="N45" s="182"/>
      <c r="O45" s="54"/>
      <c r="P45" s="54"/>
      <c r="Q45" s="55"/>
      <c r="R45" s="55"/>
      <c r="S45" s="13"/>
      <c r="T45" s="13"/>
      <c r="U45" s="173"/>
      <c r="V45" s="40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</row>
    <row r="46" spans="1:99" ht="14.1" customHeight="1">
      <c r="A46" s="70"/>
      <c r="B46" s="33"/>
      <c r="C46" s="36"/>
      <c r="D46" s="33"/>
      <c r="E46" s="33"/>
      <c r="F46" s="33"/>
      <c r="G46" s="33"/>
      <c r="H46" s="33"/>
      <c r="I46" s="33"/>
      <c r="J46" s="74"/>
      <c r="K46" s="74"/>
      <c r="L46" s="74"/>
      <c r="M46" s="30"/>
      <c r="N46" s="19"/>
      <c r="O46" s="74"/>
      <c r="P46" s="74"/>
      <c r="Q46" s="30"/>
      <c r="R46" s="30"/>
      <c r="U46" s="173"/>
    </row>
    <row r="47" spans="1:99" ht="14.1" customHeight="1">
      <c r="A47" s="70"/>
      <c r="B47" s="33"/>
      <c r="C47" s="36"/>
      <c r="D47" s="33"/>
      <c r="E47" s="33"/>
      <c r="F47" s="33"/>
      <c r="G47" s="33"/>
      <c r="H47" s="33"/>
      <c r="I47" s="33"/>
      <c r="J47" s="74"/>
      <c r="K47" s="74"/>
      <c r="L47" s="74"/>
      <c r="M47" s="30"/>
      <c r="N47" s="19"/>
      <c r="O47" s="74"/>
      <c r="P47" s="74"/>
      <c r="Q47" s="30"/>
      <c r="R47" s="30"/>
      <c r="T47" s="40"/>
      <c r="U47" s="173"/>
    </row>
    <row r="48" spans="1:99" s="80" customFormat="1" ht="14.1" customHeight="1">
      <c r="A48" s="183"/>
      <c r="B48" s="25"/>
      <c r="C48" s="184"/>
      <c r="D48" s="25"/>
      <c r="E48" s="25"/>
      <c r="F48" s="25"/>
      <c r="G48" s="25"/>
      <c r="H48" s="25"/>
      <c r="I48" s="25"/>
      <c r="J48" s="95"/>
      <c r="K48" s="95"/>
      <c r="L48" s="95"/>
      <c r="M48" s="95"/>
      <c r="N48" s="95"/>
      <c r="O48" s="95"/>
      <c r="P48" s="95"/>
      <c r="Q48" s="95"/>
      <c r="R48" s="95"/>
      <c r="S48" s="13"/>
      <c r="T48" s="40"/>
      <c r="U48" s="17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</row>
    <row r="49" spans="1:99" ht="14.1" customHeight="1">
      <c r="A49" s="30"/>
      <c r="B49" s="176"/>
      <c r="C49" s="185"/>
      <c r="D49" s="33"/>
      <c r="E49" s="40"/>
      <c r="F49" s="40"/>
      <c r="G49" s="40"/>
      <c r="H49" s="40"/>
      <c r="I49" s="40"/>
      <c r="J49" s="40"/>
      <c r="K49" s="40"/>
      <c r="L49" s="40"/>
      <c r="M49" s="30"/>
      <c r="N49" s="40"/>
      <c r="O49" s="40"/>
      <c r="P49" s="40"/>
      <c r="Q49" s="30"/>
      <c r="R49" s="30"/>
      <c r="T49" s="40"/>
      <c r="U49" s="173"/>
    </row>
    <row r="50" spans="1:99" ht="14.1" customHeight="1">
      <c r="A50" s="30"/>
      <c r="B50" s="176"/>
      <c r="C50" s="185"/>
      <c r="D50" s="33"/>
      <c r="E50" s="40"/>
      <c r="F50" s="40"/>
      <c r="G50" s="40"/>
      <c r="H50" s="40"/>
      <c r="I50" s="40"/>
      <c r="J50" s="40"/>
      <c r="K50" s="40"/>
      <c r="L50" s="40"/>
      <c r="M50" s="30"/>
      <c r="N50" s="40"/>
      <c r="O50" s="40"/>
      <c r="P50" s="40"/>
      <c r="Q50" s="30"/>
      <c r="R50" s="30"/>
      <c r="T50" s="40"/>
      <c r="U50" s="173"/>
    </row>
    <row r="51" spans="1:99" ht="14.1" customHeight="1">
      <c r="A51" s="30"/>
      <c r="B51" s="176"/>
      <c r="C51" s="185"/>
      <c r="D51" s="33"/>
      <c r="E51" s="40"/>
      <c r="F51" s="40"/>
      <c r="G51" s="40"/>
      <c r="H51" s="40"/>
      <c r="I51" s="40"/>
      <c r="J51" s="40"/>
      <c r="K51" s="40"/>
      <c r="L51" s="40"/>
      <c r="M51" s="19"/>
      <c r="N51" s="40"/>
      <c r="O51" s="40"/>
      <c r="P51" s="40"/>
      <c r="Q51" s="30"/>
      <c r="R51" s="30"/>
      <c r="T51" s="40"/>
      <c r="U51" s="173"/>
    </row>
    <row r="52" spans="1:99" ht="14.1" customHeight="1">
      <c r="A52" s="30"/>
      <c r="B52" s="176"/>
      <c r="C52" s="185"/>
      <c r="D52" s="33"/>
      <c r="E52" s="40"/>
      <c r="F52" s="40"/>
      <c r="G52" s="40"/>
      <c r="H52" s="40"/>
      <c r="I52" s="40"/>
      <c r="J52" s="40"/>
      <c r="K52" s="40"/>
      <c r="L52" s="40"/>
      <c r="M52" s="19"/>
      <c r="N52" s="40"/>
      <c r="O52" s="40"/>
      <c r="P52" s="40"/>
      <c r="Q52" s="30"/>
      <c r="R52" s="30"/>
      <c r="U52" s="173"/>
    </row>
    <row r="53" spans="1:99" ht="14.1" customHeight="1">
      <c r="A53" s="30"/>
      <c r="B53" s="176"/>
      <c r="C53" s="186"/>
      <c r="D53" s="33"/>
      <c r="E53" s="33"/>
      <c r="F53" s="33"/>
      <c r="G53" s="33"/>
      <c r="H53" s="33"/>
      <c r="I53" s="33"/>
      <c r="J53" s="187"/>
      <c r="K53" s="188"/>
      <c r="L53" s="40"/>
      <c r="M53" s="19"/>
      <c r="N53" s="40"/>
      <c r="O53" s="40"/>
      <c r="P53" s="40"/>
      <c r="Q53" s="30"/>
      <c r="R53" s="30"/>
      <c r="U53" s="173"/>
    </row>
    <row r="54" spans="1:99" ht="14.1" customHeight="1">
      <c r="A54" s="70"/>
      <c r="B54" s="189"/>
      <c r="C54" s="36"/>
      <c r="D54" s="33"/>
      <c r="E54" s="33"/>
      <c r="F54" s="33"/>
      <c r="G54" s="33"/>
      <c r="H54" s="33"/>
      <c r="I54" s="33"/>
      <c r="J54" s="132"/>
      <c r="K54" s="74"/>
      <c r="L54" s="74"/>
      <c r="M54" s="19"/>
      <c r="N54" s="19"/>
      <c r="O54" s="74"/>
      <c r="P54" s="74"/>
      <c r="Q54" s="30"/>
      <c r="R54" s="30"/>
      <c r="U54" s="173"/>
    </row>
    <row r="55" spans="1:99" ht="14.1" customHeight="1">
      <c r="A55" s="70"/>
      <c r="B55" s="189"/>
      <c r="C55" s="36"/>
      <c r="D55" s="33"/>
      <c r="E55" s="33"/>
      <c r="F55" s="33"/>
      <c r="G55" s="33"/>
      <c r="H55" s="33"/>
      <c r="I55" s="33"/>
      <c r="J55" s="132"/>
      <c r="K55" s="74"/>
      <c r="L55" s="74"/>
      <c r="M55" s="19"/>
      <c r="N55" s="19"/>
      <c r="O55" s="74"/>
      <c r="P55" s="74"/>
      <c r="Q55" s="30"/>
      <c r="R55" s="30"/>
      <c r="U55" s="173"/>
    </row>
    <row r="56" spans="1:99" s="30" customFormat="1" ht="14.1" customHeight="1">
      <c r="A56" s="70"/>
      <c r="B56" s="189"/>
      <c r="C56" s="36"/>
      <c r="D56" s="33"/>
      <c r="E56" s="33"/>
      <c r="F56" s="33"/>
      <c r="G56" s="33"/>
      <c r="H56" s="33"/>
      <c r="I56" s="33"/>
      <c r="J56" s="132"/>
      <c r="K56" s="74"/>
      <c r="L56" s="74"/>
      <c r="M56" s="19"/>
      <c r="N56" s="19"/>
      <c r="O56" s="74"/>
      <c r="P56" s="74"/>
      <c r="S56" s="13"/>
      <c r="T56" s="13"/>
      <c r="U56" s="17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</row>
    <row r="57" spans="1:99" ht="14.1" customHeight="1">
      <c r="A57" s="70"/>
      <c r="B57" s="189"/>
      <c r="C57" s="36"/>
      <c r="D57" s="33"/>
      <c r="E57" s="33"/>
      <c r="F57" s="33"/>
      <c r="G57" s="33"/>
      <c r="H57" s="33"/>
      <c r="I57" s="33"/>
      <c r="J57" s="132"/>
      <c r="K57" s="74"/>
      <c r="L57" s="74"/>
      <c r="M57" s="19"/>
      <c r="N57" s="19"/>
      <c r="O57" s="74"/>
      <c r="P57" s="74"/>
      <c r="Q57" s="30"/>
      <c r="R57" s="30"/>
      <c r="U57" s="173"/>
    </row>
    <row r="58" spans="1:99" ht="14.1" customHeight="1">
      <c r="A58" s="183"/>
      <c r="B58" s="25"/>
      <c r="C58" s="184"/>
      <c r="D58" s="25"/>
      <c r="E58" s="25"/>
      <c r="F58" s="25"/>
      <c r="G58" s="25"/>
      <c r="H58" s="25"/>
      <c r="I58" s="25"/>
      <c r="J58" s="95"/>
      <c r="K58" s="95"/>
      <c r="L58" s="95"/>
      <c r="M58" s="95"/>
      <c r="N58" s="95"/>
      <c r="O58" s="95"/>
      <c r="P58" s="95"/>
      <c r="Q58" s="95"/>
      <c r="R58" s="95"/>
      <c r="U58" s="173"/>
    </row>
    <row r="59" spans="1:99" s="115" customFormat="1" ht="14.1" customHeight="1">
      <c r="A59" s="40"/>
      <c r="B59" s="40"/>
      <c r="C59" s="40"/>
      <c r="D59" s="19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13"/>
      <c r="T59" s="13"/>
      <c r="U59" s="17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</row>
    <row r="60" spans="1:99" s="30" customFormat="1" ht="14.1" customHeight="1">
      <c r="A60" s="191"/>
      <c r="B60" s="40"/>
      <c r="C60" s="40"/>
      <c r="D60" s="19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13"/>
      <c r="T60" s="13"/>
      <c r="U60" s="17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</row>
    <row r="61" spans="1:99" ht="14.1" customHeight="1">
      <c r="A61" s="40"/>
      <c r="B61" s="40"/>
      <c r="C61" s="40"/>
      <c r="D61" s="19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U61" s="173"/>
    </row>
    <row r="62" spans="1:99" ht="14.1" customHeight="1">
      <c r="A62" s="40"/>
      <c r="B62" s="40"/>
      <c r="C62" s="40"/>
      <c r="D62" s="19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U62" s="173"/>
    </row>
    <row r="63" spans="1:99" ht="14.1" customHeight="1">
      <c r="A63" s="40"/>
      <c r="B63" s="40"/>
      <c r="C63" s="40"/>
      <c r="D63" s="19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U63" s="173"/>
    </row>
    <row r="64" spans="1:99" s="156" customFormat="1" ht="14.1" customHeight="1">
      <c r="A64" s="30"/>
      <c r="B64" s="189"/>
      <c r="C64" s="36"/>
      <c r="D64" s="33"/>
      <c r="E64" s="189"/>
      <c r="F64" s="189"/>
      <c r="G64" s="19"/>
      <c r="H64" s="30"/>
      <c r="I64" s="30"/>
      <c r="J64" s="30"/>
      <c r="K64" s="30"/>
      <c r="L64" s="30"/>
      <c r="M64" s="30"/>
      <c r="N64" s="19"/>
      <c r="O64" s="30"/>
      <c r="P64" s="30"/>
      <c r="Q64" s="40"/>
      <c r="R64" s="40"/>
      <c r="S64" s="13"/>
      <c r="T64" s="13"/>
      <c r="U64" s="17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</row>
    <row r="65" spans="1:21" s="13" customFormat="1" ht="14.1" customHeight="1">
      <c r="A65" s="30"/>
      <c r="B65" s="189"/>
      <c r="C65" s="36"/>
      <c r="D65" s="33"/>
      <c r="E65" s="189"/>
      <c r="F65" s="189"/>
      <c r="G65" s="19"/>
      <c r="H65" s="30"/>
      <c r="I65" s="30"/>
      <c r="J65" s="30"/>
      <c r="K65" s="30"/>
      <c r="L65" s="30"/>
      <c r="M65" s="30"/>
      <c r="N65" s="19"/>
      <c r="O65" s="30"/>
      <c r="P65" s="30"/>
      <c r="Q65" s="40"/>
      <c r="R65" s="40"/>
      <c r="U65" s="173"/>
    </row>
    <row r="66" spans="1:21" s="13" customFormat="1" ht="14.1" customHeight="1">
      <c r="A66" s="12"/>
      <c r="B66" s="192"/>
      <c r="C66" s="65"/>
      <c r="D66" s="66"/>
      <c r="E66" s="192"/>
      <c r="F66" s="192"/>
      <c r="G66" s="68"/>
      <c r="H66" s="12"/>
      <c r="I66" s="12"/>
      <c r="J66" s="12"/>
      <c r="K66" s="12"/>
      <c r="L66" s="12"/>
      <c r="M66" s="12"/>
      <c r="N66" s="68"/>
      <c r="O66" s="12"/>
      <c r="P66" s="12"/>
      <c r="U66" s="173"/>
    </row>
    <row r="67" spans="1:21" ht="14.1" customHeight="1">
      <c r="C67" s="65"/>
      <c r="U67" s="173"/>
    </row>
    <row r="68" spans="1:21" ht="14.1" customHeight="1">
      <c r="A68" s="13"/>
      <c r="B68" s="13"/>
      <c r="C68" s="13"/>
      <c r="D68" s="97"/>
      <c r="E68" s="13"/>
      <c r="F68" s="13"/>
      <c r="G68" s="13"/>
      <c r="H68" s="13"/>
      <c r="I68" s="13"/>
      <c r="J68" s="13"/>
      <c r="M68" s="13"/>
      <c r="N68" s="13"/>
      <c r="O68" s="13"/>
      <c r="P68" s="13"/>
      <c r="U68" s="173"/>
    </row>
    <row r="69" spans="1:21" ht="14.1" customHeight="1">
      <c r="A69" s="13"/>
      <c r="B69" s="13"/>
      <c r="C69" s="13"/>
      <c r="D69" s="97"/>
      <c r="E69" s="13"/>
      <c r="F69" s="13"/>
      <c r="G69" s="13"/>
      <c r="H69" s="13"/>
      <c r="I69" s="13"/>
      <c r="J69" s="13"/>
      <c r="M69" s="13"/>
      <c r="N69" s="13"/>
      <c r="O69" s="13"/>
      <c r="P69" s="13"/>
      <c r="U69" s="173"/>
    </row>
    <row r="70" spans="1:21" ht="14.1" customHeight="1">
      <c r="C70" s="65"/>
      <c r="U70" s="173"/>
    </row>
    <row r="71" spans="1:21" ht="14.1" customHeight="1">
      <c r="C71" s="65"/>
      <c r="Q71" s="13"/>
      <c r="R71" s="13"/>
    </row>
    <row r="72" spans="1:21" ht="14.1" customHeight="1">
      <c r="C72" s="65"/>
      <c r="Q72" s="13"/>
      <c r="R72" s="13"/>
    </row>
    <row r="73" spans="1:21" ht="14.1" customHeight="1">
      <c r="C73" s="65"/>
    </row>
    <row r="74" spans="1:21" ht="14.1" customHeight="1">
      <c r="C74" s="65"/>
    </row>
  </sheetData>
  <pageMargins left="0.75" right="0.5" top="1" bottom="0.5" header="0.5" footer="0.5"/>
  <pageSetup scale="70" orientation="landscape" r:id="rId1"/>
  <headerFooter alignWithMargins="0">
    <oddHeader>&amp;R&amp;D</oddHeader>
  </headerFooter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5A6A3-483F-4AAF-AA64-CEB9AE9C8EDC}">
  <dimension ref="A1:CU74"/>
  <sheetViews>
    <sheetView topLeftCell="A7" zoomScale="87" zoomScaleNormal="87" workbookViewId="0">
      <selection activeCell="Q33" sqref="Q33"/>
    </sheetView>
  </sheetViews>
  <sheetFormatPr defaultColWidth="13.7109375" defaultRowHeight="14.1" customHeight="1"/>
  <cols>
    <col min="1" max="1" width="6.28515625" style="12" customWidth="1"/>
    <col min="2" max="2" width="16.5703125" style="192" customWidth="1"/>
    <col min="3" max="3" width="8.28515625" style="12" customWidth="1"/>
    <col min="4" max="4" width="11.140625" style="66" customWidth="1"/>
    <col min="5" max="5" width="12.85546875" style="192" customWidth="1"/>
    <col min="6" max="6" width="9.28515625" style="192" customWidth="1"/>
    <col min="7" max="7" width="9.140625" style="68" customWidth="1"/>
    <col min="8" max="8" width="10.85546875" style="12" customWidth="1"/>
    <col min="9" max="9" width="13.140625" style="12" customWidth="1"/>
    <col min="10" max="10" width="12.28515625" style="12" customWidth="1"/>
    <col min="11" max="11" width="10.140625" style="12" customWidth="1"/>
    <col min="12" max="12" width="14.42578125" style="12" customWidth="1"/>
    <col min="13" max="13" width="8.85546875" style="12" customWidth="1"/>
    <col min="14" max="14" width="17.140625" style="68" customWidth="1"/>
    <col min="15" max="15" width="15.7109375" style="12" customWidth="1"/>
    <col min="16" max="16" width="10.85546875" style="12" customWidth="1"/>
    <col min="17" max="17" width="6.140625" style="12" customWidth="1"/>
    <col min="18" max="18" width="7.28515625" style="12" customWidth="1"/>
    <col min="19" max="19" width="12" style="13" customWidth="1"/>
    <col min="20" max="20" width="10.42578125" style="13" customWidth="1"/>
    <col min="21" max="21" width="13.7109375" style="13" customWidth="1"/>
    <col min="22" max="22" width="2.5703125" style="13" customWidth="1"/>
    <col min="23" max="29" width="13.7109375" style="13" customWidth="1"/>
    <col min="30" max="31" width="25" style="13" customWidth="1"/>
    <col min="32" max="34" width="13.7109375" style="13" customWidth="1"/>
    <col min="35" max="35" width="19.85546875" style="13" customWidth="1"/>
    <col min="36" max="36" width="19.5703125" style="13" customWidth="1"/>
    <col min="37" max="37" width="27.42578125" style="13" customWidth="1"/>
    <col min="38" max="38" width="31.42578125" style="13" customWidth="1"/>
    <col min="39" max="39" width="31.28515625" style="13" customWidth="1"/>
    <col min="40" max="45" width="27.42578125" style="13" customWidth="1"/>
    <col min="46" max="46" width="31.28515625" style="13" customWidth="1"/>
    <col min="47" max="47" width="35.42578125" style="13" customWidth="1"/>
    <col min="48" max="50" width="13.7109375" style="13" customWidth="1"/>
    <col min="51" max="52" width="17.28515625" style="13" customWidth="1"/>
    <col min="53" max="60" width="17.5703125" style="13" customWidth="1"/>
    <col min="61" max="65" width="20.42578125" style="13" customWidth="1"/>
    <col min="66" max="68" width="13.7109375" style="13" customWidth="1"/>
    <col min="69" max="69" width="18.7109375" style="13" customWidth="1"/>
    <col min="70" max="72" width="13.7109375" style="13" customWidth="1"/>
    <col min="73" max="73" width="17.28515625" style="13" customWidth="1"/>
    <col min="74" max="74" width="16.85546875" style="13" customWidth="1"/>
    <col min="75" max="75" width="13.7109375" style="13" customWidth="1"/>
    <col min="76" max="76" width="17" style="13" customWidth="1"/>
    <col min="77" max="81" width="17.85546875" style="13" customWidth="1"/>
    <col min="82" max="92" width="13.7109375" style="13" customWidth="1"/>
    <col min="93" max="93" width="26.140625" style="13" customWidth="1"/>
    <col min="94" max="94" width="25.7109375" style="13" customWidth="1"/>
    <col min="95" max="95" width="22.85546875" style="13" customWidth="1"/>
    <col min="96" max="99" width="13.7109375" style="13" customWidth="1"/>
    <col min="100" max="16384" width="13.7109375" style="12"/>
  </cols>
  <sheetData>
    <row r="1" spans="1:99" ht="14.1" customHeight="1">
      <c r="A1" s="1" t="s">
        <v>0</v>
      </c>
      <c r="B1" s="2" t="s">
        <v>186</v>
      </c>
      <c r="C1" s="3" t="s">
        <v>1</v>
      </c>
      <c r="D1" s="4" t="s">
        <v>187</v>
      </c>
      <c r="E1" s="1" t="s">
        <v>2</v>
      </c>
      <c r="F1" s="1"/>
      <c r="G1" s="5">
        <v>57</v>
      </c>
      <c r="H1" s="6"/>
      <c r="I1" s="6" t="s">
        <v>3</v>
      </c>
      <c r="J1" s="5">
        <v>178</v>
      </c>
      <c r="K1" s="7"/>
      <c r="L1" s="7"/>
      <c r="M1" s="8" t="s">
        <v>4</v>
      </c>
      <c r="N1" s="9">
        <f>((AVERAGE(W7:W8))*20)</f>
        <v>8340608.9999999991</v>
      </c>
      <c r="O1" s="10">
        <f>(O3*20)</f>
        <v>8390943.0376199987</v>
      </c>
      <c r="P1" s="10"/>
      <c r="Q1" s="11" t="s">
        <v>5</v>
      </c>
      <c r="S1" s="13">
        <v>-120</v>
      </c>
      <c r="T1" s="13" t="s">
        <v>6</v>
      </c>
      <c r="U1" s="14">
        <v>36.200000000000003</v>
      </c>
      <c r="V1" s="15"/>
      <c r="W1" s="15" t="s">
        <v>7</v>
      </c>
    </row>
    <row r="2" spans="1:99" ht="14.1" customHeight="1" thickBot="1">
      <c r="A2" s="16" t="s">
        <v>8</v>
      </c>
      <c r="B2" s="17"/>
      <c r="C2" s="3" t="s">
        <v>9</v>
      </c>
      <c r="D2" s="18">
        <v>81</v>
      </c>
      <c r="E2" s="3" t="s">
        <v>10</v>
      </c>
      <c r="F2" s="3"/>
      <c r="G2" s="19">
        <f>D2/(D3/100*D3/100)</f>
        <v>31.248794413795761</v>
      </c>
      <c r="H2" s="13"/>
      <c r="I2" s="20" t="s">
        <v>11</v>
      </c>
      <c r="J2" s="21"/>
      <c r="K2" s="22"/>
      <c r="L2" s="23"/>
      <c r="M2" s="24" t="s">
        <v>12</v>
      </c>
      <c r="N2" s="25">
        <f>(O1*0.068)</f>
        <v>570584.12655815994</v>
      </c>
      <c r="O2" s="13"/>
      <c r="P2" s="13"/>
      <c r="Q2" s="11"/>
      <c r="R2" s="26"/>
      <c r="T2" s="13" t="s">
        <v>6</v>
      </c>
      <c r="U2" s="14">
        <v>32.01</v>
      </c>
      <c r="V2" s="15"/>
      <c r="W2" s="27">
        <v>145891.29999999999</v>
      </c>
    </row>
    <row r="3" spans="1:99" ht="14.1" customHeight="1" thickTop="1" thickBot="1">
      <c r="A3" s="16" t="s">
        <v>13</v>
      </c>
      <c r="B3" s="28" t="s">
        <v>14</v>
      </c>
      <c r="C3" s="3" t="s">
        <v>15</v>
      </c>
      <c r="D3" s="29">
        <v>161</v>
      </c>
      <c r="E3" s="3" t="s">
        <v>16</v>
      </c>
      <c r="F3" s="3"/>
      <c r="G3" s="19">
        <f>SQRT(((D2*D3)/3600))</f>
        <v>1.9032866310674281</v>
      </c>
      <c r="H3" s="13"/>
      <c r="I3" s="20"/>
      <c r="J3" s="30"/>
      <c r="K3" s="30"/>
      <c r="L3" s="30"/>
      <c r="M3" s="31" t="s">
        <v>17</v>
      </c>
      <c r="N3" s="32">
        <f>($O$1/$N$1)*100</f>
        <v>100.60348156375632</v>
      </c>
      <c r="O3" s="33">
        <f>((AVERAGE(W2:W5))*2.85714)</f>
        <v>419547.15188099997</v>
      </c>
      <c r="P3" s="33"/>
      <c r="Q3" s="34" t="s">
        <v>18</v>
      </c>
      <c r="R3" s="13"/>
      <c r="T3" s="13">
        <v>-30</v>
      </c>
      <c r="U3" s="14">
        <v>493.37</v>
      </c>
      <c r="V3" s="15"/>
      <c r="W3" s="27">
        <v>145684.20000000001</v>
      </c>
    </row>
    <row r="4" spans="1:99" ht="14.1" customHeight="1" thickTop="1">
      <c r="B4" s="35"/>
      <c r="C4" s="3" t="s">
        <v>19</v>
      </c>
      <c r="D4" s="36">
        <f>(1-G4)*D2</f>
        <v>45.522000000000006</v>
      </c>
      <c r="E4" s="37" t="s">
        <v>20</v>
      </c>
      <c r="F4" s="37"/>
      <c r="G4" s="38">
        <v>0.438</v>
      </c>
      <c r="H4" s="13"/>
      <c r="I4" s="20"/>
      <c r="J4" s="30"/>
      <c r="K4" s="30"/>
      <c r="L4" s="30"/>
      <c r="M4" s="33"/>
      <c r="N4" s="39"/>
      <c r="O4" s="30"/>
      <c r="P4" s="30"/>
      <c r="Q4" s="30"/>
      <c r="R4" s="30"/>
      <c r="U4" s="14">
        <v>502.9</v>
      </c>
      <c r="V4" s="15"/>
      <c r="W4" s="27">
        <v>147384.20000000001</v>
      </c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</row>
    <row r="5" spans="1:99" ht="14.1" customHeight="1" thickBot="1">
      <c r="A5" s="16"/>
      <c r="B5" s="30"/>
      <c r="C5" s="3"/>
      <c r="D5" s="41" t="s">
        <v>21</v>
      </c>
      <c r="E5" s="42">
        <f>AVERAGE(U1:U2)</f>
        <v>34.105000000000004</v>
      </c>
      <c r="F5" s="42"/>
      <c r="G5" s="19"/>
      <c r="H5" s="30"/>
      <c r="I5" s="30"/>
      <c r="J5" s="43" t="s">
        <v>22</v>
      </c>
      <c r="K5" s="43"/>
      <c r="L5" s="44" t="s">
        <v>23</v>
      </c>
      <c r="M5" s="45"/>
      <c r="N5" s="43" t="s">
        <v>22</v>
      </c>
      <c r="O5" s="44" t="s">
        <v>23</v>
      </c>
      <c r="P5" s="44" t="s">
        <v>24</v>
      </c>
      <c r="Q5" s="46"/>
      <c r="R5" s="46"/>
      <c r="T5" s="13">
        <v>-20</v>
      </c>
      <c r="U5" s="14">
        <v>534.88</v>
      </c>
      <c r="V5" s="15"/>
      <c r="W5" s="27">
        <v>148406.9</v>
      </c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</row>
    <row r="6" spans="1:99" s="1" customFormat="1" ht="14.1" customHeight="1">
      <c r="A6" s="47" t="s">
        <v>25</v>
      </c>
      <c r="B6" s="48" t="s">
        <v>26</v>
      </c>
      <c r="C6" s="48"/>
      <c r="D6" s="49" t="s">
        <v>27</v>
      </c>
      <c r="E6" s="48" t="s">
        <v>28</v>
      </c>
      <c r="F6" s="48"/>
      <c r="G6" s="48" t="s">
        <v>29</v>
      </c>
      <c r="H6" s="50" t="s">
        <v>30</v>
      </c>
      <c r="I6" s="50"/>
      <c r="J6" s="51" t="s">
        <v>31</v>
      </c>
      <c r="K6" s="52"/>
      <c r="L6" s="52" t="s">
        <v>31</v>
      </c>
      <c r="M6" s="52" t="s">
        <v>32</v>
      </c>
      <c r="N6" s="52" t="s">
        <v>33</v>
      </c>
      <c r="O6" s="53" t="s">
        <v>34</v>
      </c>
      <c r="P6" s="54"/>
      <c r="Q6" s="55"/>
      <c r="R6" s="55"/>
      <c r="S6" s="13"/>
      <c r="T6" s="13"/>
      <c r="U6" s="14">
        <v>553.37</v>
      </c>
      <c r="V6" s="15"/>
      <c r="W6" s="56" t="s">
        <v>35</v>
      </c>
      <c r="X6" s="13" t="s">
        <v>36</v>
      </c>
      <c r="Y6" s="57" t="s">
        <v>37</v>
      </c>
      <c r="Z6" s="58" t="s">
        <v>38</v>
      </c>
      <c r="AA6" s="40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60"/>
      <c r="AY6" s="60"/>
      <c r="AZ6" s="60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60"/>
      <c r="BO6" s="60"/>
      <c r="BP6" s="60"/>
      <c r="BQ6" s="59"/>
      <c r="BR6" s="59"/>
      <c r="BS6" s="59"/>
      <c r="BT6" s="59"/>
      <c r="BU6" s="59"/>
      <c r="BV6" s="59"/>
      <c r="BW6" s="59"/>
      <c r="BX6" s="59"/>
      <c r="BY6" s="59"/>
      <c r="BZ6" s="61"/>
      <c r="CA6" s="61"/>
      <c r="CB6" s="61"/>
      <c r="CC6" s="61"/>
      <c r="CD6" s="40"/>
      <c r="CE6" s="61"/>
      <c r="CF6" s="61"/>
      <c r="CG6" s="33"/>
      <c r="CH6" s="40"/>
      <c r="CI6" s="30"/>
      <c r="CJ6" s="30"/>
      <c r="CK6" s="30"/>
      <c r="CL6" s="30"/>
      <c r="CM6" s="30"/>
      <c r="CN6" s="30"/>
      <c r="CO6" s="30"/>
      <c r="CP6" s="62"/>
      <c r="CQ6" s="62"/>
      <c r="CR6" s="13"/>
      <c r="CS6" s="13"/>
      <c r="CT6" s="13"/>
      <c r="CU6" s="13"/>
    </row>
    <row r="7" spans="1:99" ht="14.1" customHeight="1">
      <c r="A7" s="63">
        <v>-30</v>
      </c>
      <c r="B7" s="64">
        <v>101</v>
      </c>
      <c r="C7" s="65"/>
      <c r="D7" s="42">
        <f>AVERAGE(U3:U4)</f>
        <v>498.13499999999999</v>
      </c>
      <c r="E7" s="66">
        <f>D7-$E$5</f>
        <v>464.03</v>
      </c>
      <c r="F7" s="66"/>
      <c r="G7" s="66">
        <f>($E7*7.1425)</f>
        <v>3314.3342749999997</v>
      </c>
      <c r="H7" s="66">
        <f>($G7/($B7*0.01))</f>
        <v>3281.5190841584154</v>
      </c>
      <c r="I7" s="66"/>
      <c r="J7" s="67">
        <f>$N$2/$H7/$D$2</f>
        <v>2.1466425443121402</v>
      </c>
      <c r="K7" s="67"/>
      <c r="L7" s="67">
        <f>J7/($D$4/$D$2)</f>
        <v>3.8196486553596798</v>
      </c>
      <c r="N7" s="68">
        <f>J7-M7</f>
        <v>2.1466425443121402</v>
      </c>
      <c r="O7" s="67">
        <f>N7/($D$4/$D$2)</f>
        <v>3.8196486553596798</v>
      </c>
      <c r="P7" s="67"/>
      <c r="Q7" s="30"/>
      <c r="R7" s="30"/>
      <c r="T7" s="13">
        <v>-10</v>
      </c>
      <c r="U7" s="14">
        <v>592.72</v>
      </c>
      <c r="V7" s="15"/>
      <c r="W7" s="27">
        <v>416384.1</v>
      </c>
      <c r="X7" s="69">
        <v>0.69899999999999995</v>
      </c>
      <c r="Y7" s="70">
        <v>-30</v>
      </c>
      <c r="Z7" s="71">
        <v>20.719000000000001</v>
      </c>
      <c r="AA7" s="40"/>
      <c r="AB7" s="72"/>
      <c r="AC7" s="72"/>
      <c r="AD7" s="72"/>
      <c r="AE7" s="72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19"/>
      <c r="AY7" s="74"/>
      <c r="AZ7" s="74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</row>
    <row r="8" spans="1:99" ht="14.1" customHeight="1">
      <c r="A8" s="63">
        <v>-20</v>
      </c>
      <c r="B8" s="64">
        <v>101</v>
      </c>
      <c r="C8" s="65"/>
      <c r="D8" s="66">
        <f>AVERAGE(U5:U6)</f>
        <v>544.125</v>
      </c>
      <c r="E8" s="66">
        <f>D8-$E$5</f>
        <v>510.02</v>
      </c>
      <c r="F8" s="66"/>
      <c r="G8" s="66">
        <f>($E8*7.1425)</f>
        <v>3642.8178499999999</v>
      </c>
      <c r="H8" s="66">
        <f>($G8/($B8*0.01))</f>
        <v>3606.7503465346535</v>
      </c>
      <c r="I8" s="66"/>
      <c r="J8" s="67">
        <f>$N$2/H8/$D$2</f>
        <v>1.953073486994946</v>
      </c>
      <c r="K8" s="67"/>
      <c r="L8" s="67">
        <f>J8/($D$4/$D$2)</f>
        <v>3.475219727749014</v>
      </c>
      <c r="N8" s="68">
        <f>J8-M8</f>
        <v>1.953073486994946</v>
      </c>
      <c r="O8" s="67">
        <f>N8/($D$4/$D$2)</f>
        <v>3.475219727749014</v>
      </c>
      <c r="P8" s="67"/>
      <c r="Q8" s="30"/>
      <c r="R8" s="30"/>
      <c r="U8" s="14">
        <v>560.1</v>
      </c>
      <c r="V8" s="15"/>
      <c r="W8" s="27">
        <v>417676.79999999999</v>
      </c>
      <c r="X8" s="69">
        <v>0.65100000000000002</v>
      </c>
      <c r="Y8" s="70">
        <v>-20</v>
      </c>
      <c r="Z8" s="71">
        <v>20.332999999999998</v>
      </c>
      <c r="AA8" s="40"/>
      <c r="AB8" s="72"/>
      <c r="AC8" s="72"/>
      <c r="AD8" s="72"/>
      <c r="AE8" s="72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19"/>
      <c r="AY8" s="74"/>
      <c r="AZ8" s="74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</row>
    <row r="9" spans="1:99" ht="14.1" customHeight="1" thickBot="1">
      <c r="A9" s="63">
        <v>-10</v>
      </c>
      <c r="B9" s="75">
        <v>103</v>
      </c>
      <c r="C9" s="65"/>
      <c r="D9" s="66">
        <f>AVERAGE(U7:U8)</f>
        <v>576.41000000000008</v>
      </c>
      <c r="E9" s="66">
        <f>D9-$E$5</f>
        <v>542.30500000000006</v>
      </c>
      <c r="F9" s="66"/>
      <c r="G9" s="66">
        <f>($E9*7.1425)</f>
        <v>3873.4134625000006</v>
      </c>
      <c r="H9" s="66">
        <f>($G9/($B9*0.01))</f>
        <v>3760.5955946601948</v>
      </c>
      <c r="I9" s="66"/>
      <c r="J9" s="67">
        <f>$N$2/H9/$D$2</f>
        <v>1.8731736233561112</v>
      </c>
      <c r="K9" s="67"/>
      <c r="L9" s="67">
        <f>J9/($D$4/$D$2)</f>
        <v>3.3330491518792011</v>
      </c>
      <c r="N9" s="68">
        <f>J9-M9</f>
        <v>1.8731736233561112</v>
      </c>
      <c r="O9" s="67">
        <f>N9/($D$4/$D$2)</f>
        <v>3.3330491518792011</v>
      </c>
      <c r="P9" s="67"/>
      <c r="Q9" s="30"/>
      <c r="R9" s="30"/>
      <c r="T9" s="13">
        <v>-5</v>
      </c>
      <c r="U9" s="14">
        <v>550.22</v>
      </c>
      <c r="V9" s="15"/>
      <c r="W9" s="76">
        <v>416433.2</v>
      </c>
      <c r="X9" s="69">
        <v>0.749</v>
      </c>
      <c r="Y9" s="70">
        <v>-10</v>
      </c>
      <c r="Z9" s="71">
        <v>20.795000000000002</v>
      </c>
      <c r="AA9" s="40"/>
      <c r="AB9" s="72"/>
      <c r="AC9" s="72"/>
      <c r="AD9" s="72"/>
      <c r="AE9" s="72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19"/>
      <c r="AY9" s="74"/>
      <c r="AZ9" s="74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</row>
    <row r="10" spans="1:99" s="80" customFormat="1" ht="14.1" customHeight="1">
      <c r="A10" s="77">
        <v>0</v>
      </c>
      <c r="B10" s="75">
        <v>105</v>
      </c>
      <c r="C10" s="65"/>
      <c r="D10" s="66">
        <f>AVERAGE(U11:U12)</f>
        <v>572.28499999999997</v>
      </c>
      <c r="E10" s="66">
        <f>D10-$E$5</f>
        <v>538.17999999999995</v>
      </c>
      <c r="F10" s="66"/>
      <c r="G10" s="78">
        <f>($E10*7.1425)</f>
        <v>3843.9506499999998</v>
      </c>
      <c r="H10" s="78">
        <f>($G10/($B10*0.01))</f>
        <v>3660.9053809523807</v>
      </c>
      <c r="I10" s="78"/>
      <c r="J10" s="79">
        <f>$N$2/H10/$D$2</f>
        <v>1.9241820650918084</v>
      </c>
      <c r="K10" s="79"/>
      <c r="L10" s="67">
        <f>J10/($D$4/$D$2)</f>
        <v>3.4238115037220789</v>
      </c>
      <c r="N10" s="81">
        <f>J10-M10</f>
        <v>1.9241820650918084</v>
      </c>
      <c r="O10" s="67">
        <f>N10/($D$4/$D$2)</f>
        <v>3.4238115037220789</v>
      </c>
      <c r="P10" s="67"/>
      <c r="Q10" s="30"/>
      <c r="R10" s="30"/>
      <c r="S10" s="13"/>
      <c r="T10" s="13" t="s">
        <v>39</v>
      </c>
      <c r="U10" s="14">
        <v>551.96</v>
      </c>
      <c r="V10" s="15"/>
      <c r="W10" s="15"/>
      <c r="X10" s="69">
        <v>0.71299999999999997</v>
      </c>
      <c r="Y10" s="70">
        <v>0</v>
      </c>
      <c r="Z10" s="82">
        <v>21.494</v>
      </c>
      <c r="AA10" s="30"/>
      <c r="AB10" s="83" t="s">
        <v>40</v>
      </c>
      <c r="AC10" s="83" t="s">
        <v>41</v>
      </c>
      <c r="AD10" s="83" t="s">
        <v>42</v>
      </c>
      <c r="AE10" s="83" t="s">
        <v>43</v>
      </c>
      <c r="AF10" s="83" t="s">
        <v>44</v>
      </c>
      <c r="AG10" s="83" t="s">
        <v>45</v>
      </c>
      <c r="AH10" s="83" t="s">
        <v>46</v>
      </c>
      <c r="AI10" s="83" t="s">
        <v>47</v>
      </c>
      <c r="AJ10" s="83" t="s">
        <v>48</v>
      </c>
      <c r="AK10" s="83" t="s">
        <v>49</v>
      </c>
      <c r="AL10" s="83" t="s">
        <v>50</v>
      </c>
      <c r="AM10" s="83" t="s">
        <v>51</v>
      </c>
      <c r="AN10" s="83" t="s">
        <v>52</v>
      </c>
      <c r="AO10" s="83" t="s">
        <v>53</v>
      </c>
      <c r="AP10" s="83" t="s">
        <v>54</v>
      </c>
      <c r="AQ10" s="83" t="s">
        <v>55</v>
      </c>
      <c r="AR10" s="83" t="s">
        <v>56</v>
      </c>
      <c r="AS10" s="83" t="s">
        <v>57</v>
      </c>
      <c r="AT10" s="83" t="s">
        <v>58</v>
      </c>
      <c r="AU10" s="83" t="s">
        <v>59</v>
      </c>
      <c r="AV10" s="84" t="s">
        <v>60</v>
      </c>
      <c r="AW10" s="84" t="s">
        <v>61</v>
      </c>
      <c r="AX10" s="85" t="s">
        <v>62</v>
      </c>
      <c r="AY10" s="85" t="s">
        <v>63</v>
      </c>
      <c r="AZ10" s="85" t="s">
        <v>64</v>
      </c>
      <c r="BA10" s="86" t="s">
        <v>65</v>
      </c>
      <c r="BB10" s="86" t="s">
        <v>66</v>
      </c>
      <c r="BC10" s="86" t="s">
        <v>67</v>
      </c>
      <c r="BD10" s="86" t="s">
        <v>68</v>
      </c>
      <c r="BE10" s="86" t="s">
        <v>69</v>
      </c>
      <c r="BF10" s="86" t="s">
        <v>70</v>
      </c>
      <c r="BG10" s="86" t="s">
        <v>71</v>
      </c>
      <c r="BH10" s="86" t="s">
        <v>72</v>
      </c>
      <c r="BI10" s="86" t="s">
        <v>73</v>
      </c>
      <c r="BJ10" s="86" t="s">
        <v>74</v>
      </c>
      <c r="BK10" s="86" t="s">
        <v>75</v>
      </c>
      <c r="BL10" s="86" t="s">
        <v>76</v>
      </c>
      <c r="BM10" s="86" t="s">
        <v>77</v>
      </c>
      <c r="BN10" s="87" t="s">
        <v>78</v>
      </c>
      <c r="BO10" s="87" t="s">
        <v>79</v>
      </c>
      <c r="BP10" s="87" t="s">
        <v>80</v>
      </c>
      <c r="BQ10" s="88" t="s">
        <v>81</v>
      </c>
      <c r="BR10" s="88" t="s">
        <v>82</v>
      </c>
      <c r="BS10" s="88" t="s">
        <v>83</v>
      </c>
      <c r="BT10" s="88" t="s">
        <v>84</v>
      </c>
      <c r="BU10" s="88" t="s">
        <v>85</v>
      </c>
      <c r="BV10" s="88" t="s">
        <v>86</v>
      </c>
      <c r="BW10" s="88" t="s">
        <v>87</v>
      </c>
      <c r="BX10" s="88" t="s">
        <v>88</v>
      </c>
      <c r="BY10" s="88" t="s">
        <v>89</v>
      </c>
      <c r="BZ10" s="88" t="s">
        <v>90</v>
      </c>
      <c r="CA10" s="88" t="s">
        <v>91</v>
      </c>
      <c r="CB10" s="88" t="s">
        <v>92</v>
      </c>
      <c r="CC10" s="88" t="s">
        <v>93</v>
      </c>
      <c r="CD10" s="40"/>
      <c r="CE10" s="89" t="s">
        <v>94</v>
      </c>
      <c r="CF10" s="89" t="s">
        <v>95</v>
      </c>
      <c r="CG10" s="90" t="s">
        <v>96</v>
      </c>
      <c r="CH10" s="40"/>
      <c r="CI10" s="91" t="s">
        <v>97</v>
      </c>
      <c r="CJ10" s="91" t="s">
        <v>98</v>
      </c>
      <c r="CK10" s="91" t="s">
        <v>99</v>
      </c>
      <c r="CL10" s="91" t="s">
        <v>100</v>
      </c>
      <c r="CM10" s="91" t="s">
        <v>101</v>
      </c>
      <c r="CN10" s="91" t="s">
        <v>102</v>
      </c>
      <c r="CO10" s="91" t="s">
        <v>103</v>
      </c>
      <c r="CP10" s="92" t="s">
        <v>104</v>
      </c>
      <c r="CQ10" s="92" t="s">
        <v>105</v>
      </c>
      <c r="CR10" s="13"/>
      <c r="CS10" s="13"/>
      <c r="CT10" s="13"/>
      <c r="CU10" s="13"/>
    </row>
    <row r="11" spans="1:99" s="49" customFormat="1" ht="14.1" customHeight="1">
      <c r="A11" s="93" t="s">
        <v>106</v>
      </c>
      <c r="B11" s="49">
        <f>AVERAGE(B7:B10)</f>
        <v>102.5</v>
      </c>
      <c r="E11" s="50">
        <f>AVERAGE(E7:E10)</f>
        <v>513.63374999999996</v>
      </c>
      <c r="G11" s="50">
        <f>AVERAGE(G7:G10)</f>
        <v>3668.629059375</v>
      </c>
      <c r="H11" s="50">
        <f>AVERAGE(H7:H10)</f>
        <v>3577.4426015764111</v>
      </c>
      <c r="J11" s="94">
        <f>AVERAGE(J7:J10)</f>
        <v>1.9742679299387513</v>
      </c>
      <c r="K11" s="50" t="s">
        <v>39</v>
      </c>
      <c r="L11" s="50">
        <f>AVERAGE(L7:L10)</f>
        <v>3.5129322596774939</v>
      </c>
      <c r="M11" s="50"/>
      <c r="N11" s="94">
        <f>AVERAGE(N7:N10)</f>
        <v>1.9742679299387513</v>
      </c>
      <c r="O11" s="50">
        <f>AVERAGE(O7:O10)</f>
        <v>3.5129322596774939</v>
      </c>
      <c r="P11" s="95"/>
      <c r="Q11" s="95"/>
      <c r="R11" s="95"/>
      <c r="S11" s="6"/>
      <c r="T11" s="13">
        <v>0</v>
      </c>
      <c r="U11" s="14">
        <v>586.51</v>
      </c>
      <c r="V11" s="15"/>
      <c r="W11" s="15"/>
      <c r="X11" s="96">
        <f>AVERAGE(X7:X10)</f>
        <v>0.70300000000000007</v>
      </c>
      <c r="Y11" s="70" t="s">
        <v>107</v>
      </c>
      <c r="Z11" s="96">
        <f>AVERAGE(Z7:Z10)</f>
        <v>20.835250000000002</v>
      </c>
      <c r="AA11" s="30"/>
      <c r="AB11" s="72">
        <f>J11</f>
        <v>1.9742679299387513</v>
      </c>
      <c r="AC11" s="73">
        <f>AB11/($D$4/$D$2)</f>
        <v>3.512932259677493</v>
      </c>
      <c r="AD11" s="73">
        <f>AB11/Z11</f>
        <v>9.4756143071897433E-2</v>
      </c>
      <c r="AE11" s="73">
        <f>AC11/Z11</f>
        <v>0.16860523678273565</v>
      </c>
      <c r="AF11" s="72">
        <f>N20</f>
        <v>0.70200993138723011</v>
      </c>
      <c r="AG11" s="72">
        <f>AF11/($D$4/$D$2)</f>
        <v>1.2491279917922242</v>
      </c>
      <c r="AH11" s="72">
        <f>AF11/Z18</f>
        <v>1.270091277721304E-2</v>
      </c>
      <c r="AI11" s="72">
        <f>AG11/Z18</f>
        <v>2.2599488927425335E-2</v>
      </c>
      <c r="AJ11" s="73">
        <f>((AB11-AF11)/AB11)*100</f>
        <v>64.442013125897816</v>
      </c>
      <c r="AK11" s="73">
        <f>((AC11-AG11)/AC11)*100</f>
        <v>64.44201312589783</v>
      </c>
      <c r="AL11" s="73">
        <f>((AD11-AH11)/AD11)*100</f>
        <v>86.596211743679703</v>
      </c>
      <c r="AM11" s="73">
        <f>((AE11-AI11)/AE11)*100</f>
        <v>86.596211743679717</v>
      </c>
      <c r="AN11" s="72">
        <f>N29</f>
        <v>-0.293649731502305</v>
      </c>
      <c r="AO11" s="72">
        <f>AN11/($D$4/$D$2)</f>
        <v>-0.5225084190432473</v>
      </c>
      <c r="AP11" s="72">
        <f>AN11/Z25</f>
        <v>-1.0448457957142423E-3</v>
      </c>
      <c r="AQ11" s="72">
        <f>AO11/Z25</f>
        <v>-1.8591562201321036E-3</v>
      </c>
      <c r="AR11" s="73">
        <f>((AB11-AN11)/AB11)*100</f>
        <v>114.87385410304543</v>
      </c>
      <c r="AS11" s="73">
        <f>((AC11-AO11)/AC11)*100</f>
        <v>114.87385410304543</v>
      </c>
      <c r="AT11" s="73">
        <f>((AD11-AP11)/AD11)*100</f>
        <v>101.10266813511126</v>
      </c>
      <c r="AU11" s="73">
        <f>((AE11-AQ11)/AE11)*100</f>
        <v>101.10266813511126</v>
      </c>
      <c r="AV11" s="72">
        <f>J11</f>
        <v>1.9742679299387513</v>
      </c>
      <c r="AW11" s="72">
        <f>AV11/($D$4/$D$2)</f>
        <v>3.512932259677493</v>
      </c>
      <c r="AX11" s="95">
        <f>M20</f>
        <v>1.1060905349794239</v>
      </c>
      <c r="AY11" s="95">
        <f>AX11/($D$4/$D$2)</f>
        <v>1.9681326245185478</v>
      </c>
      <c r="AZ11" s="95">
        <f>AX11/Z11</f>
        <v>5.3087461632542146E-2</v>
      </c>
      <c r="BA11" s="73">
        <f>AY11/Z11</f>
        <v>9.4461675502744036E-2</v>
      </c>
      <c r="BB11" s="72">
        <f>P21</f>
        <v>1.1060905349794239</v>
      </c>
      <c r="BC11" s="73">
        <f>BB11/($D$4/$D$2)</f>
        <v>1.9681326245185478</v>
      </c>
      <c r="BD11" s="73">
        <f>BB11/Z18</f>
        <v>2.0011624879314519E-2</v>
      </c>
      <c r="BE11" s="73">
        <f>BC11/Z18</f>
        <v>3.5607873450737577E-2</v>
      </c>
      <c r="BF11" s="72">
        <f>K20</f>
        <v>1.9564337996999874</v>
      </c>
      <c r="BG11" s="73">
        <f>BF11/($D$4/$D$2)</f>
        <v>3.481198931850511</v>
      </c>
      <c r="BH11" s="73">
        <f>BF11/Z18</f>
        <v>3.5396215827429009E-2</v>
      </c>
      <c r="BI11" s="73">
        <f>BG11/Z18</f>
        <v>6.2982590440265135E-2</v>
      </c>
      <c r="BJ11" s="72">
        <f>J21</f>
        <v>1.4788810492628681</v>
      </c>
      <c r="BK11" s="73">
        <f>BJ11/($D$4/$D$2)</f>
        <v>2.6314609417488755</v>
      </c>
      <c r="BL11" s="73">
        <f>BJ11/Z18</f>
        <v>2.6756230039999492E-2</v>
      </c>
      <c r="BM11" s="73">
        <f>BK11/Z18</f>
        <v>4.7608950249109418E-2</v>
      </c>
      <c r="BN11" s="95">
        <f>M29</f>
        <v>4.4683127572016463</v>
      </c>
      <c r="BO11" s="95">
        <f>BN11/($D$4/$D$2)</f>
        <v>7.9507344434192984</v>
      </c>
      <c r="BP11" s="95">
        <f>BN11/Z25</f>
        <v>1.5898866225463611E-2</v>
      </c>
      <c r="BQ11" s="73">
        <f>BO11/Z25</f>
        <v>2.8289797554205708E-2</v>
      </c>
      <c r="BR11" s="72">
        <f>P30</f>
        <v>4.5549794238683132</v>
      </c>
      <c r="BS11" s="73">
        <f>BR11/($D$4/$D$2)</f>
        <v>8.1049455940717312</v>
      </c>
      <c r="BT11" s="73">
        <f>BR11/Z25</f>
        <v>1.6207238045972235E-2</v>
      </c>
      <c r="BU11" s="73">
        <f>BS11/Z25</f>
        <v>2.8838501861160555E-2</v>
      </c>
      <c r="BV11" s="72">
        <f>K29</f>
        <v>4.174663025699342</v>
      </c>
      <c r="BW11" s="73">
        <f>BV11/($D$4/$D$2)</f>
        <v>7.4282260243760527</v>
      </c>
      <c r="BX11" s="73">
        <f>BV11/Z25</f>
        <v>1.4854020429749369E-2</v>
      </c>
      <c r="BY11" s="73">
        <f>BW11/Z25</f>
        <v>2.643064133407361E-2</v>
      </c>
      <c r="BZ11" s="72">
        <f>J30</f>
        <v>4.9308185714890982</v>
      </c>
      <c r="CA11" s="73">
        <f>BZ11/($D$4/$D$2)</f>
        <v>8.7736985257813132</v>
      </c>
      <c r="CB11" s="73">
        <f>BZ11/Z25</f>
        <v>1.7544524994090281E-2</v>
      </c>
      <c r="CC11" s="73">
        <f>CA11/Z25</f>
        <v>3.1218016003719363E-2</v>
      </c>
      <c r="CD11" s="13"/>
      <c r="CE11" s="97">
        <f>B11</f>
        <v>102.5</v>
      </c>
      <c r="CF11" s="13">
        <f>Z11</f>
        <v>20.835250000000002</v>
      </c>
      <c r="CG11" s="40">
        <f>((CE11/18)*CF11)/22.5</f>
        <v>5.273118827160495</v>
      </c>
      <c r="CH11" s="40"/>
      <c r="CI11" s="40">
        <f>X28</f>
        <v>0</v>
      </c>
      <c r="CJ11" s="40">
        <f>X29</f>
        <v>0</v>
      </c>
      <c r="CK11" s="40">
        <f>X30</f>
        <v>0</v>
      </c>
      <c r="CL11" s="40">
        <f>X31</f>
        <v>0</v>
      </c>
      <c r="CM11" s="40">
        <f>X32</f>
        <v>0</v>
      </c>
      <c r="CN11" s="40">
        <f>X33</f>
        <v>0</v>
      </c>
      <c r="CO11" s="13">
        <f>X11</f>
        <v>0.70300000000000007</v>
      </c>
      <c r="CP11" s="13">
        <f>X18</f>
        <v>8.2400000000000001E-2</v>
      </c>
      <c r="CQ11" s="13">
        <f>X25</f>
        <v>4.5800000000000007E-2</v>
      </c>
      <c r="CR11" s="13"/>
      <c r="CS11" s="13"/>
      <c r="CT11" s="13"/>
      <c r="CU11" s="13"/>
    </row>
    <row r="12" spans="1:99" ht="14.1" customHeight="1" thickBot="1">
      <c r="B12" s="98"/>
      <c r="C12" s="65"/>
      <c r="D12" s="99"/>
      <c r="E12" s="13"/>
      <c r="F12" s="13"/>
      <c r="G12" s="13"/>
      <c r="H12" s="13"/>
      <c r="I12" s="13"/>
      <c r="J12" s="6" t="s">
        <v>108</v>
      </c>
      <c r="K12" s="13"/>
      <c r="L12" s="13"/>
      <c r="M12" s="12" t="s">
        <v>39</v>
      </c>
      <c r="N12" s="13"/>
      <c r="O12" s="13"/>
      <c r="P12" s="13"/>
      <c r="Q12" s="30"/>
      <c r="R12" s="30"/>
      <c r="U12" s="14">
        <v>558.05999999999995</v>
      </c>
      <c r="V12" s="15"/>
      <c r="W12" s="15"/>
      <c r="Y12" s="70"/>
      <c r="Z12" s="96"/>
      <c r="AA12" s="30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30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40"/>
      <c r="CG12" s="40"/>
      <c r="CH12" s="40"/>
      <c r="CI12" s="40"/>
      <c r="CJ12" s="40"/>
      <c r="CK12" s="40"/>
      <c r="CL12" s="40"/>
      <c r="CM12" s="40"/>
      <c r="CN12" s="40"/>
    </row>
    <row r="13" spans="1:99" ht="14.1" customHeight="1" thickBot="1">
      <c r="B13" s="98"/>
      <c r="C13" s="65"/>
      <c r="D13" s="99"/>
      <c r="E13" s="13"/>
      <c r="F13" s="13"/>
      <c r="G13" s="13"/>
      <c r="H13" s="13"/>
      <c r="I13" s="13"/>
      <c r="J13" s="6"/>
      <c r="K13" s="13"/>
      <c r="L13" s="13"/>
      <c r="M13" s="100" t="s">
        <v>32</v>
      </c>
      <c r="N13" s="101"/>
      <c r="O13" s="101"/>
      <c r="P13" s="101"/>
      <c r="Q13" s="30"/>
      <c r="R13" s="102" t="s">
        <v>25</v>
      </c>
      <c r="S13" s="103" t="s">
        <v>109</v>
      </c>
      <c r="T13" s="13">
        <v>30</v>
      </c>
      <c r="U13" s="14">
        <v>588.05999999999995</v>
      </c>
      <c r="V13" s="15"/>
      <c r="W13" s="15"/>
      <c r="X13" s="69">
        <v>7.8E-2</v>
      </c>
      <c r="Y13" s="30">
        <v>90</v>
      </c>
      <c r="Z13" s="71">
        <v>53.411000000000001</v>
      </c>
      <c r="AA13" s="40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19"/>
      <c r="AY13" s="74"/>
      <c r="AZ13" s="74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40"/>
      <c r="CG13" s="40"/>
      <c r="CH13" s="40"/>
      <c r="CI13" s="40"/>
      <c r="CJ13" s="40"/>
      <c r="CK13" s="40"/>
      <c r="CL13" s="40"/>
      <c r="CM13" s="40"/>
      <c r="CN13" s="40"/>
    </row>
    <row r="14" spans="1:99" ht="14.1" customHeight="1">
      <c r="A14" s="12">
        <v>90</v>
      </c>
      <c r="B14" s="75">
        <v>99</v>
      </c>
      <c r="C14" s="65"/>
      <c r="D14" s="104">
        <f>AVERAGE(U17:U18)</f>
        <v>588.77</v>
      </c>
      <c r="E14" s="78">
        <f>D14-$E$5</f>
        <v>554.66499999999996</v>
      </c>
      <c r="F14" s="78"/>
      <c r="G14" s="78">
        <f t="shared" ref="G14:G27" si="0">($E14*7.1425)</f>
        <v>3961.6947624999998</v>
      </c>
      <c r="H14" s="78">
        <f t="shared" ref="H14:H27" si="1">($G14/($B14*0.01))</f>
        <v>4001.711881313131</v>
      </c>
      <c r="I14" s="33">
        <f>$C$15*A14+$C$16</f>
        <v>3395.3098178571427</v>
      </c>
      <c r="J14" s="105" t="s">
        <v>110</v>
      </c>
      <c r="K14" s="106" t="s">
        <v>111</v>
      </c>
      <c r="L14" s="13"/>
      <c r="M14" s="107">
        <f>(((S14/60)*$J$1)/$D$2)</f>
        <v>0.51275720164609051</v>
      </c>
      <c r="N14" s="101"/>
      <c r="O14" s="101"/>
      <c r="P14" s="101"/>
      <c r="Q14" s="30"/>
      <c r="R14" s="108">
        <v>90</v>
      </c>
      <c r="S14" s="109">
        <v>14</v>
      </c>
      <c r="U14" s="14">
        <v>585.55999999999995</v>
      </c>
      <c r="V14" s="15"/>
      <c r="W14" s="110"/>
      <c r="X14" s="69">
        <v>8.5000000000000006E-2</v>
      </c>
      <c r="Y14" s="30">
        <v>100</v>
      </c>
      <c r="Z14" s="71">
        <v>54.43</v>
      </c>
      <c r="AA14" s="40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19"/>
      <c r="AY14" s="74"/>
      <c r="AZ14" s="74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40"/>
      <c r="CG14" s="40"/>
      <c r="CH14" s="40"/>
      <c r="CI14" s="40"/>
      <c r="CJ14" s="40"/>
      <c r="CK14" s="40"/>
      <c r="CL14" s="40"/>
      <c r="CM14" s="40"/>
      <c r="CN14" s="40"/>
    </row>
    <row r="15" spans="1:99" s="115" customFormat="1" ht="14.1" customHeight="1">
      <c r="A15" s="12">
        <v>100</v>
      </c>
      <c r="B15" s="75">
        <v>94</v>
      </c>
      <c r="C15" s="65">
        <f>SLOPE(G15:G18,A15:A18)</f>
        <v>3.8385835714285639</v>
      </c>
      <c r="D15" s="104">
        <f>AVERAGE(U19:U20)</f>
        <v>504.54499999999996</v>
      </c>
      <c r="E15" s="66">
        <f>D15-$E$5</f>
        <v>470.43999999999994</v>
      </c>
      <c r="F15" s="111">
        <v>180</v>
      </c>
      <c r="G15" s="112">
        <f t="shared" si="0"/>
        <v>3360.1176999999998</v>
      </c>
      <c r="H15" s="78">
        <f t="shared" si="1"/>
        <v>3574.5932978723399</v>
      </c>
      <c r="I15" s="33">
        <f>$C$15*A15+$C$16</f>
        <v>3433.695653571428</v>
      </c>
      <c r="J15" s="113">
        <f>((($N$2-(130*$D$2*(((B15+B14)*0.01)/2))*((I15-I14)/(A15-A14))))/((I15+I14)/2))/$D$2</f>
        <v>1.9220070021757047</v>
      </c>
      <c r="K15" s="114">
        <f>$N$2/H15/$D$2</f>
        <v>1.9706433401023622</v>
      </c>
      <c r="L15" s="114">
        <f>J15/($D$4/$D$2)</f>
        <v>3.4199412850101503</v>
      </c>
      <c r="M15" s="107">
        <f>(((S15/60)*$J$1)/$D$2)</f>
        <v>0.51275720164609051</v>
      </c>
      <c r="N15" s="19">
        <f>K15-M15</f>
        <v>1.4578861384562716</v>
      </c>
      <c r="O15" s="74">
        <f>N15/($D$4/$D$2)</f>
        <v>2.5941034492104476</v>
      </c>
      <c r="P15" s="74"/>
      <c r="Q15" s="30"/>
      <c r="R15" s="108">
        <v>100</v>
      </c>
      <c r="S15" s="109">
        <v>14</v>
      </c>
      <c r="T15" s="13">
        <v>60</v>
      </c>
      <c r="U15" s="14">
        <v>581.29</v>
      </c>
      <c r="V15" s="15"/>
      <c r="W15" s="110"/>
      <c r="X15" s="69">
        <v>8.2000000000000003E-2</v>
      </c>
      <c r="Y15" s="30">
        <v>110</v>
      </c>
      <c r="Z15" s="71">
        <v>55.448</v>
      </c>
      <c r="AA15" s="40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19"/>
      <c r="AY15" s="74"/>
      <c r="AZ15" s="74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40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40"/>
      <c r="CH15" s="40"/>
      <c r="CI15" s="40"/>
      <c r="CJ15" s="40"/>
      <c r="CK15" s="40"/>
      <c r="CL15" s="40"/>
      <c r="CM15" s="40"/>
      <c r="CN15" s="40"/>
      <c r="CO15" s="13"/>
      <c r="CP15" s="13"/>
      <c r="CQ15" s="13"/>
      <c r="CR15" s="13"/>
      <c r="CS15" s="13"/>
      <c r="CT15" s="13"/>
      <c r="CU15" s="13"/>
    </row>
    <row r="16" spans="1:99" ht="14.1" customHeight="1">
      <c r="A16" s="12">
        <v>110</v>
      </c>
      <c r="B16" s="75">
        <v>96</v>
      </c>
      <c r="C16" s="65">
        <f>INTERCEPT(G15:G18,A15:A18)</f>
        <v>3049.8372964285718</v>
      </c>
      <c r="D16" s="104">
        <f>AVERAGE(U21:U22)</f>
        <v>536.80999999999995</v>
      </c>
      <c r="E16" s="66">
        <f>D16-$E$5</f>
        <v>502.70499999999993</v>
      </c>
      <c r="F16" s="116">
        <v>210</v>
      </c>
      <c r="G16" s="66">
        <f t="shared" si="0"/>
        <v>3590.5704624999994</v>
      </c>
      <c r="H16" s="78">
        <f t="shared" si="1"/>
        <v>3740.1775651041662</v>
      </c>
      <c r="I16" s="33">
        <f>$C$15*A16+$C$16</f>
        <v>3472.0814892857138</v>
      </c>
      <c r="J16" s="113">
        <f>((($N$2-(130*$D$2*(((B16+B15)*0.01)/2))*((I16-I15)/(A16-A15))))/((I16+I15)/2))/$D$2</f>
        <v>1.9028078285876864</v>
      </c>
      <c r="K16" s="67">
        <f>$N$2/H16/$D$2</f>
        <v>1.8833994786101764</v>
      </c>
      <c r="L16" s="67">
        <f>J16/($D$4/$D$2)</f>
        <v>3.3857790544264881</v>
      </c>
      <c r="M16" s="107">
        <f>(((S16/60)*$J$1)/$D$2)</f>
        <v>1.5016460905349795</v>
      </c>
      <c r="N16" s="19">
        <f>K16-M16</f>
        <v>0.38175338807519688</v>
      </c>
      <c r="O16" s="67">
        <f>N16/($D$4/$D$2)</f>
        <v>0.67927649123700506</v>
      </c>
      <c r="P16" s="67"/>
      <c r="Q16" s="30"/>
      <c r="R16" s="108">
        <v>110</v>
      </c>
      <c r="S16" s="109">
        <v>41</v>
      </c>
      <c r="U16" s="14">
        <v>604.53</v>
      </c>
      <c r="V16" s="15"/>
      <c r="W16" s="110"/>
      <c r="X16" s="69">
        <v>8.8999999999999996E-2</v>
      </c>
      <c r="Y16" s="30">
        <v>115</v>
      </c>
      <c r="Z16" s="71">
        <v>57.762</v>
      </c>
      <c r="AA16" s="40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19"/>
      <c r="AY16" s="74"/>
      <c r="AZ16" s="74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40"/>
    </row>
    <row r="17" spans="1:67" ht="14.1" customHeight="1">
      <c r="A17" s="12">
        <v>115</v>
      </c>
      <c r="B17" s="75">
        <v>97</v>
      </c>
      <c r="C17" s="65"/>
      <c r="D17" s="104">
        <f>AVERAGE(U23:U24)</f>
        <v>530.93499999999995</v>
      </c>
      <c r="E17" s="66">
        <f>D17-$E$5</f>
        <v>496.82999999999993</v>
      </c>
      <c r="F17" s="116">
        <v>220</v>
      </c>
      <c r="G17" s="66">
        <f t="shared" si="0"/>
        <v>3548.6082749999996</v>
      </c>
      <c r="H17" s="78">
        <f t="shared" si="1"/>
        <v>3658.3590463917521</v>
      </c>
      <c r="I17" s="33">
        <f>$C$15*A17+$C$16</f>
        <v>3491.2744071428565</v>
      </c>
      <c r="J17" s="113">
        <f>((($N$2-(130*$D$2*(((B17+B16)*0.01)/2))*((I17-I16)/(A17-A16))))/((I17+I16)/2))/$D$2</f>
        <v>1.8849239546572343</v>
      </c>
      <c r="K17" s="67">
        <f>$N$2/H17/$D$2</f>
        <v>1.9255213571708945</v>
      </c>
      <c r="L17" s="67">
        <f>J17/($D$4/$D$2)</f>
        <v>3.3539572146925876</v>
      </c>
      <c r="M17" s="107">
        <f>(((S17/60)*$J$1)/$D$2)</f>
        <v>1.5016460905349795</v>
      </c>
      <c r="N17" s="19">
        <f>K17-M17</f>
        <v>0.4238752666359149</v>
      </c>
      <c r="O17" s="67">
        <f>N17/($D$4/$D$2)</f>
        <v>0.75422645308881653</v>
      </c>
      <c r="P17" s="67"/>
      <c r="Q17" s="30"/>
      <c r="R17" s="108">
        <v>115</v>
      </c>
      <c r="S17" s="109">
        <v>41</v>
      </c>
      <c r="T17" s="40">
        <v>90</v>
      </c>
      <c r="U17" s="14">
        <v>600.45000000000005</v>
      </c>
      <c r="V17" s="15"/>
      <c r="W17" s="110"/>
      <c r="X17" s="69">
        <v>7.8E-2</v>
      </c>
      <c r="Y17" s="30">
        <v>120</v>
      </c>
      <c r="Z17" s="71">
        <v>55.311</v>
      </c>
      <c r="AA17" s="40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19"/>
      <c r="AY17" s="74"/>
      <c r="AZ17" s="74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40"/>
    </row>
    <row r="18" spans="1:67" ht="14.1" customHeight="1">
      <c r="A18" s="12">
        <v>120</v>
      </c>
      <c r="B18" s="118">
        <v>99</v>
      </c>
      <c r="C18" s="65"/>
      <c r="D18" s="104">
        <f>AVERAGE(U25:U26)</f>
        <v>511.28</v>
      </c>
      <c r="E18" s="66">
        <f>D18-$E$5</f>
        <v>477.17499999999995</v>
      </c>
      <c r="F18" s="116">
        <v>225</v>
      </c>
      <c r="G18" s="66">
        <f t="shared" si="0"/>
        <v>3408.2224374999996</v>
      </c>
      <c r="H18" s="78">
        <f t="shared" si="1"/>
        <v>3442.6489267676766</v>
      </c>
      <c r="I18" s="33">
        <f>$C$15*A18+$C$16</f>
        <v>3510.4673249999996</v>
      </c>
      <c r="J18" s="113">
        <f>((($N$2-(130*$D$2*(((B18+B17)*0.01)/2))*((I18-I17)/(A18-A17))))/((I18+I17)/2))/$D$2</f>
        <v>1.8724520782975129</v>
      </c>
      <c r="K18" s="67">
        <f>$N$2/H18/$D$2</f>
        <v>2.0461710229165169</v>
      </c>
      <c r="L18" s="67">
        <f>J18/($D$4/$D$2)</f>
        <v>3.3317652638745776</v>
      </c>
      <c r="M18" s="107">
        <f>(((S18/60)*$J$1)/$D$2)</f>
        <v>1.5016460905349795</v>
      </c>
      <c r="N18" s="19">
        <f>K18-M18</f>
        <v>0.54452493238153732</v>
      </c>
      <c r="O18" s="67">
        <f>N18/($D$4/$D$2)</f>
        <v>0.96890557363262864</v>
      </c>
      <c r="P18" s="67"/>
      <c r="Q18" s="30"/>
      <c r="R18" s="108">
        <v>120</v>
      </c>
      <c r="S18" s="109">
        <v>41</v>
      </c>
      <c r="T18" s="30"/>
      <c r="U18" s="14">
        <v>577.09</v>
      </c>
      <c r="V18" s="15"/>
      <c r="W18" s="110"/>
      <c r="X18" s="96">
        <f>AVERAGE(X13:X17)</f>
        <v>8.2400000000000001E-2</v>
      </c>
      <c r="Y18" s="30" t="s">
        <v>107</v>
      </c>
      <c r="Z18" s="96">
        <f>AVERAGE(Z13:Z17)</f>
        <v>55.272400000000005</v>
      </c>
      <c r="AA18" s="30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5"/>
      <c r="AY18" s="95"/>
      <c r="AZ18" s="95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2"/>
      <c r="BO18" s="40"/>
    </row>
    <row r="19" spans="1:67" ht="14.1" customHeight="1" thickBot="1">
      <c r="A19" s="63"/>
      <c r="B19" s="98"/>
      <c r="C19" s="65"/>
      <c r="D19" s="99"/>
      <c r="E19" s="66"/>
      <c r="F19" s="63"/>
      <c r="G19" s="66"/>
      <c r="H19" s="66"/>
      <c r="I19" s="33"/>
      <c r="J19" s="113"/>
      <c r="K19" s="67"/>
      <c r="L19" s="67"/>
      <c r="M19" s="107"/>
      <c r="O19" s="67"/>
      <c r="P19" s="67"/>
      <c r="Q19" s="30"/>
      <c r="R19" s="108"/>
      <c r="S19" s="117"/>
      <c r="T19" s="41">
        <v>100</v>
      </c>
      <c r="U19" s="14">
        <v>512.88</v>
      </c>
      <c r="V19" s="15"/>
      <c r="W19" s="110"/>
      <c r="Y19" s="30"/>
      <c r="Z19" s="96"/>
      <c r="AA19" s="30"/>
      <c r="AB19" s="96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30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40"/>
    </row>
    <row r="20" spans="1:67" ht="14.1" customHeight="1" thickBot="1">
      <c r="A20" s="119" t="s">
        <v>112</v>
      </c>
      <c r="B20" s="120">
        <f>AVERAGE(B14:B19)</f>
        <v>97</v>
      </c>
      <c r="C20" s="121"/>
      <c r="D20" s="122">
        <f>AVERAGE(D14:D18)</f>
        <v>534.46800000000007</v>
      </c>
      <c r="E20" s="122">
        <f>AVERAGE(E14:E18)</f>
        <v>500.36299999999994</v>
      </c>
      <c r="F20" s="122"/>
      <c r="G20" s="122">
        <f>AVERAGE(G14:G18)</f>
        <v>3573.8427275000004</v>
      </c>
      <c r="H20" s="122">
        <f>AVERAGE(H14:H18)</f>
        <v>3683.4981434898132</v>
      </c>
      <c r="I20" s="122"/>
      <c r="J20" s="122">
        <f t="shared" ref="J20:O20" si="2">AVERAGE(J14:J18)</f>
        <v>1.8955477159295349</v>
      </c>
      <c r="K20" s="123">
        <f t="shared" si="2"/>
        <v>1.9564337996999874</v>
      </c>
      <c r="L20" s="122">
        <f t="shared" si="2"/>
        <v>3.3728607045009507</v>
      </c>
      <c r="M20" s="122">
        <f t="shared" si="2"/>
        <v>1.1060905349794239</v>
      </c>
      <c r="N20" s="123">
        <f t="shared" si="2"/>
        <v>0.70200993138723011</v>
      </c>
      <c r="O20" s="122">
        <f t="shared" si="2"/>
        <v>1.2491279917922244</v>
      </c>
      <c r="P20" s="124"/>
      <c r="Q20" s="30"/>
      <c r="R20" s="108"/>
      <c r="S20" s="117"/>
      <c r="T20" s="41"/>
      <c r="U20" s="14">
        <v>496.21</v>
      </c>
      <c r="V20" s="15"/>
      <c r="W20" s="110"/>
      <c r="X20" s="69">
        <v>5.3999999999999999E-2</v>
      </c>
      <c r="Y20" s="70">
        <v>210</v>
      </c>
      <c r="Z20" s="71">
        <v>274.49</v>
      </c>
      <c r="AA20" s="40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4"/>
      <c r="AY20" s="74"/>
      <c r="AZ20" s="74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40"/>
    </row>
    <row r="21" spans="1:67" ht="14.1" customHeight="1" thickBot="1">
      <c r="A21" s="70"/>
      <c r="B21" s="118"/>
      <c r="C21" s="36"/>
      <c r="D21" s="99"/>
      <c r="E21" s="33"/>
      <c r="F21" s="125" t="s">
        <v>113</v>
      </c>
      <c r="G21" s="33"/>
      <c r="H21" s="33"/>
      <c r="I21" s="126" t="s">
        <v>114</v>
      </c>
      <c r="J21" s="127">
        <f>J20-((B18-B15)*0.25*$D$2*10)/(30*$D$2)</f>
        <v>1.4788810492628681</v>
      </c>
      <c r="K21" s="74"/>
      <c r="L21" s="128" t="s">
        <v>33</v>
      </c>
      <c r="M21" s="129">
        <f>J21-M20</f>
        <v>0.37279051428344423</v>
      </c>
      <c r="N21" s="19"/>
      <c r="O21" s="74"/>
      <c r="P21" s="130">
        <f>$M$20-(((B18-B14)*1.3)/(A18-A14))</f>
        <v>1.1060905349794239</v>
      </c>
      <c r="Q21" s="30"/>
      <c r="R21" s="131"/>
      <c r="S21" s="117"/>
      <c r="T21" s="41">
        <v>110</v>
      </c>
      <c r="U21" s="14">
        <v>548.80999999999995</v>
      </c>
      <c r="V21" s="15"/>
      <c r="W21" s="110"/>
      <c r="X21" s="69">
        <v>4.7E-2</v>
      </c>
      <c r="Y21" s="70">
        <v>220</v>
      </c>
      <c r="Z21" s="71">
        <v>281.20999999999998</v>
      </c>
      <c r="AA21" s="40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4"/>
      <c r="AY21" s="74"/>
      <c r="AZ21" s="74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40"/>
    </row>
    <row r="22" spans="1:67" ht="14.1" customHeight="1" thickBot="1">
      <c r="A22" s="63"/>
      <c r="B22" s="98"/>
      <c r="C22" s="65"/>
      <c r="D22" s="99"/>
      <c r="E22" s="66"/>
      <c r="F22" s="63"/>
      <c r="G22" s="66"/>
      <c r="H22" s="66"/>
      <c r="I22" s="33"/>
      <c r="J22" s="132"/>
      <c r="K22" s="67"/>
      <c r="L22" s="133"/>
      <c r="M22" s="134"/>
      <c r="N22" s="101"/>
      <c r="O22" s="133"/>
      <c r="P22" s="133"/>
      <c r="Q22" s="30"/>
      <c r="R22" s="102" t="s">
        <v>25</v>
      </c>
      <c r="S22" s="103" t="s">
        <v>109</v>
      </c>
      <c r="T22" s="30"/>
      <c r="U22" s="14">
        <v>524.80999999999995</v>
      </c>
      <c r="V22" s="15"/>
      <c r="W22" s="110"/>
      <c r="X22" s="69">
        <v>4.3999999999999997E-2</v>
      </c>
      <c r="Y22" s="70">
        <v>230</v>
      </c>
      <c r="Z22" s="71">
        <v>275.76</v>
      </c>
      <c r="AA22" s="40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4"/>
      <c r="AY22" s="74"/>
      <c r="AZ22" s="74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40"/>
    </row>
    <row r="23" spans="1:67" ht="14.1" customHeight="1">
      <c r="A23" s="63">
        <v>210</v>
      </c>
      <c r="B23" s="75">
        <v>103</v>
      </c>
      <c r="C23" s="65"/>
      <c r="D23" s="104">
        <f>AVERAGE(U31:U32)</f>
        <v>307.09500000000003</v>
      </c>
      <c r="E23" s="78">
        <f>D23-$E$5</f>
        <v>272.99</v>
      </c>
      <c r="F23" s="78"/>
      <c r="G23" s="78">
        <f t="shared" si="0"/>
        <v>1949.8310750000001</v>
      </c>
      <c r="H23" s="78">
        <f t="shared" si="1"/>
        <v>1893.0398786407768</v>
      </c>
      <c r="I23" s="33">
        <f>$C$24*A23+$C$25</f>
        <v>1861.0916346428569</v>
      </c>
      <c r="J23" s="105" t="s">
        <v>110</v>
      </c>
      <c r="K23" s="106" t="s">
        <v>111</v>
      </c>
      <c r="L23" s="67"/>
      <c r="M23" s="19">
        <f>(((S23/60)*$J$1)/$D$2)</f>
        <v>4.4683127572016463</v>
      </c>
      <c r="N23" s="101"/>
      <c r="O23" s="133"/>
      <c r="P23" s="133"/>
      <c r="Q23" s="30"/>
      <c r="R23" s="131">
        <v>210</v>
      </c>
      <c r="S23" s="117">
        <v>122</v>
      </c>
      <c r="T23" s="13">
        <v>115</v>
      </c>
      <c r="U23" s="14">
        <v>525.13</v>
      </c>
      <c r="V23" s="15"/>
      <c r="W23" s="110"/>
      <c r="X23" s="69">
        <v>0.04</v>
      </c>
      <c r="Y23" s="70">
        <v>235</v>
      </c>
      <c r="Z23" s="71">
        <v>293.61</v>
      </c>
      <c r="AA23" s="40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4"/>
      <c r="AY23" s="74"/>
      <c r="AZ23" s="74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40"/>
    </row>
    <row r="24" spans="1:67" ht="14.1" customHeight="1">
      <c r="A24" s="63">
        <v>220</v>
      </c>
      <c r="B24" s="75">
        <v>104</v>
      </c>
      <c r="C24" s="65">
        <f>SLOPE(G24:G27,A24:A27)</f>
        <v>-6.7184395714285694</v>
      </c>
      <c r="D24" s="104">
        <f>AVERAGE(U33:U34)</f>
        <v>282.45999999999998</v>
      </c>
      <c r="E24" s="66">
        <f>D24-$E$5</f>
        <v>248.35499999999996</v>
      </c>
      <c r="F24" s="111">
        <v>180</v>
      </c>
      <c r="G24" s="112">
        <f t="shared" si="0"/>
        <v>1773.8755874999997</v>
      </c>
      <c r="H24" s="112">
        <f t="shared" si="1"/>
        <v>1705.6496033653843</v>
      </c>
      <c r="I24" s="33">
        <f>$C$24*A24+$C$25</f>
        <v>1793.9072389285711</v>
      </c>
      <c r="J24" s="113">
        <f>((($N$2-(130*$D$2*(((B24+B23)*0.01)/2))*((I24-I23)/(A24-A23))))/((I24+I23)/2))/$D$2</f>
        <v>4.3492295320988168</v>
      </c>
      <c r="K24" s="114">
        <f>$N$2/H24/$D$2</f>
        <v>4.129950525669396</v>
      </c>
      <c r="L24" s="114">
        <f>J24/($D$4/$D$2)</f>
        <v>7.7388425838057229</v>
      </c>
      <c r="M24" s="107">
        <f>(((S24/60)*$J$1)/$D$2)</f>
        <v>4.4683127572016463</v>
      </c>
      <c r="N24" s="19">
        <f>K24-M24</f>
        <v>-0.33836223153225031</v>
      </c>
      <c r="O24" s="74">
        <f>N24/($D$4/$D$2)</f>
        <v>-0.60206802763745604</v>
      </c>
      <c r="P24" s="74"/>
      <c r="Q24" s="30"/>
      <c r="R24" s="131">
        <v>220</v>
      </c>
      <c r="S24" s="117">
        <v>122</v>
      </c>
      <c r="U24" s="14">
        <v>536.74</v>
      </c>
      <c r="V24" s="15"/>
      <c r="W24" s="110"/>
      <c r="X24" s="69">
        <v>4.3999999999999997E-2</v>
      </c>
      <c r="Y24" s="70">
        <v>240</v>
      </c>
      <c r="Z24" s="71">
        <v>280.16000000000003</v>
      </c>
      <c r="AA24" s="40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4"/>
      <c r="AY24" s="74"/>
      <c r="AZ24" s="74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40"/>
    </row>
    <row r="25" spans="1:67" ht="14.1" customHeight="1">
      <c r="A25" s="63">
        <v>230</v>
      </c>
      <c r="B25" s="75">
        <v>102</v>
      </c>
      <c r="C25" s="65">
        <f>INTERCEPT(G24:G27,A24:A27)</f>
        <v>3271.9639446428564</v>
      </c>
      <c r="D25" s="104">
        <f>AVERAGE(U35:U36)</f>
        <v>279.64999999999998</v>
      </c>
      <c r="E25" s="66">
        <f>D25-$E$5</f>
        <v>245.54499999999996</v>
      </c>
      <c r="F25" s="111">
        <v>180</v>
      </c>
      <c r="G25" s="112">
        <f t="shared" si="0"/>
        <v>1753.8051624999998</v>
      </c>
      <c r="H25" s="112">
        <f t="shared" si="1"/>
        <v>1719.4168259803919</v>
      </c>
      <c r="I25" s="33">
        <f>$C$24*A25+$C$25</f>
        <v>1726.7228432142854</v>
      </c>
      <c r="J25" s="113">
        <f>((($N$2-(130*$D$2*(((B25+B24)*0.01)/2))*((I25-I24)/(A25-A24))))/((I25+I24)/2))/$D$2</f>
        <v>4.5127419520348315</v>
      </c>
      <c r="K25" s="114">
        <f>$N$2/H25/$D$2</f>
        <v>4.0968823670840342</v>
      </c>
      <c r="L25" s="114">
        <f>J25/($D$4/$D$2)</f>
        <v>8.0297899502399126</v>
      </c>
      <c r="M25" s="107">
        <f>(((S25/60)*$J$1)/$D$2)</f>
        <v>4.4683127572016463</v>
      </c>
      <c r="N25" s="19">
        <f>K25-M25</f>
        <v>-0.37143039011761214</v>
      </c>
      <c r="O25" s="114">
        <f>N25/($D$4/$D$2)</f>
        <v>-0.66090816746906067</v>
      </c>
      <c r="P25" s="74"/>
      <c r="Q25" s="30"/>
      <c r="R25" s="131">
        <v>230</v>
      </c>
      <c r="S25" s="117">
        <v>122</v>
      </c>
      <c r="T25" s="13">
        <v>120</v>
      </c>
      <c r="U25" s="14">
        <v>523.03</v>
      </c>
      <c r="V25" s="15"/>
      <c r="W25" s="110"/>
      <c r="X25" s="96">
        <f>AVERAGE(X20:X24)</f>
        <v>4.5800000000000007E-2</v>
      </c>
      <c r="Y25" s="57" t="s">
        <v>107</v>
      </c>
      <c r="Z25" s="96">
        <f>AVERAGE(Z20:Z24)</f>
        <v>281.04600000000005</v>
      </c>
      <c r="AA25" s="30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5"/>
      <c r="AY25" s="95"/>
      <c r="AZ25" s="95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40"/>
    </row>
    <row r="26" spans="1:67" ht="14.1" customHeight="1">
      <c r="A26" s="63">
        <v>235</v>
      </c>
      <c r="B26" s="75">
        <v>100</v>
      </c>
      <c r="C26" s="65"/>
      <c r="D26" s="104">
        <f>AVERAGE(U37:U38)</f>
        <v>274.78999999999996</v>
      </c>
      <c r="E26" s="66">
        <f>D26-$E$5</f>
        <v>240.68499999999995</v>
      </c>
      <c r="F26" s="111">
        <v>180</v>
      </c>
      <c r="G26" s="112">
        <f t="shared" si="0"/>
        <v>1719.0926124999996</v>
      </c>
      <c r="H26" s="112">
        <f t="shared" si="1"/>
        <v>1719.0926124999996</v>
      </c>
      <c r="I26" s="33">
        <f>$C$24*A26+$C$25</f>
        <v>1693.1306453571426</v>
      </c>
      <c r="J26" s="113">
        <f>((($N$2-(130*$D$2*(((B26+B25)*0.01)/2))*((I26-I25)/(A26-A25))))/((I26+I25)/2))/$D$2</f>
        <v>4.6355082860969663</v>
      </c>
      <c r="K26" s="114">
        <f>$N$2/H26/$D$2</f>
        <v>4.0976550214956307</v>
      </c>
      <c r="L26" s="114">
        <f>J26/($D$4/$D$2)</f>
        <v>8.2482353845141745</v>
      </c>
      <c r="M26" s="107">
        <f>(((S26/60)*$J$1)/$D$2)</f>
        <v>4.4683127572016463</v>
      </c>
      <c r="N26" s="19">
        <f>K26-M26</f>
        <v>-0.37065773570601568</v>
      </c>
      <c r="O26" s="114">
        <f>N26/($D$4/$D$2)</f>
        <v>-0.65953333755518795</v>
      </c>
      <c r="P26" s="74"/>
      <c r="Q26" s="30"/>
      <c r="R26" s="131">
        <v>235</v>
      </c>
      <c r="S26" s="117">
        <v>122</v>
      </c>
      <c r="U26" s="14">
        <v>499.53</v>
      </c>
      <c r="V26" s="15"/>
      <c r="W26" s="11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</row>
    <row r="27" spans="1:67" ht="14.1" customHeight="1">
      <c r="A27" s="63">
        <v>240</v>
      </c>
      <c r="B27" s="118">
        <v>101</v>
      </c>
      <c r="C27" s="65"/>
      <c r="D27" s="104">
        <f>AVERAGE(U39:U40)</f>
        <v>261.83</v>
      </c>
      <c r="E27" s="66">
        <f>D27-$E$5</f>
        <v>227.72499999999997</v>
      </c>
      <c r="F27" s="111">
        <v>180</v>
      </c>
      <c r="G27" s="112">
        <f t="shared" si="0"/>
        <v>1626.5258124999998</v>
      </c>
      <c r="H27" s="112">
        <f t="shared" si="1"/>
        <v>1610.4215965346532</v>
      </c>
      <c r="I27" s="33">
        <f>$C$24*A27+$C$25</f>
        <v>1659.5384474999998</v>
      </c>
      <c r="J27" s="113">
        <f>((($N$2-(130*$D$2*(((B27+B26)*0.01)/2))*((I27-I26)/(A27-A26))))/((I27+I26)/2))/$D$2</f>
        <v>4.7257945157257808</v>
      </c>
      <c r="K27" s="114">
        <f>$N$2/H27/$D$2</f>
        <v>4.3741641885483045</v>
      </c>
      <c r="L27" s="114">
        <f>J27/($D$4/$D$2)</f>
        <v>8.4088870386579728</v>
      </c>
      <c r="M27" s="107">
        <f>(((S27/60)*$J$1)/$D$2)</f>
        <v>4.4683127572016463</v>
      </c>
      <c r="N27" s="19">
        <f>K27-M27</f>
        <v>-9.4148568653341869E-2</v>
      </c>
      <c r="O27" s="114">
        <f>N27/($D$4/$D$2)</f>
        <v>-0.16752414351128445</v>
      </c>
      <c r="P27" s="74"/>
      <c r="Q27" s="30"/>
      <c r="R27" s="131">
        <v>240</v>
      </c>
      <c r="S27" s="117">
        <v>122</v>
      </c>
      <c r="T27" s="13">
        <v>150</v>
      </c>
      <c r="U27" s="14">
        <v>477.64</v>
      </c>
      <c r="V27" s="15"/>
      <c r="W27" s="11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</row>
    <row r="28" spans="1:67" ht="14.1" customHeight="1" thickBot="1">
      <c r="A28" s="63"/>
      <c r="B28" s="118"/>
      <c r="C28" s="65"/>
      <c r="D28" s="99"/>
      <c r="E28" s="66"/>
      <c r="F28" s="135"/>
      <c r="G28" s="112"/>
      <c r="H28" s="112"/>
      <c r="I28" s="33"/>
      <c r="J28" s="113"/>
      <c r="K28" s="114"/>
      <c r="L28" s="114"/>
      <c r="M28" s="107"/>
      <c r="N28" s="107"/>
      <c r="O28" s="114"/>
      <c r="P28" s="74"/>
      <c r="Q28" s="30"/>
      <c r="R28" s="108"/>
      <c r="S28" s="117"/>
      <c r="U28" s="14">
        <v>472.02</v>
      </c>
      <c r="V28" s="15"/>
      <c r="W28" s="110"/>
      <c r="X28" s="69"/>
      <c r="Y28" s="13" t="s">
        <v>115</v>
      </c>
    </row>
    <row r="29" spans="1:67" ht="14.1" customHeight="1" thickBot="1">
      <c r="A29" s="119" t="s">
        <v>112</v>
      </c>
      <c r="B29" s="122">
        <f>AVERAGE(B23:B28)</f>
        <v>102</v>
      </c>
      <c r="C29" s="121"/>
      <c r="D29" s="122">
        <f>AVERAGE(D23:D28)</f>
        <v>281.16499999999996</v>
      </c>
      <c r="E29" s="122">
        <f>AVERAGE(E23:E28)</f>
        <v>247.06</v>
      </c>
      <c r="F29" s="122">
        <f>AVERAGE(F24:F28)</f>
        <v>180</v>
      </c>
      <c r="G29" s="122">
        <f>AVERAGE(G23:G28)</f>
        <v>1764.6260499999996</v>
      </c>
      <c r="H29" s="122">
        <f>AVERAGE(H23:H28)</f>
        <v>1729.524103404241</v>
      </c>
      <c r="I29" s="122"/>
      <c r="J29" s="122">
        <f t="shared" ref="J29:O29" si="3">AVERAGE(J23:J28)</f>
        <v>4.5558185714890982</v>
      </c>
      <c r="K29" s="123">
        <f t="shared" si="3"/>
        <v>4.174663025699342</v>
      </c>
      <c r="L29" s="122">
        <f t="shared" si="3"/>
        <v>8.1064387393044459</v>
      </c>
      <c r="M29" s="122">
        <f t="shared" si="3"/>
        <v>4.4683127572016463</v>
      </c>
      <c r="N29" s="123">
        <f t="shared" si="3"/>
        <v>-0.293649731502305</v>
      </c>
      <c r="O29" s="122">
        <f t="shared" si="3"/>
        <v>-0.5225084190432473</v>
      </c>
      <c r="P29" s="122"/>
      <c r="Q29" s="136"/>
      <c r="R29" s="137"/>
      <c r="S29" s="138"/>
      <c r="T29" s="13">
        <v>180</v>
      </c>
      <c r="U29" s="14">
        <v>413.19</v>
      </c>
      <c r="V29" s="15"/>
      <c r="W29" s="110"/>
      <c r="X29" s="69"/>
      <c r="Y29" s="13" t="s">
        <v>116</v>
      </c>
    </row>
    <row r="30" spans="1:67" ht="14.1" customHeight="1">
      <c r="A30" s="70"/>
      <c r="B30" s="139"/>
      <c r="C30" s="36"/>
      <c r="D30" s="99"/>
      <c r="E30" s="33"/>
      <c r="F30" s="125" t="s">
        <v>117</v>
      </c>
      <c r="G30" s="33"/>
      <c r="H30" s="33"/>
      <c r="I30" s="140" t="s">
        <v>114</v>
      </c>
      <c r="J30" s="141">
        <f>J29-((B27-B24)*0.25*$D$2*10)/(20*$D$2)</f>
        <v>4.9308185714890982</v>
      </c>
      <c r="K30" s="74"/>
      <c r="L30" s="142" t="s">
        <v>33</v>
      </c>
      <c r="M30" s="143">
        <f>J30-M29</f>
        <v>0.46250581428745186</v>
      </c>
      <c r="N30" s="19">
        <f>AVERAGE(J24:J25)-M29</f>
        <v>-3.7327015134822616E-2</v>
      </c>
      <c r="O30" s="74"/>
      <c r="P30" s="130">
        <f>$M$29-(((B27-B23)*1.3)/(A27-A23))</f>
        <v>4.5549794238683132</v>
      </c>
      <c r="Q30" s="30"/>
      <c r="R30" s="63"/>
      <c r="S30" s="144"/>
      <c r="U30" s="14">
        <v>353.79</v>
      </c>
      <c r="V30" s="15"/>
      <c r="W30" s="110"/>
      <c r="X30" s="69"/>
      <c r="Y30" s="13" t="s">
        <v>118</v>
      </c>
    </row>
    <row r="31" spans="1:67" ht="14.1" customHeight="1">
      <c r="A31" s="145"/>
      <c r="B31" s="139"/>
      <c r="C31" s="146"/>
      <c r="D31" s="147"/>
      <c r="E31" s="148"/>
      <c r="F31" s="145"/>
      <c r="G31" s="148"/>
      <c r="H31" s="148"/>
      <c r="I31" s="148"/>
      <c r="J31" s="149"/>
      <c r="K31" s="150"/>
      <c r="L31" s="133"/>
      <c r="M31" s="134"/>
      <c r="N31" s="101"/>
      <c r="O31" s="150"/>
      <c r="P31" s="150"/>
      <c r="Q31" s="96"/>
      <c r="R31" s="151"/>
      <c r="S31" s="101" t="s">
        <v>32</v>
      </c>
      <c r="T31" s="13">
        <v>210</v>
      </c>
      <c r="U31" s="14">
        <v>296.06</v>
      </c>
      <c r="V31" s="15"/>
      <c r="W31" s="110"/>
      <c r="X31" s="69"/>
      <c r="Y31" s="13" t="s">
        <v>119</v>
      </c>
    </row>
    <row r="32" spans="1:67" ht="14.1" customHeight="1">
      <c r="A32" s="145"/>
      <c r="B32" s="148"/>
      <c r="C32" s="146"/>
      <c r="D32" s="147"/>
      <c r="E32" s="148"/>
      <c r="F32" s="148"/>
      <c r="G32" s="148"/>
      <c r="H32" s="148"/>
      <c r="I32" s="148"/>
      <c r="J32" s="152"/>
      <c r="K32" s="153"/>
      <c r="L32" s="58"/>
      <c r="M32" s="124"/>
      <c r="N32" s="101"/>
      <c r="O32" s="150"/>
      <c r="P32" s="150"/>
      <c r="Q32" s="96"/>
      <c r="R32" s="145"/>
      <c r="S32" s="58"/>
      <c r="U32" s="14">
        <v>318.13</v>
      </c>
      <c r="V32" s="15"/>
      <c r="W32" s="110"/>
      <c r="X32" s="69"/>
      <c r="Y32" s="13" t="s">
        <v>120</v>
      </c>
    </row>
    <row r="33" spans="1:99" ht="14.1" customHeight="1">
      <c r="A33" s="145"/>
      <c r="B33" s="148"/>
      <c r="C33" s="146"/>
      <c r="D33" s="147"/>
      <c r="E33" s="148"/>
      <c r="F33" s="145"/>
      <c r="G33" s="148"/>
      <c r="H33" s="148"/>
      <c r="I33" s="148"/>
      <c r="J33" s="149"/>
      <c r="K33" s="150"/>
      <c r="L33" s="150"/>
      <c r="M33" s="124"/>
      <c r="N33" s="124"/>
      <c r="O33" s="150"/>
      <c r="P33" s="150"/>
      <c r="Q33" s="96"/>
      <c r="R33" s="145"/>
      <c r="S33" s="58"/>
      <c r="T33" s="13">
        <v>220</v>
      </c>
      <c r="U33" s="14">
        <v>278.89999999999998</v>
      </c>
      <c r="V33" s="15"/>
      <c r="W33" s="110"/>
      <c r="X33" s="69"/>
      <c r="Y33" s="20" t="s">
        <v>121</v>
      </c>
    </row>
    <row r="34" spans="1:99" ht="14.1" customHeight="1">
      <c r="A34" s="145"/>
      <c r="B34" s="148"/>
      <c r="C34" s="146"/>
      <c r="D34" s="147"/>
      <c r="E34" s="148"/>
      <c r="F34" s="145"/>
      <c r="G34" s="148"/>
      <c r="H34" s="148"/>
      <c r="I34" s="148"/>
      <c r="J34" s="149"/>
      <c r="K34" s="150"/>
      <c r="L34" s="150"/>
      <c r="M34" s="124"/>
      <c r="N34" s="124"/>
      <c r="O34" s="150"/>
      <c r="P34" s="150"/>
      <c r="Q34" s="96"/>
      <c r="R34" s="145"/>
      <c r="S34" s="58"/>
      <c r="U34" s="14">
        <v>286.02</v>
      </c>
      <c r="V34" s="15"/>
      <c r="W34" s="110"/>
    </row>
    <row r="35" spans="1:99" ht="14.1" customHeight="1">
      <c r="A35" s="145"/>
      <c r="B35" s="148"/>
      <c r="C35" s="146"/>
      <c r="D35" s="147"/>
      <c r="E35" s="148"/>
      <c r="F35" s="145"/>
      <c r="G35" s="148"/>
      <c r="H35" s="148"/>
      <c r="I35" s="148"/>
      <c r="J35" s="149"/>
      <c r="K35" s="150"/>
      <c r="L35" s="150"/>
      <c r="M35" s="124"/>
      <c r="N35" s="124"/>
      <c r="O35" s="150"/>
      <c r="P35" s="150"/>
      <c r="Q35" s="96"/>
      <c r="R35" s="145"/>
      <c r="S35" s="58"/>
      <c r="T35" s="13">
        <v>230</v>
      </c>
      <c r="U35" s="14">
        <v>286.10000000000002</v>
      </c>
      <c r="V35" s="15"/>
      <c r="W35" s="110"/>
    </row>
    <row r="36" spans="1:99" ht="14.1" customHeight="1">
      <c r="A36" s="145"/>
      <c r="B36" s="139"/>
      <c r="C36" s="146"/>
      <c r="D36" s="147"/>
      <c r="E36" s="148"/>
      <c r="F36" s="145"/>
      <c r="G36" s="148"/>
      <c r="H36" s="148"/>
      <c r="I36" s="148"/>
      <c r="J36" s="149"/>
      <c r="K36" s="150"/>
      <c r="L36" s="150"/>
      <c r="M36" s="124"/>
      <c r="N36" s="124"/>
      <c r="O36" s="150"/>
      <c r="P36" s="150"/>
      <c r="Q36" s="96"/>
      <c r="R36" s="145"/>
      <c r="S36" s="58"/>
      <c r="U36" s="14">
        <v>273.2</v>
      </c>
      <c r="V36" s="15"/>
      <c r="W36" s="110"/>
      <c r="X36"/>
    </row>
    <row r="37" spans="1:99" ht="14.1" customHeight="1">
      <c r="A37" s="145"/>
      <c r="B37" s="139"/>
      <c r="C37" s="146"/>
      <c r="D37" s="147"/>
      <c r="E37" s="148"/>
      <c r="F37" s="145"/>
      <c r="G37" s="148"/>
      <c r="H37" s="148"/>
      <c r="I37" s="148"/>
      <c r="J37" s="149"/>
      <c r="K37" s="150"/>
      <c r="L37" s="150"/>
      <c r="M37" s="124"/>
      <c r="N37" s="124"/>
      <c r="O37" s="150"/>
      <c r="P37" s="150"/>
      <c r="Q37" s="96"/>
      <c r="R37" s="96"/>
      <c r="S37" s="58"/>
      <c r="T37" s="13">
        <v>235</v>
      </c>
      <c r="U37" s="14">
        <v>270.02</v>
      </c>
      <c r="V37" s="15"/>
      <c r="W37" s="15"/>
      <c r="X37" s="6"/>
    </row>
    <row r="38" spans="1:99" s="156" customFormat="1" ht="14.1" customHeight="1">
      <c r="A38" s="154"/>
      <c r="B38" s="139"/>
      <c r="C38" s="155"/>
      <c r="D38" s="139"/>
      <c r="E38" s="139"/>
      <c r="F38" s="139"/>
      <c r="G38" s="139"/>
      <c r="H38" s="139"/>
      <c r="I38" s="139"/>
      <c r="J38" s="124"/>
      <c r="K38" s="124"/>
      <c r="L38" s="124"/>
      <c r="M38" s="124"/>
      <c r="N38" s="124"/>
      <c r="O38" s="124"/>
      <c r="P38" s="124"/>
      <c r="Q38" s="155"/>
      <c r="R38" s="145"/>
      <c r="S38" s="58"/>
      <c r="T38" s="13"/>
      <c r="U38" s="14">
        <v>279.56</v>
      </c>
      <c r="V38" s="15"/>
      <c r="W38" s="15"/>
      <c r="X38" s="6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</row>
    <row r="39" spans="1:99" s="3" customFormat="1" ht="14.1" customHeight="1">
      <c r="A39" s="157"/>
      <c r="B39" s="158"/>
      <c r="C39" s="159"/>
      <c r="D39" s="160"/>
      <c r="E39" s="160"/>
      <c r="F39" s="161"/>
      <c r="G39" s="160"/>
      <c r="H39" s="148"/>
      <c r="I39" s="162"/>
      <c r="J39" s="163"/>
      <c r="K39" s="150"/>
      <c r="L39" s="155"/>
      <c r="M39" s="134"/>
      <c r="N39" s="155"/>
      <c r="O39" s="155"/>
      <c r="P39" s="155"/>
      <c r="Q39" s="58"/>
      <c r="R39" s="58"/>
      <c r="S39" s="58"/>
      <c r="T39" s="13">
        <v>240</v>
      </c>
      <c r="U39" s="14">
        <v>255.98</v>
      </c>
      <c r="V39" s="15"/>
      <c r="W39" s="15"/>
      <c r="X39" s="6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</row>
    <row r="40" spans="1:99" ht="14.1" customHeight="1">
      <c r="A40" s="164"/>
      <c r="B40" s="165"/>
      <c r="C40" s="164"/>
      <c r="D40" s="148"/>
      <c r="E40" s="164"/>
      <c r="F40" s="164"/>
      <c r="G40" s="96"/>
      <c r="H40" s="101"/>
      <c r="I40" s="58"/>
      <c r="J40" s="155"/>
      <c r="K40" s="166"/>
      <c r="L40" s="167"/>
      <c r="M40" s="168"/>
      <c r="N40" s="134"/>
      <c r="O40" s="169"/>
      <c r="P40" s="169"/>
      <c r="Q40" s="58"/>
      <c r="R40" s="58"/>
      <c r="S40" s="58"/>
      <c r="U40" s="14">
        <v>267.68</v>
      </c>
      <c r="V40" s="15"/>
      <c r="W40" s="15"/>
    </row>
    <row r="41" spans="1:99" ht="14.1" customHeight="1">
      <c r="A41" s="164"/>
      <c r="B41" s="170"/>
      <c r="C41" s="164"/>
      <c r="D41" s="171"/>
      <c r="E41" s="164"/>
      <c r="F41" s="164"/>
      <c r="G41" s="124"/>
      <c r="H41" s="58"/>
      <c r="I41" s="58"/>
      <c r="J41" s="170"/>
      <c r="K41" s="170"/>
      <c r="L41" s="96"/>
      <c r="M41" s="172"/>
      <c r="N41" s="160"/>
      <c r="O41" s="58"/>
      <c r="P41" s="58"/>
      <c r="Q41" s="58"/>
      <c r="R41" s="58"/>
      <c r="S41" s="58"/>
      <c r="U41" s="173"/>
      <c r="V41" s="174"/>
      <c r="W41" s="175"/>
    </row>
    <row r="42" spans="1:99" ht="14.1" customHeight="1">
      <c r="A42" s="3"/>
      <c r="B42" s="3"/>
      <c r="C42" s="3"/>
      <c r="D42" s="33"/>
      <c r="E42" s="3"/>
      <c r="F42" s="3"/>
      <c r="G42" s="19"/>
      <c r="H42" s="40"/>
      <c r="I42" s="40"/>
      <c r="J42" s="30"/>
      <c r="K42" s="30"/>
      <c r="L42" s="30"/>
      <c r="M42" s="30"/>
      <c r="N42" s="33"/>
      <c r="O42" s="33"/>
      <c r="P42" s="33"/>
      <c r="Q42" s="40"/>
      <c r="R42" s="40"/>
      <c r="U42" s="173"/>
      <c r="V42" s="174"/>
      <c r="W42" s="175"/>
    </row>
    <row r="43" spans="1:99" ht="14.1" customHeight="1">
      <c r="A43" s="30"/>
      <c r="B43" s="176"/>
      <c r="C43" s="3"/>
      <c r="D43" s="33"/>
      <c r="E43" s="177"/>
      <c r="F43" s="177"/>
      <c r="G43" s="33"/>
      <c r="H43" s="174"/>
      <c r="I43" s="40"/>
      <c r="J43" s="30"/>
      <c r="K43" s="30"/>
      <c r="L43" s="30"/>
      <c r="M43" s="33"/>
      <c r="N43" s="178"/>
      <c r="O43" s="33"/>
      <c r="P43" s="33"/>
      <c r="Q43" s="40"/>
      <c r="R43" s="40"/>
      <c r="U43" s="173"/>
      <c r="V43" s="174"/>
      <c r="W43" s="175"/>
    </row>
    <row r="44" spans="1:99" ht="14.1" customHeight="1">
      <c r="A44" s="3"/>
      <c r="B44" s="30"/>
      <c r="C44" s="3"/>
      <c r="D44" s="41"/>
      <c r="E44" s="42"/>
      <c r="F44" s="42"/>
      <c r="G44" s="19"/>
      <c r="H44" s="19"/>
      <c r="I44" s="30"/>
      <c r="J44" s="179"/>
      <c r="K44" s="179"/>
      <c r="L44" s="180"/>
      <c r="M44" s="39"/>
      <c r="N44" s="179"/>
      <c r="O44" s="180"/>
      <c r="P44" s="180"/>
      <c r="Q44" s="46"/>
      <c r="R44" s="46"/>
      <c r="U44" s="173"/>
      <c r="V44" s="174"/>
      <c r="W44" s="175"/>
    </row>
    <row r="45" spans="1:99" s="1" customFormat="1" ht="14.1" customHeight="1">
      <c r="A45" s="3"/>
      <c r="B45" s="181"/>
      <c r="C45" s="181"/>
      <c r="D45" s="25"/>
      <c r="E45" s="181"/>
      <c r="F45" s="181"/>
      <c r="G45" s="181"/>
      <c r="H45" s="95"/>
      <c r="I45" s="95"/>
      <c r="J45" s="182"/>
      <c r="K45" s="182"/>
      <c r="L45" s="182"/>
      <c r="M45" s="182"/>
      <c r="N45" s="182"/>
      <c r="O45" s="54"/>
      <c r="P45" s="54"/>
      <c r="Q45" s="55"/>
      <c r="R45" s="55"/>
      <c r="S45" s="13"/>
      <c r="T45" s="13"/>
      <c r="U45" s="173"/>
      <c r="V45" s="40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</row>
    <row r="46" spans="1:99" ht="14.1" customHeight="1">
      <c r="A46" s="70"/>
      <c r="B46" s="33"/>
      <c r="C46" s="36"/>
      <c r="D46" s="33"/>
      <c r="E46" s="33"/>
      <c r="F46" s="33"/>
      <c r="G46" s="33"/>
      <c r="H46" s="33"/>
      <c r="I46" s="33"/>
      <c r="J46" s="74"/>
      <c r="K46" s="74"/>
      <c r="L46" s="74"/>
      <c r="M46" s="30"/>
      <c r="N46" s="19"/>
      <c r="O46" s="74"/>
      <c r="P46" s="74"/>
      <c r="Q46" s="30"/>
      <c r="R46" s="30"/>
      <c r="U46" s="173"/>
    </row>
    <row r="47" spans="1:99" ht="14.1" customHeight="1">
      <c r="A47" s="70"/>
      <c r="B47" s="33"/>
      <c r="C47" s="36"/>
      <c r="D47" s="33"/>
      <c r="E47" s="33"/>
      <c r="F47" s="33"/>
      <c r="G47" s="33"/>
      <c r="H47" s="33"/>
      <c r="I47" s="33"/>
      <c r="J47" s="74"/>
      <c r="K47" s="74"/>
      <c r="L47" s="74"/>
      <c r="M47" s="30"/>
      <c r="N47" s="19"/>
      <c r="O47" s="74"/>
      <c r="P47" s="74"/>
      <c r="Q47" s="30"/>
      <c r="R47" s="30"/>
      <c r="T47" s="40"/>
      <c r="U47" s="173"/>
    </row>
    <row r="48" spans="1:99" s="80" customFormat="1" ht="14.1" customHeight="1">
      <c r="A48" s="183"/>
      <c r="B48" s="25"/>
      <c r="C48" s="184"/>
      <c r="D48" s="25"/>
      <c r="E48" s="25"/>
      <c r="F48" s="25"/>
      <c r="G48" s="25"/>
      <c r="H48" s="25"/>
      <c r="I48" s="25"/>
      <c r="J48" s="95"/>
      <c r="K48" s="95"/>
      <c r="L48" s="95"/>
      <c r="M48" s="95"/>
      <c r="N48" s="95"/>
      <c r="O48" s="95"/>
      <c r="P48" s="95"/>
      <c r="Q48" s="95"/>
      <c r="R48" s="95"/>
      <c r="S48" s="13"/>
      <c r="T48" s="40"/>
      <c r="U48" s="17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</row>
    <row r="49" spans="1:99" ht="14.1" customHeight="1">
      <c r="A49" s="30"/>
      <c r="B49" s="176"/>
      <c r="C49" s="185"/>
      <c r="D49" s="33"/>
      <c r="E49" s="40"/>
      <c r="F49" s="40"/>
      <c r="G49" s="40"/>
      <c r="H49" s="40"/>
      <c r="I49" s="40"/>
      <c r="J49" s="40"/>
      <c r="K49" s="40"/>
      <c r="L49" s="40"/>
      <c r="M49" s="30"/>
      <c r="N49" s="40"/>
      <c r="O49" s="40"/>
      <c r="P49" s="40"/>
      <c r="Q49" s="30"/>
      <c r="R49" s="30"/>
      <c r="T49" s="40"/>
      <c r="U49" s="173"/>
    </row>
    <row r="50" spans="1:99" ht="14.1" customHeight="1">
      <c r="A50" s="30"/>
      <c r="B50" s="176"/>
      <c r="C50" s="185"/>
      <c r="D50" s="33"/>
      <c r="E50" s="40"/>
      <c r="F50" s="40"/>
      <c r="G50" s="40"/>
      <c r="H50" s="40"/>
      <c r="I50" s="40"/>
      <c r="J50" s="40"/>
      <c r="K50" s="40"/>
      <c r="L50" s="40"/>
      <c r="M50" s="30"/>
      <c r="N50" s="40"/>
      <c r="O50" s="40"/>
      <c r="P50" s="40"/>
      <c r="Q50" s="30"/>
      <c r="R50" s="30"/>
      <c r="T50" s="40"/>
      <c r="U50" s="173"/>
    </row>
    <row r="51" spans="1:99" ht="14.1" customHeight="1">
      <c r="A51" s="30"/>
      <c r="B51" s="176"/>
      <c r="C51" s="185"/>
      <c r="D51" s="33"/>
      <c r="E51" s="40"/>
      <c r="F51" s="40"/>
      <c r="G51" s="40"/>
      <c r="H51" s="40"/>
      <c r="I51" s="40"/>
      <c r="J51" s="40"/>
      <c r="K51" s="40"/>
      <c r="L51" s="40"/>
      <c r="M51" s="19"/>
      <c r="N51" s="40"/>
      <c r="O51" s="40"/>
      <c r="P51" s="40"/>
      <c r="Q51" s="30"/>
      <c r="R51" s="30"/>
      <c r="T51" s="40"/>
      <c r="U51" s="173"/>
    </row>
    <row r="52" spans="1:99" ht="14.1" customHeight="1">
      <c r="A52" s="30"/>
      <c r="B52" s="176"/>
      <c r="C52" s="185"/>
      <c r="D52" s="33"/>
      <c r="E52" s="40"/>
      <c r="F52" s="40"/>
      <c r="G52" s="40"/>
      <c r="H52" s="40"/>
      <c r="I52" s="40"/>
      <c r="J52" s="40"/>
      <c r="K52" s="40"/>
      <c r="L52" s="40"/>
      <c r="M52" s="19"/>
      <c r="N52" s="40"/>
      <c r="O52" s="40"/>
      <c r="P52" s="40"/>
      <c r="Q52" s="30"/>
      <c r="R52" s="30"/>
      <c r="U52" s="173"/>
    </row>
    <row r="53" spans="1:99" ht="14.1" customHeight="1">
      <c r="A53" s="30"/>
      <c r="B53" s="176"/>
      <c r="C53" s="186"/>
      <c r="D53" s="33"/>
      <c r="E53" s="33"/>
      <c r="F53" s="33"/>
      <c r="G53" s="33"/>
      <c r="H53" s="33"/>
      <c r="I53" s="33"/>
      <c r="J53" s="187"/>
      <c r="K53" s="188"/>
      <c r="L53" s="40"/>
      <c r="M53" s="19"/>
      <c r="N53" s="40"/>
      <c r="O53" s="40"/>
      <c r="P53" s="40"/>
      <c r="Q53" s="30"/>
      <c r="R53" s="30"/>
      <c r="U53" s="173"/>
    </row>
    <row r="54" spans="1:99" ht="14.1" customHeight="1">
      <c r="A54" s="70"/>
      <c r="B54" s="189"/>
      <c r="C54" s="36"/>
      <c r="D54" s="33"/>
      <c r="E54" s="33"/>
      <c r="F54" s="33"/>
      <c r="G54" s="33"/>
      <c r="H54" s="33"/>
      <c r="I54" s="33"/>
      <c r="J54" s="132"/>
      <c r="K54" s="74"/>
      <c r="L54" s="74"/>
      <c r="M54" s="19"/>
      <c r="N54" s="19"/>
      <c r="O54" s="74"/>
      <c r="P54" s="74"/>
      <c r="Q54" s="30"/>
      <c r="R54" s="30"/>
      <c r="U54" s="173"/>
    </row>
    <row r="55" spans="1:99" ht="14.1" customHeight="1">
      <c r="A55" s="70"/>
      <c r="B55" s="189"/>
      <c r="C55" s="36"/>
      <c r="D55" s="33"/>
      <c r="E55" s="33"/>
      <c r="F55" s="33"/>
      <c r="G55" s="33"/>
      <c r="H55" s="33"/>
      <c r="I55" s="33"/>
      <c r="J55" s="132"/>
      <c r="K55" s="74"/>
      <c r="L55" s="74"/>
      <c r="M55" s="19"/>
      <c r="N55" s="19"/>
      <c r="O55" s="74"/>
      <c r="P55" s="74"/>
      <c r="Q55" s="30"/>
      <c r="R55" s="30"/>
      <c r="U55" s="173"/>
    </row>
    <row r="56" spans="1:99" s="30" customFormat="1" ht="14.1" customHeight="1">
      <c r="A56" s="70"/>
      <c r="B56" s="189"/>
      <c r="C56" s="36"/>
      <c r="D56" s="33"/>
      <c r="E56" s="33"/>
      <c r="F56" s="33"/>
      <c r="G56" s="33"/>
      <c r="H56" s="33"/>
      <c r="I56" s="33"/>
      <c r="J56" s="132"/>
      <c r="K56" s="74"/>
      <c r="L56" s="74"/>
      <c r="M56" s="19"/>
      <c r="N56" s="19"/>
      <c r="O56" s="74"/>
      <c r="P56" s="74"/>
      <c r="S56" s="13"/>
      <c r="T56" s="13"/>
      <c r="U56" s="17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</row>
    <row r="57" spans="1:99" ht="14.1" customHeight="1">
      <c r="A57" s="70"/>
      <c r="B57" s="189"/>
      <c r="C57" s="36"/>
      <c r="D57" s="33"/>
      <c r="E57" s="33"/>
      <c r="F57" s="33"/>
      <c r="G57" s="33"/>
      <c r="H57" s="33"/>
      <c r="I57" s="33"/>
      <c r="J57" s="132"/>
      <c r="K57" s="74"/>
      <c r="L57" s="74"/>
      <c r="M57" s="19"/>
      <c r="N57" s="19"/>
      <c r="O57" s="74"/>
      <c r="P57" s="74"/>
      <c r="Q57" s="30"/>
      <c r="R57" s="30"/>
      <c r="U57" s="173"/>
    </row>
    <row r="58" spans="1:99" ht="14.1" customHeight="1">
      <c r="A58" s="183"/>
      <c r="B58" s="25"/>
      <c r="C58" s="184"/>
      <c r="D58" s="25"/>
      <c r="E58" s="25"/>
      <c r="F58" s="25"/>
      <c r="G58" s="25"/>
      <c r="H58" s="25"/>
      <c r="I58" s="25"/>
      <c r="J58" s="95"/>
      <c r="K58" s="95"/>
      <c r="L58" s="95"/>
      <c r="M58" s="95"/>
      <c r="N58" s="95"/>
      <c r="O58" s="95"/>
      <c r="P58" s="95"/>
      <c r="Q58" s="95"/>
      <c r="R58" s="95"/>
      <c r="U58" s="173"/>
    </row>
    <row r="59" spans="1:99" s="115" customFormat="1" ht="14.1" customHeight="1">
      <c r="A59" s="40"/>
      <c r="B59" s="40"/>
      <c r="C59" s="40"/>
      <c r="D59" s="19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13"/>
      <c r="T59" s="13"/>
      <c r="U59" s="17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</row>
    <row r="60" spans="1:99" s="30" customFormat="1" ht="14.1" customHeight="1">
      <c r="A60" s="191"/>
      <c r="B60" s="40"/>
      <c r="C60" s="40"/>
      <c r="D60" s="19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13"/>
      <c r="T60" s="13"/>
      <c r="U60" s="17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</row>
    <row r="61" spans="1:99" ht="14.1" customHeight="1">
      <c r="A61" s="40"/>
      <c r="B61" s="40"/>
      <c r="C61" s="40"/>
      <c r="D61" s="19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U61" s="173"/>
    </row>
    <row r="62" spans="1:99" ht="14.1" customHeight="1">
      <c r="A62" s="40"/>
      <c r="B62" s="40"/>
      <c r="C62" s="40"/>
      <c r="D62" s="19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U62" s="173"/>
    </row>
    <row r="63" spans="1:99" ht="14.1" customHeight="1">
      <c r="A63" s="40"/>
      <c r="B63" s="40"/>
      <c r="C63" s="40"/>
      <c r="D63" s="19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U63" s="173"/>
    </row>
    <row r="64" spans="1:99" s="156" customFormat="1" ht="14.1" customHeight="1">
      <c r="A64" s="30"/>
      <c r="B64" s="189"/>
      <c r="C64" s="36"/>
      <c r="D64" s="33"/>
      <c r="E64" s="189"/>
      <c r="F64" s="189"/>
      <c r="G64" s="19"/>
      <c r="H64" s="30"/>
      <c r="I64" s="30"/>
      <c r="J64" s="30"/>
      <c r="K64" s="30"/>
      <c r="L64" s="30"/>
      <c r="M64" s="30"/>
      <c r="N64" s="19"/>
      <c r="O64" s="30"/>
      <c r="P64" s="30"/>
      <c r="Q64" s="40"/>
      <c r="R64" s="40"/>
      <c r="S64" s="13"/>
      <c r="T64" s="13"/>
      <c r="U64" s="17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</row>
    <row r="65" spans="1:21" s="13" customFormat="1" ht="14.1" customHeight="1">
      <c r="A65" s="30"/>
      <c r="B65" s="189"/>
      <c r="C65" s="36"/>
      <c r="D65" s="33"/>
      <c r="E65" s="189"/>
      <c r="F65" s="189"/>
      <c r="G65" s="19"/>
      <c r="H65" s="30"/>
      <c r="I65" s="30"/>
      <c r="J65" s="30"/>
      <c r="K65" s="30"/>
      <c r="L65" s="30"/>
      <c r="M65" s="30"/>
      <c r="N65" s="19"/>
      <c r="O65" s="30"/>
      <c r="P65" s="30"/>
      <c r="Q65" s="40"/>
      <c r="R65" s="40"/>
      <c r="U65" s="173"/>
    </row>
    <row r="66" spans="1:21" s="13" customFormat="1" ht="14.1" customHeight="1">
      <c r="A66" s="12"/>
      <c r="B66" s="192"/>
      <c r="C66" s="65"/>
      <c r="D66" s="66"/>
      <c r="E66" s="192"/>
      <c r="F66" s="192"/>
      <c r="G66" s="68"/>
      <c r="H66" s="12"/>
      <c r="I66" s="12"/>
      <c r="J66" s="12"/>
      <c r="K66" s="12"/>
      <c r="L66" s="12"/>
      <c r="M66" s="12"/>
      <c r="N66" s="68"/>
      <c r="O66" s="12"/>
      <c r="P66" s="12"/>
      <c r="U66" s="173"/>
    </row>
    <row r="67" spans="1:21" ht="14.1" customHeight="1">
      <c r="C67" s="65"/>
      <c r="U67" s="173"/>
    </row>
    <row r="68" spans="1:21" ht="14.1" customHeight="1">
      <c r="A68" s="13"/>
      <c r="B68" s="13"/>
      <c r="C68" s="13"/>
      <c r="D68" s="97"/>
      <c r="E68" s="13"/>
      <c r="F68" s="13"/>
      <c r="G68" s="13"/>
      <c r="H68" s="13"/>
      <c r="I68" s="13"/>
      <c r="J68" s="13"/>
      <c r="M68" s="13"/>
      <c r="N68" s="13"/>
      <c r="O68" s="13"/>
      <c r="P68" s="13"/>
      <c r="U68" s="173"/>
    </row>
    <row r="69" spans="1:21" ht="14.1" customHeight="1">
      <c r="A69" s="13"/>
      <c r="B69" s="13"/>
      <c r="C69" s="13"/>
      <c r="D69" s="97"/>
      <c r="E69" s="13"/>
      <c r="F69" s="13"/>
      <c r="G69" s="13"/>
      <c r="H69" s="13"/>
      <c r="I69" s="13"/>
      <c r="J69" s="13"/>
      <c r="M69" s="13"/>
      <c r="N69" s="13"/>
      <c r="O69" s="13"/>
      <c r="P69" s="13"/>
      <c r="U69" s="173"/>
    </row>
    <row r="70" spans="1:21" ht="14.1" customHeight="1">
      <c r="C70" s="65"/>
      <c r="U70" s="173"/>
    </row>
    <row r="71" spans="1:21" ht="14.1" customHeight="1">
      <c r="C71" s="65"/>
      <c r="Q71" s="13"/>
      <c r="R71" s="13"/>
    </row>
    <row r="72" spans="1:21" ht="14.1" customHeight="1">
      <c r="C72" s="65"/>
      <c r="Q72" s="13"/>
      <c r="R72" s="13"/>
    </row>
    <row r="73" spans="1:21" ht="14.1" customHeight="1">
      <c r="C73" s="65"/>
    </row>
    <row r="74" spans="1:21" ht="14.1" customHeight="1">
      <c r="C74" s="65"/>
    </row>
  </sheetData>
  <pageMargins left="0.75" right="0.5" top="1" bottom="0.5" header="0.5" footer="0.5"/>
  <pageSetup scale="70" orientation="landscape" r:id="rId1"/>
  <headerFooter alignWithMargins="0">
    <oddHeader>&amp;R&amp;D</oddHeader>
  </headerFooter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26537-402D-4B49-8ADA-F2A0423E6995}">
  <dimension ref="A1:CU74"/>
  <sheetViews>
    <sheetView topLeftCell="A4" zoomScale="85" zoomScaleNormal="85" workbookViewId="0">
      <selection activeCell="O30" sqref="O30"/>
    </sheetView>
  </sheetViews>
  <sheetFormatPr defaultColWidth="13.7109375" defaultRowHeight="14.1" customHeight="1"/>
  <cols>
    <col min="1" max="1" width="6.28515625" style="12" customWidth="1"/>
    <col min="2" max="2" width="16.5703125" style="192" customWidth="1"/>
    <col min="3" max="3" width="8.28515625" style="12" customWidth="1"/>
    <col min="4" max="4" width="11.140625" style="66" customWidth="1"/>
    <col min="5" max="5" width="12.85546875" style="192" customWidth="1"/>
    <col min="6" max="6" width="9.28515625" style="192" customWidth="1"/>
    <col min="7" max="7" width="9.140625" style="68" customWidth="1"/>
    <col min="8" max="8" width="10.85546875" style="12" customWidth="1"/>
    <col min="9" max="9" width="13.140625" style="12" customWidth="1"/>
    <col min="10" max="10" width="12.28515625" style="12" customWidth="1"/>
    <col min="11" max="11" width="10.140625" style="12" customWidth="1"/>
    <col min="12" max="12" width="14.42578125" style="12" customWidth="1"/>
    <col min="13" max="13" width="8.85546875" style="12" customWidth="1"/>
    <col min="14" max="14" width="17.140625" style="68" customWidth="1"/>
    <col min="15" max="15" width="15.7109375" style="12" customWidth="1"/>
    <col min="16" max="16" width="10.85546875" style="12" customWidth="1"/>
    <col min="17" max="17" width="6.140625" style="12" customWidth="1"/>
    <col min="18" max="18" width="7.28515625" style="12" customWidth="1"/>
    <col min="19" max="19" width="12" style="13" customWidth="1"/>
    <col min="20" max="20" width="10.42578125" style="13" customWidth="1"/>
    <col min="21" max="21" width="13.7109375" style="13" customWidth="1"/>
    <col min="22" max="22" width="2.5703125" style="13" customWidth="1"/>
    <col min="23" max="29" width="13.7109375" style="13" customWidth="1"/>
    <col min="30" max="31" width="25" style="13" customWidth="1"/>
    <col min="32" max="34" width="13.7109375" style="13" customWidth="1"/>
    <col min="35" max="35" width="19.85546875" style="13" customWidth="1"/>
    <col min="36" max="36" width="19.5703125" style="13" customWidth="1"/>
    <col min="37" max="37" width="27.42578125" style="13" customWidth="1"/>
    <col min="38" max="38" width="31.42578125" style="13" customWidth="1"/>
    <col min="39" max="39" width="31.28515625" style="13" customWidth="1"/>
    <col min="40" max="45" width="27.42578125" style="13" customWidth="1"/>
    <col min="46" max="46" width="31.28515625" style="13" customWidth="1"/>
    <col min="47" max="47" width="35.42578125" style="13" customWidth="1"/>
    <col min="48" max="50" width="13.7109375" style="13" customWidth="1"/>
    <col min="51" max="52" width="17.28515625" style="13" customWidth="1"/>
    <col min="53" max="60" width="17.5703125" style="13" customWidth="1"/>
    <col min="61" max="65" width="20.42578125" style="13" customWidth="1"/>
    <col min="66" max="68" width="13.7109375" style="13" customWidth="1"/>
    <col min="69" max="69" width="18.7109375" style="13" customWidth="1"/>
    <col min="70" max="72" width="13.7109375" style="13" customWidth="1"/>
    <col min="73" max="73" width="17.28515625" style="13" customWidth="1"/>
    <col min="74" max="74" width="16.85546875" style="13" customWidth="1"/>
    <col min="75" max="75" width="13.7109375" style="13" customWidth="1"/>
    <col min="76" max="76" width="17" style="13" customWidth="1"/>
    <col min="77" max="81" width="17.85546875" style="13" customWidth="1"/>
    <col min="82" max="92" width="13.7109375" style="13" customWidth="1"/>
    <col min="93" max="93" width="26.140625" style="13" customWidth="1"/>
    <col min="94" max="94" width="25.7109375" style="13" customWidth="1"/>
    <col min="95" max="95" width="22.85546875" style="13" customWidth="1"/>
    <col min="96" max="99" width="13.7109375" style="13" customWidth="1"/>
    <col min="100" max="16384" width="13.7109375" style="12"/>
  </cols>
  <sheetData>
    <row r="1" spans="1:99" ht="14.1" customHeight="1">
      <c r="A1" s="1" t="s">
        <v>0</v>
      </c>
      <c r="B1" s="2" t="s">
        <v>188</v>
      </c>
      <c r="C1" s="3" t="s">
        <v>1</v>
      </c>
      <c r="D1" s="4" t="s">
        <v>189</v>
      </c>
      <c r="E1" s="1" t="s">
        <v>2</v>
      </c>
      <c r="F1" s="1"/>
      <c r="G1" s="5">
        <v>57</v>
      </c>
      <c r="H1" s="6"/>
      <c r="I1" s="6" t="s">
        <v>3</v>
      </c>
      <c r="J1" s="5">
        <v>178</v>
      </c>
      <c r="K1" s="7"/>
      <c r="L1" s="7"/>
      <c r="M1" s="8" t="s">
        <v>4</v>
      </c>
      <c r="N1" s="9">
        <f>((AVERAGE(W7:W8))*20)</f>
        <v>7523426</v>
      </c>
      <c r="O1" s="10">
        <f>(O3*20)</f>
        <v>7463706.8219999988</v>
      </c>
      <c r="P1" s="10"/>
      <c r="Q1" s="11" t="s">
        <v>5</v>
      </c>
      <c r="S1" s="13">
        <v>-120</v>
      </c>
      <c r="T1" s="13" t="s">
        <v>6</v>
      </c>
      <c r="U1" s="14">
        <v>36.21</v>
      </c>
      <c r="V1" s="15"/>
      <c r="W1" s="15" t="s">
        <v>7</v>
      </c>
    </row>
    <row r="2" spans="1:99" ht="14.1" customHeight="1" thickBot="1">
      <c r="A2" s="16" t="s">
        <v>8</v>
      </c>
      <c r="B2" s="17"/>
      <c r="C2" s="3" t="s">
        <v>9</v>
      </c>
      <c r="D2" s="18">
        <v>102</v>
      </c>
      <c r="E2" s="3" t="s">
        <v>10</v>
      </c>
      <c r="F2" s="3"/>
      <c r="G2" s="19">
        <f>D2/(D3/100*D3/100)</f>
        <v>31.376804973777293</v>
      </c>
      <c r="H2" s="13"/>
      <c r="I2" s="20" t="s">
        <v>11</v>
      </c>
      <c r="J2" s="21"/>
      <c r="K2" s="22"/>
      <c r="L2" s="23"/>
      <c r="M2" s="24" t="s">
        <v>12</v>
      </c>
      <c r="N2" s="25">
        <f>(O1*0.068)</f>
        <v>507532.06389599998</v>
      </c>
      <c r="O2" s="13"/>
      <c r="P2" s="13"/>
      <c r="Q2" s="11"/>
      <c r="R2" s="26"/>
      <c r="T2" s="13" t="s">
        <v>6</v>
      </c>
      <c r="U2" s="14">
        <v>27.75</v>
      </c>
      <c r="V2" s="15"/>
      <c r="W2" s="27">
        <v>131057.8</v>
      </c>
    </row>
    <row r="3" spans="1:99" ht="14.1" customHeight="1" thickTop="1" thickBot="1">
      <c r="A3" s="16" t="s">
        <v>13</v>
      </c>
      <c r="B3" s="28" t="s">
        <v>14</v>
      </c>
      <c r="C3" s="3" t="s">
        <v>15</v>
      </c>
      <c r="D3" s="29">
        <v>180.3</v>
      </c>
      <c r="E3" s="3" t="s">
        <v>16</v>
      </c>
      <c r="F3" s="3"/>
      <c r="G3" s="19">
        <f>SQRT(((D2*D3)/3600))</f>
        <v>2.2601991062736047</v>
      </c>
      <c r="H3" s="13"/>
      <c r="I3" s="20"/>
      <c r="J3" s="30"/>
      <c r="K3" s="30"/>
      <c r="L3" s="30"/>
      <c r="M3" s="31" t="s">
        <v>17</v>
      </c>
      <c r="N3" s="32">
        <f>($O$1/$N$1)*100</f>
        <v>99.206223627374001</v>
      </c>
      <c r="O3" s="33">
        <f>((AVERAGE(W2:W5))*2.85714)</f>
        <v>373185.34109999996</v>
      </c>
      <c r="P3" s="33"/>
      <c r="Q3" s="34" t="s">
        <v>18</v>
      </c>
      <c r="R3" s="13"/>
      <c r="T3" s="13">
        <v>-30</v>
      </c>
      <c r="U3" s="14">
        <v>445.68</v>
      </c>
      <c r="V3" s="15"/>
      <c r="W3" s="27">
        <v>131022.9</v>
      </c>
    </row>
    <row r="4" spans="1:99" ht="14.1" customHeight="1" thickTop="1">
      <c r="B4" s="35"/>
      <c r="C4" s="3" t="s">
        <v>19</v>
      </c>
      <c r="D4" s="36">
        <f>(1-G4)*D2</f>
        <v>68.339999999999989</v>
      </c>
      <c r="E4" s="37" t="s">
        <v>20</v>
      </c>
      <c r="F4" s="37"/>
      <c r="G4" s="38">
        <v>0.33</v>
      </c>
      <c r="H4" s="13"/>
      <c r="I4" s="20"/>
      <c r="J4" s="30"/>
      <c r="K4" s="30"/>
      <c r="L4" s="30"/>
      <c r="M4" s="33"/>
      <c r="N4" s="39"/>
      <c r="O4" s="30"/>
      <c r="P4" s="30"/>
      <c r="Q4" s="30"/>
      <c r="R4" s="30"/>
      <c r="U4" s="14">
        <v>429.69</v>
      </c>
      <c r="V4" s="15"/>
      <c r="W4" s="27">
        <v>130736.8</v>
      </c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</row>
    <row r="5" spans="1:99" ht="14.1" customHeight="1" thickBot="1">
      <c r="A5" s="16"/>
      <c r="B5" s="30"/>
      <c r="C5" s="3"/>
      <c r="D5" s="41" t="s">
        <v>21</v>
      </c>
      <c r="E5" s="42">
        <f>AVERAGE(U1:U2)</f>
        <v>31.98</v>
      </c>
      <c r="F5" s="42"/>
      <c r="G5" s="19"/>
      <c r="H5" s="30"/>
      <c r="I5" s="30"/>
      <c r="J5" s="43" t="s">
        <v>22</v>
      </c>
      <c r="K5" s="43"/>
      <c r="L5" s="44" t="s">
        <v>23</v>
      </c>
      <c r="M5" s="45"/>
      <c r="N5" s="43" t="s">
        <v>22</v>
      </c>
      <c r="O5" s="44" t="s">
        <v>23</v>
      </c>
      <c r="P5" s="44" t="s">
        <v>24</v>
      </c>
      <c r="Q5" s="46"/>
      <c r="R5" s="46"/>
      <c r="T5" s="13">
        <v>-20</v>
      </c>
      <c r="U5" s="14">
        <v>376.62</v>
      </c>
      <c r="V5" s="15"/>
      <c r="W5" s="27">
        <v>129642.5</v>
      </c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</row>
    <row r="6" spans="1:99" s="1" customFormat="1" ht="14.1" customHeight="1">
      <c r="A6" s="47" t="s">
        <v>25</v>
      </c>
      <c r="B6" s="48" t="s">
        <v>26</v>
      </c>
      <c r="C6" s="48"/>
      <c r="D6" s="49" t="s">
        <v>27</v>
      </c>
      <c r="E6" s="48" t="s">
        <v>28</v>
      </c>
      <c r="F6" s="48"/>
      <c r="G6" s="48" t="s">
        <v>29</v>
      </c>
      <c r="H6" s="50" t="s">
        <v>30</v>
      </c>
      <c r="I6" s="50"/>
      <c r="J6" s="51" t="s">
        <v>31</v>
      </c>
      <c r="K6" s="52"/>
      <c r="L6" s="52" t="s">
        <v>31</v>
      </c>
      <c r="M6" s="52" t="s">
        <v>32</v>
      </c>
      <c r="N6" s="52" t="s">
        <v>33</v>
      </c>
      <c r="O6" s="53" t="s">
        <v>34</v>
      </c>
      <c r="P6" s="54"/>
      <c r="Q6" s="55"/>
      <c r="R6" s="55"/>
      <c r="S6" s="13"/>
      <c r="T6" s="13"/>
      <c r="U6" s="14">
        <v>374.88</v>
      </c>
      <c r="V6" s="15"/>
      <c r="W6" s="56" t="s">
        <v>35</v>
      </c>
      <c r="X6" s="13" t="s">
        <v>36</v>
      </c>
      <c r="Y6" s="57" t="s">
        <v>37</v>
      </c>
      <c r="Z6" s="58" t="s">
        <v>38</v>
      </c>
      <c r="AA6" s="40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60"/>
      <c r="AY6" s="60"/>
      <c r="AZ6" s="60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60"/>
      <c r="BO6" s="60"/>
      <c r="BP6" s="60"/>
      <c r="BQ6" s="59"/>
      <c r="BR6" s="59"/>
      <c r="BS6" s="59"/>
      <c r="BT6" s="59"/>
      <c r="BU6" s="59"/>
      <c r="BV6" s="59"/>
      <c r="BW6" s="59"/>
      <c r="BX6" s="59"/>
      <c r="BY6" s="59"/>
      <c r="BZ6" s="61"/>
      <c r="CA6" s="61"/>
      <c r="CB6" s="61"/>
      <c r="CC6" s="61"/>
      <c r="CD6" s="40"/>
      <c r="CE6" s="61"/>
      <c r="CF6" s="61"/>
      <c r="CG6" s="33"/>
      <c r="CH6" s="40"/>
      <c r="CI6" s="30"/>
      <c r="CJ6" s="30"/>
      <c r="CK6" s="30"/>
      <c r="CL6" s="30"/>
      <c r="CM6" s="30"/>
      <c r="CN6" s="30"/>
      <c r="CO6" s="30"/>
      <c r="CP6" s="62"/>
      <c r="CQ6" s="62"/>
      <c r="CR6" s="13"/>
      <c r="CS6" s="13"/>
      <c r="CT6" s="13"/>
      <c r="CU6" s="13"/>
    </row>
    <row r="7" spans="1:99" ht="14.1" customHeight="1">
      <c r="A7" s="63">
        <v>-30</v>
      </c>
      <c r="B7" s="64">
        <v>92</v>
      </c>
      <c r="C7" s="65"/>
      <c r="D7" s="42">
        <f>AVERAGE(U3:U4)</f>
        <v>437.685</v>
      </c>
      <c r="E7" s="66">
        <f>D7-$E$5</f>
        <v>405.70499999999998</v>
      </c>
      <c r="F7" s="66"/>
      <c r="G7" s="66">
        <f>($E7*7.1425)</f>
        <v>2897.7479625000001</v>
      </c>
      <c r="H7" s="66">
        <f>($G7/($B7*0.01))</f>
        <v>3149.7260461956521</v>
      </c>
      <c r="I7" s="66"/>
      <c r="J7" s="67">
        <f>$N$2/$H7/$D$2</f>
        <v>1.5797578821211922</v>
      </c>
      <c r="K7" s="67"/>
      <c r="L7" s="67">
        <f>J7/($D$4/$D$2)</f>
        <v>2.3578475852555107</v>
      </c>
      <c r="N7" s="68">
        <f>J7-M7</f>
        <v>1.5797578821211922</v>
      </c>
      <c r="O7" s="67">
        <f>N7/($D$4/$D$2)</f>
        <v>2.3578475852555107</v>
      </c>
      <c r="P7" s="67"/>
      <c r="Q7" s="30"/>
      <c r="R7" s="30"/>
      <c r="T7" s="13">
        <v>-10</v>
      </c>
      <c r="U7" s="14">
        <v>377.91</v>
      </c>
      <c r="V7" s="15"/>
      <c r="W7" s="27">
        <v>378803</v>
      </c>
      <c r="X7" s="69">
        <v>0.57899999999999996</v>
      </c>
      <c r="Y7" s="70">
        <v>-30</v>
      </c>
      <c r="Z7" s="71">
        <v>14.76</v>
      </c>
      <c r="AA7" s="40"/>
      <c r="AB7" s="72"/>
      <c r="AC7" s="72"/>
      <c r="AD7" s="72"/>
      <c r="AE7" s="72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19"/>
      <c r="AY7" s="74"/>
      <c r="AZ7" s="74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</row>
    <row r="8" spans="1:99" ht="14.1" customHeight="1">
      <c r="A8" s="63">
        <v>-20</v>
      </c>
      <c r="B8" s="64">
        <v>94</v>
      </c>
      <c r="C8" s="65"/>
      <c r="D8" s="66">
        <f>AVERAGE(U5:U6)</f>
        <v>375.75</v>
      </c>
      <c r="E8" s="66">
        <f>D8-$E$5</f>
        <v>343.77</v>
      </c>
      <c r="F8" s="66"/>
      <c r="G8" s="66">
        <f>($E8*7.1425)</f>
        <v>2455.3772249999997</v>
      </c>
      <c r="H8" s="66">
        <f>($G8/($B8*0.01))</f>
        <v>2612.1034308510634</v>
      </c>
      <c r="I8" s="66"/>
      <c r="J8" s="67">
        <f>$N$2/H8/$D$2</f>
        <v>1.9049033392903612</v>
      </c>
      <c r="K8" s="67"/>
      <c r="L8" s="67">
        <f>J8/($D$4/$D$2)</f>
        <v>2.8431393123736735</v>
      </c>
      <c r="N8" s="68">
        <f>J8-M8</f>
        <v>1.9049033392903612</v>
      </c>
      <c r="O8" s="67">
        <f>N8/($D$4/$D$2)</f>
        <v>2.8431393123736735</v>
      </c>
      <c r="P8" s="67"/>
      <c r="Q8" s="30"/>
      <c r="R8" s="30"/>
      <c r="U8" s="14">
        <v>355.54</v>
      </c>
      <c r="V8" s="15"/>
      <c r="W8" s="27">
        <v>373539.6</v>
      </c>
      <c r="X8" s="69">
        <v>0.61499999999999999</v>
      </c>
      <c r="Y8" s="70">
        <v>-20</v>
      </c>
      <c r="Z8" s="71">
        <v>16.068000000000001</v>
      </c>
      <c r="AA8" s="40"/>
      <c r="AB8" s="72"/>
      <c r="AC8" s="72"/>
      <c r="AD8" s="72"/>
      <c r="AE8" s="72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19"/>
      <c r="AY8" s="74"/>
      <c r="AZ8" s="74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</row>
    <row r="9" spans="1:99" ht="14.1" customHeight="1" thickBot="1">
      <c r="A9" s="63">
        <v>-10</v>
      </c>
      <c r="B9" s="75">
        <v>94</v>
      </c>
      <c r="C9" s="65"/>
      <c r="D9" s="66">
        <f>AVERAGE(U7:U8)</f>
        <v>366.72500000000002</v>
      </c>
      <c r="E9" s="66">
        <f>D9-$E$5</f>
        <v>334.745</v>
      </c>
      <c r="F9" s="66"/>
      <c r="G9" s="66">
        <f>($E9*7.1425)</f>
        <v>2390.9161625000002</v>
      </c>
      <c r="H9" s="66">
        <f>($G9/($B9*0.01))</f>
        <v>2543.5278324468086</v>
      </c>
      <c r="I9" s="66"/>
      <c r="J9" s="67">
        <f>$N$2/H9/$D$2</f>
        <v>1.9562610970973349</v>
      </c>
      <c r="K9" s="67"/>
      <c r="L9" s="67">
        <f>J9/($D$4/$D$2)</f>
        <v>2.9197926822348284</v>
      </c>
      <c r="N9" s="68">
        <f>J9-M9</f>
        <v>1.9562610970973349</v>
      </c>
      <c r="O9" s="67">
        <f>N9/($D$4/$D$2)</f>
        <v>2.9197926822348284</v>
      </c>
      <c r="P9" s="67"/>
      <c r="Q9" s="30"/>
      <c r="R9" s="30"/>
      <c r="T9" s="13">
        <v>-5</v>
      </c>
      <c r="U9" s="14">
        <v>390.08</v>
      </c>
      <c r="V9" s="15"/>
      <c r="W9" s="76"/>
      <c r="X9" s="69">
        <v>0.63100000000000001</v>
      </c>
      <c r="Y9" s="70">
        <v>-10</v>
      </c>
      <c r="Z9" s="71">
        <v>17.376000000000001</v>
      </c>
      <c r="AA9" s="40"/>
      <c r="AB9" s="72"/>
      <c r="AC9" s="72"/>
      <c r="AD9" s="72"/>
      <c r="AE9" s="72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19"/>
      <c r="AY9" s="74"/>
      <c r="AZ9" s="74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</row>
    <row r="10" spans="1:99" s="80" customFormat="1" ht="14.1" customHeight="1">
      <c r="A10" s="77">
        <v>0</v>
      </c>
      <c r="B10" s="75">
        <v>95</v>
      </c>
      <c r="C10" s="65"/>
      <c r="D10" s="66">
        <f>AVERAGE(U11:U12)</f>
        <v>402.66500000000002</v>
      </c>
      <c r="E10" s="66">
        <f>D10-$E$5</f>
        <v>370.685</v>
      </c>
      <c r="F10" s="66"/>
      <c r="G10" s="78">
        <f>($E10*7.1425)</f>
        <v>2647.6176125000002</v>
      </c>
      <c r="H10" s="78">
        <f>($G10/($B10*0.01))</f>
        <v>2786.965907894737</v>
      </c>
      <c r="I10" s="78"/>
      <c r="J10" s="79">
        <f>$N$2/H10/$D$2</f>
        <v>1.7853840744534628</v>
      </c>
      <c r="K10" s="79"/>
      <c r="L10" s="67">
        <f>J10/($D$4/$D$2)</f>
        <v>2.6647523499305419</v>
      </c>
      <c r="N10" s="81">
        <f>J10-M10</f>
        <v>1.7853840744534628</v>
      </c>
      <c r="O10" s="67">
        <f>N10/($D$4/$D$2)</f>
        <v>2.6647523499305419</v>
      </c>
      <c r="P10" s="67"/>
      <c r="Q10" s="30"/>
      <c r="R10" s="30"/>
      <c r="S10" s="13"/>
      <c r="T10" s="13" t="s">
        <v>39</v>
      </c>
      <c r="U10" s="14">
        <v>358.48</v>
      </c>
      <c r="V10" s="15"/>
      <c r="W10" s="15"/>
      <c r="X10" s="69">
        <v>0.59699999999999998</v>
      </c>
      <c r="Y10" s="70">
        <v>0</v>
      </c>
      <c r="Z10" s="82">
        <v>16.795000000000002</v>
      </c>
      <c r="AA10" s="30"/>
      <c r="AB10" s="83" t="s">
        <v>40</v>
      </c>
      <c r="AC10" s="83" t="s">
        <v>41</v>
      </c>
      <c r="AD10" s="83" t="s">
        <v>42</v>
      </c>
      <c r="AE10" s="83" t="s">
        <v>43</v>
      </c>
      <c r="AF10" s="83" t="s">
        <v>44</v>
      </c>
      <c r="AG10" s="83" t="s">
        <v>45</v>
      </c>
      <c r="AH10" s="83" t="s">
        <v>46</v>
      </c>
      <c r="AI10" s="83" t="s">
        <v>47</v>
      </c>
      <c r="AJ10" s="83" t="s">
        <v>48</v>
      </c>
      <c r="AK10" s="83" t="s">
        <v>49</v>
      </c>
      <c r="AL10" s="83" t="s">
        <v>50</v>
      </c>
      <c r="AM10" s="83" t="s">
        <v>51</v>
      </c>
      <c r="AN10" s="83" t="s">
        <v>52</v>
      </c>
      <c r="AO10" s="83" t="s">
        <v>53</v>
      </c>
      <c r="AP10" s="83" t="s">
        <v>54</v>
      </c>
      <c r="AQ10" s="83" t="s">
        <v>55</v>
      </c>
      <c r="AR10" s="83" t="s">
        <v>56</v>
      </c>
      <c r="AS10" s="83" t="s">
        <v>57</v>
      </c>
      <c r="AT10" s="83" t="s">
        <v>58</v>
      </c>
      <c r="AU10" s="83" t="s">
        <v>59</v>
      </c>
      <c r="AV10" s="84" t="s">
        <v>60</v>
      </c>
      <c r="AW10" s="84" t="s">
        <v>61</v>
      </c>
      <c r="AX10" s="85" t="s">
        <v>62</v>
      </c>
      <c r="AY10" s="85" t="s">
        <v>63</v>
      </c>
      <c r="AZ10" s="85" t="s">
        <v>64</v>
      </c>
      <c r="BA10" s="86" t="s">
        <v>65</v>
      </c>
      <c r="BB10" s="86" t="s">
        <v>66</v>
      </c>
      <c r="BC10" s="86" t="s">
        <v>67</v>
      </c>
      <c r="BD10" s="86" t="s">
        <v>68</v>
      </c>
      <c r="BE10" s="86" t="s">
        <v>69</v>
      </c>
      <c r="BF10" s="86" t="s">
        <v>70</v>
      </c>
      <c r="BG10" s="86" t="s">
        <v>71</v>
      </c>
      <c r="BH10" s="86" t="s">
        <v>72</v>
      </c>
      <c r="BI10" s="86" t="s">
        <v>73</v>
      </c>
      <c r="BJ10" s="86" t="s">
        <v>74</v>
      </c>
      <c r="BK10" s="86" t="s">
        <v>75</v>
      </c>
      <c r="BL10" s="86" t="s">
        <v>76</v>
      </c>
      <c r="BM10" s="86" t="s">
        <v>77</v>
      </c>
      <c r="BN10" s="87" t="s">
        <v>78</v>
      </c>
      <c r="BO10" s="87" t="s">
        <v>79</v>
      </c>
      <c r="BP10" s="87" t="s">
        <v>80</v>
      </c>
      <c r="BQ10" s="88" t="s">
        <v>81</v>
      </c>
      <c r="BR10" s="88" t="s">
        <v>82</v>
      </c>
      <c r="BS10" s="88" t="s">
        <v>83</v>
      </c>
      <c r="BT10" s="88" t="s">
        <v>84</v>
      </c>
      <c r="BU10" s="88" t="s">
        <v>85</v>
      </c>
      <c r="BV10" s="88" t="s">
        <v>86</v>
      </c>
      <c r="BW10" s="88" t="s">
        <v>87</v>
      </c>
      <c r="BX10" s="88" t="s">
        <v>88</v>
      </c>
      <c r="BY10" s="88" t="s">
        <v>89</v>
      </c>
      <c r="BZ10" s="88" t="s">
        <v>90</v>
      </c>
      <c r="CA10" s="88" t="s">
        <v>91</v>
      </c>
      <c r="CB10" s="88" t="s">
        <v>92</v>
      </c>
      <c r="CC10" s="88" t="s">
        <v>93</v>
      </c>
      <c r="CD10" s="40"/>
      <c r="CE10" s="89" t="s">
        <v>94</v>
      </c>
      <c r="CF10" s="89" t="s">
        <v>95</v>
      </c>
      <c r="CG10" s="90" t="s">
        <v>96</v>
      </c>
      <c r="CH10" s="40"/>
      <c r="CI10" s="91" t="s">
        <v>97</v>
      </c>
      <c r="CJ10" s="91" t="s">
        <v>98</v>
      </c>
      <c r="CK10" s="91" t="s">
        <v>99</v>
      </c>
      <c r="CL10" s="91" t="s">
        <v>100</v>
      </c>
      <c r="CM10" s="91" t="s">
        <v>101</v>
      </c>
      <c r="CN10" s="91" t="s">
        <v>102</v>
      </c>
      <c r="CO10" s="91" t="s">
        <v>103</v>
      </c>
      <c r="CP10" s="92" t="s">
        <v>104</v>
      </c>
      <c r="CQ10" s="92" t="s">
        <v>105</v>
      </c>
      <c r="CR10" s="13"/>
      <c r="CS10" s="13"/>
      <c r="CT10" s="13"/>
      <c r="CU10" s="13"/>
    </row>
    <row r="11" spans="1:99" s="49" customFormat="1" ht="14.1" customHeight="1">
      <c r="A11" s="93" t="s">
        <v>106</v>
      </c>
      <c r="B11" s="49">
        <f>AVERAGE(B7:B10)</f>
        <v>93.75</v>
      </c>
      <c r="E11" s="50">
        <f>AVERAGE(E7:E10)</f>
        <v>363.72624999999994</v>
      </c>
      <c r="G11" s="50">
        <f>AVERAGE(G7:G10)</f>
        <v>2597.9147406249999</v>
      </c>
      <c r="H11" s="50">
        <f>AVERAGE(H7:H10)</f>
        <v>2773.0808043470652</v>
      </c>
      <c r="J11" s="94">
        <f>AVERAGE(J7:J10)</f>
        <v>1.8065765982405877</v>
      </c>
      <c r="K11" s="50" t="s">
        <v>39</v>
      </c>
      <c r="L11" s="50">
        <f>AVERAGE(L7:L10)</f>
        <v>2.6963829824486383</v>
      </c>
      <c r="M11" s="50"/>
      <c r="N11" s="94">
        <f>AVERAGE(N7:N10)</f>
        <v>1.8065765982405877</v>
      </c>
      <c r="O11" s="50">
        <f>AVERAGE(O7:O10)</f>
        <v>2.6963829824486383</v>
      </c>
      <c r="P11" s="95"/>
      <c r="Q11" s="95"/>
      <c r="R11" s="95"/>
      <c r="S11" s="6"/>
      <c r="T11" s="13">
        <v>0</v>
      </c>
      <c r="U11" s="14">
        <v>383.16</v>
      </c>
      <c r="V11" s="15"/>
      <c r="W11" s="15"/>
      <c r="X11" s="96">
        <f>AVERAGE(X7:X10)</f>
        <v>0.60549999999999993</v>
      </c>
      <c r="Y11" s="70" t="s">
        <v>107</v>
      </c>
      <c r="Z11" s="96">
        <f>AVERAGE(Z7:Z10)</f>
        <v>16.249750000000002</v>
      </c>
      <c r="AA11" s="30"/>
      <c r="AB11" s="72">
        <f>J11</f>
        <v>1.8065765982405877</v>
      </c>
      <c r="AC11" s="73">
        <f>AB11/($D$4/$D$2)</f>
        <v>2.6963829824486387</v>
      </c>
      <c r="AD11" s="73">
        <f>AB11/Z11</f>
        <v>0.11117565490180387</v>
      </c>
      <c r="AE11" s="73">
        <f>AC11/Z11</f>
        <v>0.16593381328627446</v>
      </c>
      <c r="AF11" s="72">
        <f>N20</f>
        <v>0.50904012006008581</v>
      </c>
      <c r="AG11" s="72">
        <f>AF11/($D$4/$D$2)</f>
        <v>0.75976137322400872</v>
      </c>
      <c r="AH11" s="72">
        <f>AF11/Z18</f>
        <v>1.049939607572347E-2</v>
      </c>
      <c r="AI11" s="72">
        <f>AG11/Z18</f>
        <v>1.5670740411527568E-2</v>
      </c>
      <c r="AJ11" s="73">
        <f>((AB11-AF11)/AB11)*100</f>
        <v>71.822942876829217</v>
      </c>
      <c r="AK11" s="73">
        <f>((AC11-AG11)/AC11)*100</f>
        <v>71.822942876829217</v>
      </c>
      <c r="AL11" s="73">
        <f>((AD11-AH11)/AD11)*100</f>
        <v>90.55602947875856</v>
      </c>
      <c r="AM11" s="73">
        <f>((AE11-AI11)/AE11)*100</f>
        <v>90.55602947875856</v>
      </c>
      <c r="AN11" s="72">
        <f>N29</f>
        <v>-1.3216541406113425</v>
      </c>
      <c r="AO11" s="72">
        <f>AN11/($D$4/$D$2)</f>
        <v>-1.9726181203154367</v>
      </c>
      <c r="AP11" s="72">
        <f>AN11/Z25</f>
        <v>-5.0275566246884259E-3</v>
      </c>
      <c r="AQ11" s="72">
        <f>AO11/Z25</f>
        <v>-7.5038158577439198E-3</v>
      </c>
      <c r="AR11" s="73">
        <f>((AB11-AN11)/AB11)*100</f>
        <v>173.15793539551504</v>
      </c>
      <c r="AS11" s="73">
        <f>((AC11-AO11)/AC11)*100</f>
        <v>173.15793539551504</v>
      </c>
      <c r="AT11" s="73">
        <f>((AD11-AP11)/AD11)*100</f>
        <v>104.52217405791674</v>
      </c>
      <c r="AU11" s="73">
        <f>((AE11-AQ11)/AE11)*100</f>
        <v>104.52217405791674</v>
      </c>
      <c r="AV11" s="72">
        <f>J11</f>
        <v>1.8065765982405877</v>
      </c>
      <c r="AW11" s="72">
        <f>AV11/($D$4/$D$2)</f>
        <v>2.6963829824486387</v>
      </c>
      <c r="AX11" s="95">
        <f>M20</f>
        <v>1.1110457516339869</v>
      </c>
      <c r="AY11" s="95">
        <f>AX11/($D$4/$D$2)</f>
        <v>1.6582772412447566</v>
      </c>
      <c r="AZ11" s="95">
        <f>AX11/Z11</f>
        <v>6.8373098148216849E-2</v>
      </c>
      <c r="BA11" s="73">
        <f>AY11/Z11</f>
        <v>0.10204940022121918</v>
      </c>
      <c r="BB11" s="72">
        <f>P21</f>
        <v>1.501045751633987</v>
      </c>
      <c r="BC11" s="73">
        <f>BB11/($D$4/$D$2)</f>
        <v>2.2403667934835632</v>
      </c>
      <c r="BD11" s="73">
        <f>BB11/Z18</f>
        <v>3.0960376703366699E-2</v>
      </c>
      <c r="BE11" s="73">
        <f>BC11/Z18</f>
        <v>4.62095174677115E-2</v>
      </c>
      <c r="BF11" s="72">
        <f>K20</f>
        <v>1.6336588564435282</v>
      </c>
      <c r="BG11" s="73">
        <f>BF11/($D$4/$D$2)</f>
        <v>2.4382968006619827</v>
      </c>
      <c r="BH11" s="73">
        <f>BF11/Z18</f>
        <v>3.3695637554834464E-2</v>
      </c>
      <c r="BI11" s="73">
        <f>BG11/Z18</f>
        <v>5.0291996350499205E-2</v>
      </c>
      <c r="BJ11" s="72">
        <f>J21</f>
        <v>-7.0460526582795788</v>
      </c>
      <c r="BK11" s="73">
        <f>BJ11/($D$4/$D$2)</f>
        <v>-10.516496504894896</v>
      </c>
      <c r="BL11" s="73">
        <f>BJ11/Z18</f>
        <v>-0.14533097631076544</v>
      </c>
      <c r="BM11" s="73">
        <f>BK11/Z18</f>
        <v>-0.21691190494144102</v>
      </c>
      <c r="BN11" s="95">
        <f>M29</f>
        <v>4.3511111111111109</v>
      </c>
      <c r="BO11" s="95">
        <f>BN11/($D$4/$D$2)</f>
        <v>6.4941956882255392</v>
      </c>
      <c r="BP11" s="95">
        <f>BN11/Z25</f>
        <v>1.6551574893340405E-2</v>
      </c>
      <c r="BQ11" s="73">
        <f>BO11/Z25</f>
        <v>2.4703843124388662E-2</v>
      </c>
      <c r="BR11" s="72">
        <f>P30</f>
        <v>8.6411111111111119</v>
      </c>
      <c r="BS11" s="73">
        <f>BR11/($D$4/$D$2)</f>
        <v>12.897180762852408</v>
      </c>
      <c r="BT11" s="73">
        <f>BR11/Z25</f>
        <v>3.2870683847167605E-2</v>
      </c>
      <c r="BU11" s="73">
        <f>BS11/Z25</f>
        <v>4.906072215995165E-2</v>
      </c>
      <c r="BV11" s="72">
        <f>K29</f>
        <v>2.7114613277982436</v>
      </c>
      <c r="BW11" s="73">
        <f>BV11/($D$4/$D$2)</f>
        <v>4.0469572056690204</v>
      </c>
      <c r="BX11" s="73">
        <f>BV11/Z25</f>
        <v>1.0314366627605709E-2</v>
      </c>
      <c r="BY11" s="73">
        <f>BW11/Z25</f>
        <v>1.5394577056127925E-2</v>
      </c>
      <c r="BZ11" s="72">
        <f>J30</f>
        <v>14.892305777010417</v>
      </c>
      <c r="CA11" s="73">
        <f>BZ11/($D$4/$D$2)</f>
        <v>22.22732205523943</v>
      </c>
      <c r="CB11" s="73">
        <f>BZ11/Z25</f>
        <v>5.665015397406601E-2</v>
      </c>
      <c r="CC11" s="73">
        <f>CA11/Z25</f>
        <v>8.4552468618008969E-2</v>
      </c>
      <c r="CD11" s="13"/>
      <c r="CE11" s="97">
        <f>B11</f>
        <v>93.75</v>
      </c>
      <c r="CF11" s="13">
        <f>Z11</f>
        <v>16.249750000000002</v>
      </c>
      <c r="CG11" s="40">
        <f>((CE11/18)*CF11)/22.5</f>
        <v>3.761516203703704</v>
      </c>
      <c r="CH11" s="40"/>
      <c r="CI11" s="40">
        <f>X28</f>
        <v>0</v>
      </c>
      <c r="CJ11" s="40">
        <f>X29</f>
        <v>0</v>
      </c>
      <c r="CK11" s="40">
        <f>X30</f>
        <v>0</v>
      </c>
      <c r="CL11" s="40">
        <f>X31</f>
        <v>0</v>
      </c>
      <c r="CM11" s="40">
        <f>X32</f>
        <v>0</v>
      </c>
      <c r="CN11" s="40">
        <f>X33</f>
        <v>0</v>
      </c>
      <c r="CO11" s="13">
        <f>X11</f>
        <v>0.60549999999999993</v>
      </c>
      <c r="CP11" s="13">
        <f>X18</f>
        <v>0.13600000000000001</v>
      </c>
      <c r="CQ11" s="13">
        <f>X25</f>
        <v>3.5000000000000003E-2</v>
      </c>
      <c r="CR11" s="13"/>
      <c r="CS11" s="13"/>
      <c r="CT11" s="13"/>
      <c r="CU11" s="13"/>
    </row>
    <row r="12" spans="1:99" ht="14.1" customHeight="1" thickBot="1">
      <c r="B12" s="98"/>
      <c r="C12" s="65"/>
      <c r="D12" s="99"/>
      <c r="E12" s="13"/>
      <c r="F12" s="13"/>
      <c r="G12" s="13"/>
      <c r="H12" s="13"/>
      <c r="I12" s="13"/>
      <c r="J12" s="6" t="s">
        <v>108</v>
      </c>
      <c r="K12" s="13"/>
      <c r="L12" s="13"/>
      <c r="M12" s="12" t="s">
        <v>39</v>
      </c>
      <c r="N12" s="13"/>
      <c r="O12" s="13"/>
      <c r="P12" s="13"/>
      <c r="Q12" s="30"/>
      <c r="R12" s="30"/>
      <c r="U12" s="14">
        <v>422.17</v>
      </c>
      <c r="V12" s="15"/>
      <c r="W12" s="15"/>
      <c r="Y12" s="70"/>
      <c r="Z12" s="96"/>
      <c r="AA12" s="30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30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40"/>
      <c r="CG12" s="40"/>
      <c r="CH12" s="40"/>
      <c r="CI12" s="40"/>
      <c r="CJ12" s="40"/>
      <c r="CK12" s="40"/>
      <c r="CL12" s="40"/>
      <c r="CM12" s="40"/>
      <c r="CN12" s="40"/>
    </row>
    <row r="13" spans="1:99" ht="14.1" customHeight="1" thickBot="1">
      <c r="B13" s="98"/>
      <c r="C13" s="65"/>
      <c r="D13" s="99"/>
      <c r="E13" s="13"/>
      <c r="F13" s="13"/>
      <c r="G13" s="13"/>
      <c r="H13" s="13"/>
      <c r="I13" s="13"/>
      <c r="J13" s="6"/>
      <c r="K13" s="13"/>
      <c r="L13" s="13"/>
      <c r="M13" s="100" t="s">
        <v>32</v>
      </c>
      <c r="N13" s="101"/>
      <c r="O13" s="101"/>
      <c r="P13" s="101"/>
      <c r="Q13" s="30"/>
      <c r="R13" s="102" t="s">
        <v>25</v>
      </c>
      <c r="S13" s="103" t="s">
        <v>109</v>
      </c>
      <c r="T13" s="13">
        <v>30</v>
      </c>
      <c r="U13" s="14">
        <v>427.92</v>
      </c>
      <c r="V13" s="15"/>
      <c r="W13" s="15"/>
      <c r="X13" s="69">
        <v>0.16900000000000001</v>
      </c>
      <c r="Y13" s="30">
        <v>90</v>
      </c>
      <c r="Z13" s="71">
        <v>53.482999999999997</v>
      </c>
      <c r="AA13" s="40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19"/>
      <c r="AY13" s="74"/>
      <c r="AZ13" s="74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40"/>
      <c r="CG13" s="40"/>
      <c r="CH13" s="40"/>
      <c r="CI13" s="40"/>
      <c r="CJ13" s="40"/>
      <c r="CK13" s="40"/>
      <c r="CL13" s="40"/>
      <c r="CM13" s="40"/>
      <c r="CN13" s="40"/>
    </row>
    <row r="14" spans="1:99" ht="14.1" customHeight="1">
      <c r="A14" s="12">
        <v>90</v>
      </c>
      <c r="B14" s="75">
        <v>109</v>
      </c>
      <c r="C14" s="65"/>
      <c r="D14" s="104">
        <f>AVERAGE(U17:U18)</f>
        <v>462.52</v>
      </c>
      <c r="E14" s="78">
        <f>D14-$E$5</f>
        <v>430.53999999999996</v>
      </c>
      <c r="F14" s="78"/>
      <c r="G14" s="78">
        <f t="shared" ref="G14:G27" si="0">($E14*7.1425)</f>
        <v>3075.13195</v>
      </c>
      <c r="H14" s="78">
        <f t="shared" ref="H14:H27" si="1">($G14/($B14*0.01))</f>
        <v>2821.2219724770639</v>
      </c>
      <c r="I14" s="33">
        <f>$C$15*A14+$C$16</f>
        <v>2709.4686014285708</v>
      </c>
      <c r="J14" s="105" t="s">
        <v>110</v>
      </c>
      <c r="K14" s="106" t="s">
        <v>111</v>
      </c>
      <c r="L14" s="13"/>
      <c r="M14" s="107">
        <f>(((S14/60)*$J$1)/$D$2)</f>
        <v>1.2215686274509803</v>
      </c>
      <c r="N14" s="101"/>
      <c r="O14" s="101"/>
      <c r="P14" s="101"/>
      <c r="Q14" s="30"/>
      <c r="R14" s="108">
        <v>90</v>
      </c>
      <c r="S14" s="109">
        <v>42</v>
      </c>
      <c r="U14" s="14">
        <v>428.75</v>
      </c>
      <c r="V14" s="15"/>
      <c r="W14" s="110"/>
      <c r="X14" s="69">
        <v>0.10100000000000001</v>
      </c>
      <c r="Y14" s="30">
        <v>100</v>
      </c>
      <c r="Z14" s="71">
        <v>45.664000000000001</v>
      </c>
      <c r="AA14" s="40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19"/>
      <c r="AY14" s="74"/>
      <c r="AZ14" s="74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40"/>
      <c r="CG14" s="40"/>
      <c r="CH14" s="40"/>
      <c r="CI14" s="40"/>
      <c r="CJ14" s="40"/>
      <c r="CK14" s="40"/>
      <c r="CL14" s="40"/>
      <c r="CM14" s="40"/>
      <c r="CN14" s="40"/>
    </row>
    <row r="15" spans="1:99" s="115" customFormat="1" ht="14.1" customHeight="1">
      <c r="A15" s="12">
        <v>100</v>
      </c>
      <c r="B15" s="75"/>
      <c r="C15" s="65">
        <f>SLOPE(G15:G18,A15:A18)</f>
        <v>12.451622285714301</v>
      </c>
      <c r="D15" s="104">
        <f>AVERAGE(U19:U20)</f>
        <v>426.65</v>
      </c>
      <c r="E15" s="66">
        <f>D15-$E$5</f>
        <v>394.66999999999996</v>
      </c>
      <c r="F15" s="111">
        <v>180</v>
      </c>
      <c r="G15" s="112">
        <f t="shared" si="0"/>
        <v>2818.9304749999997</v>
      </c>
      <c r="H15" s="78" t="e">
        <f t="shared" si="1"/>
        <v>#DIV/0!</v>
      </c>
      <c r="I15" s="33">
        <f>$C$15*A15+$C$16</f>
        <v>2833.9848242857142</v>
      </c>
      <c r="J15" s="113">
        <f>((($N$2-(130*$D$2*(((B15+B14)*0.01)/2))*((I15-I14)/(A15-A14))))/((I15+I14)/2))/$D$2</f>
        <v>1.476915848185256</v>
      </c>
      <c r="K15" s="114" t="e">
        <f>$N$2/H15/$D$2</f>
        <v>#DIV/0!</v>
      </c>
      <c r="L15" s="114">
        <f>J15/($D$4/$D$2)</f>
        <v>2.2043520122168001</v>
      </c>
      <c r="M15" s="107">
        <f>(((S15/60)*$J$1)/$D$2)</f>
        <v>0.95980392156862748</v>
      </c>
      <c r="N15" s="19" t="e">
        <f>K15-M15</f>
        <v>#DIV/0!</v>
      </c>
      <c r="O15" s="74" t="e">
        <f>N15/($D$4/$D$2)</f>
        <v>#DIV/0!</v>
      </c>
      <c r="P15" s="74"/>
      <c r="Q15" s="30"/>
      <c r="R15" s="108">
        <v>100</v>
      </c>
      <c r="S15" s="109">
        <v>33</v>
      </c>
      <c r="T15" s="13">
        <v>60</v>
      </c>
      <c r="U15" s="14"/>
      <c r="V15" s="15"/>
      <c r="W15" s="110"/>
      <c r="X15" s="69">
        <v>0.13700000000000001</v>
      </c>
      <c r="Y15" s="30">
        <v>110</v>
      </c>
      <c r="Z15" s="71">
        <v>46.061</v>
      </c>
      <c r="AA15" s="40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19"/>
      <c r="AY15" s="74"/>
      <c r="AZ15" s="74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40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40"/>
      <c r="CH15" s="40"/>
      <c r="CI15" s="40"/>
      <c r="CJ15" s="40"/>
      <c r="CK15" s="40"/>
      <c r="CL15" s="40"/>
      <c r="CM15" s="40"/>
      <c r="CN15" s="40"/>
      <c r="CO15" s="13"/>
      <c r="CP15" s="13"/>
      <c r="CQ15" s="13"/>
      <c r="CR15" s="13"/>
      <c r="CS15" s="13"/>
      <c r="CT15" s="13"/>
      <c r="CU15" s="13"/>
    </row>
    <row r="16" spans="1:99" ht="14.1" customHeight="1">
      <c r="A16" s="12">
        <v>110</v>
      </c>
      <c r="B16" s="75">
        <v>100</v>
      </c>
      <c r="C16" s="65">
        <f>INTERCEPT(G15:G18,A15:A18)</f>
        <v>1588.822595714284</v>
      </c>
      <c r="D16" s="104">
        <f>AVERAGE(U21:U22)</f>
        <v>451.72</v>
      </c>
      <c r="E16" s="66">
        <f>D16-$E$5</f>
        <v>419.74</v>
      </c>
      <c r="F16" s="116">
        <v>210</v>
      </c>
      <c r="G16" s="66">
        <f t="shared" si="0"/>
        <v>2997.9929500000003</v>
      </c>
      <c r="H16" s="78">
        <f t="shared" si="1"/>
        <v>2997.9929500000003</v>
      </c>
      <c r="I16" s="33">
        <f>$C$15*A16+$C$16</f>
        <v>2958.5010471428568</v>
      </c>
      <c r="J16" s="113">
        <f>((($N$2-(130*$D$2*(((B16+B15)*0.01)/2))*((I16-I15)/(A16-A15))))/((I16+I15)/2))/$D$2</f>
        <v>1.4385703105395828</v>
      </c>
      <c r="K16" s="67">
        <f>$N$2/H16/$D$2</f>
        <v>1.659711890916888</v>
      </c>
      <c r="L16" s="67">
        <f>J16/($D$4/$D$2)</f>
        <v>2.1471198664769897</v>
      </c>
      <c r="M16" s="107">
        <f>(((S16/60)*$J$1)/$D$2)</f>
        <v>0.95980392156862748</v>
      </c>
      <c r="N16" s="19">
        <f>K16-M16</f>
        <v>0.69990796934826049</v>
      </c>
      <c r="O16" s="67">
        <f>N16/($D$4/$D$2)</f>
        <v>1.0446387602212843</v>
      </c>
      <c r="P16" s="67"/>
      <c r="Q16" s="30"/>
      <c r="R16" s="108">
        <v>110</v>
      </c>
      <c r="S16" s="109">
        <v>33</v>
      </c>
      <c r="U16" s="14"/>
      <c r="V16" s="15"/>
      <c r="W16" s="110"/>
      <c r="X16" s="69">
        <v>0.13700000000000001</v>
      </c>
      <c r="Y16" s="30">
        <v>115</v>
      </c>
      <c r="Z16" s="71">
        <v>44.835999999999999</v>
      </c>
      <c r="AA16" s="40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19"/>
      <c r="AY16" s="74"/>
      <c r="AZ16" s="74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40"/>
    </row>
    <row r="17" spans="1:67" ht="14.1" customHeight="1">
      <c r="A17" s="12">
        <v>115</v>
      </c>
      <c r="B17" s="75">
        <v>98</v>
      </c>
      <c r="C17" s="65"/>
      <c r="D17" s="104">
        <f>AVERAGE(U23:U24)</f>
        <v>452.28</v>
      </c>
      <c r="E17" s="66">
        <f>D17-$E$5</f>
        <v>420.29999999999995</v>
      </c>
      <c r="F17" s="116">
        <v>220</v>
      </c>
      <c r="G17" s="66">
        <f t="shared" si="0"/>
        <v>3001.9927499999999</v>
      </c>
      <c r="H17" s="78">
        <f t="shared" si="1"/>
        <v>3063.2579081632653</v>
      </c>
      <c r="I17" s="33">
        <f>$C$15*A17+$C$16</f>
        <v>3020.7591585714285</v>
      </c>
      <c r="J17" s="113">
        <f>((($N$2-(130*$D$2*(((B17+B16)*0.01)/2))*((I17-I16)/(A17-A16))))/((I17+I16)/2))/$D$2</f>
        <v>1.1283271320437844</v>
      </c>
      <c r="K17" s="67">
        <f>$N$2/H17/$D$2</f>
        <v>1.6243505108531657</v>
      </c>
      <c r="L17" s="67">
        <f>J17/($D$4/$D$2)</f>
        <v>1.6840703463340068</v>
      </c>
      <c r="M17" s="107">
        <f>(((S17/60)*$J$1)/$D$2)</f>
        <v>0.95980392156862748</v>
      </c>
      <c r="N17" s="19">
        <f>K17-M17</f>
        <v>0.66454658928453825</v>
      </c>
      <c r="O17" s="67">
        <f>N17/($D$4/$D$2)</f>
        <v>0.99186058102169894</v>
      </c>
      <c r="P17" s="67"/>
      <c r="Q17" s="30"/>
      <c r="R17" s="108">
        <v>115</v>
      </c>
      <c r="S17" s="109">
        <v>33</v>
      </c>
      <c r="T17" s="40">
        <v>90</v>
      </c>
      <c r="U17" s="14">
        <v>472.79</v>
      </c>
      <c r="V17" s="15"/>
      <c r="W17" s="110"/>
      <c r="X17" s="69"/>
      <c r="Y17" s="30">
        <v>120</v>
      </c>
      <c r="Z17" s="71">
        <v>52.37</v>
      </c>
      <c r="AA17" s="40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19"/>
      <c r="AY17" s="74"/>
      <c r="AZ17" s="74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40"/>
    </row>
    <row r="18" spans="1:67" ht="14.1" customHeight="1">
      <c r="A18" s="12">
        <v>120</v>
      </c>
      <c r="B18" s="118">
        <v>100</v>
      </c>
      <c r="C18" s="65"/>
      <c r="D18" s="104">
        <f>AVERAGE(U25:U26)</f>
        <v>462.83000000000004</v>
      </c>
      <c r="E18" s="66">
        <f>D18-$E$5</f>
        <v>430.85</v>
      </c>
      <c r="F18" s="116">
        <v>225</v>
      </c>
      <c r="G18" s="66">
        <f t="shared" si="0"/>
        <v>3077.346125</v>
      </c>
      <c r="H18" s="78">
        <f t="shared" si="1"/>
        <v>3077.346125</v>
      </c>
      <c r="I18" s="33">
        <f>$C$15*A18+$C$16</f>
        <v>3083.0172700000003</v>
      </c>
      <c r="J18" s="113">
        <f>((($N$2-(130*$D$2*(((B18+B17)*0.01)/2))*((I18-I17)/(A18-A17))))/((I18+I17)/2))/$D$2</f>
        <v>1.1053094094463973</v>
      </c>
      <c r="K18" s="67">
        <f>$N$2/H18/$D$2</f>
        <v>1.6169141675605307</v>
      </c>
      <c r="L18" s="67">
        <f>J18/($D$4/$D$2)</f>
        <v>1.6497155364871603</v>
      </c>
      <c r="M18" s="107">
        <f>(((S18/60)*$J$1)/$D$2)</f>
        <v>1.4542483660130721</v>
      </c>
      <c r="N18" s="19">
        <f>K18-M18</f>
        <v>0.16266580154745869</v>
      </c>
      <c r="O18" s="67">
        <f>N18/($D$4/$D$2)</f>
        <v>0.24278477842904284</v>
      </c>
      <c r="P18" s="67"/>
      <c r="Q18" s="30"/>
      <c r="R18" s="108">
        <v>120</v>
      </c>
      <c r="S18" s="117">
        <v>50</v>
      </c>
      <c r="T18" s="30"/>
      <c r="U18" s="14">
        <v>452.25</v>
      </c>
      <c r="V18" s="15"/>
      <c r="W18" s="110"/>
      <c r="X18" s="96">
        <f>AVERAGE(X13:X17)</f>
        <v>0.13600000000000001</v>
      </c>
      <c r="Y18" s="30" t="s">
        <v>107</v>
      </c>
      <c r="Z18" s="96">
        <f>AVERAGE(Z13:Z17)</f>
        <v>48.482799999999997</v>
      </c>
      <c r="AA18" s="30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5"/>
      <c r="AY18" s="95"/>
      <c r="AZ18" s="95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2"/>
      <c r="BO18" s="40"/>
    </row>
    <row r="19" spans="1:67" ht="14.1" customHeight="1" thickBot="1">
      <c r="A19" s="63"/>
      <c r="B19" s="98"/>
      <c r="C19" s="65"/>
      <c r="D19" s="99"/>
      <c r="E19" s="66"/>
      <c r="F19" s="63"/>
      <c r="G19" s="66"/>
      <c r="H19" s="66"/>
      <c r="I19" s="33"/>
      <c r="J19" s="113"/>
      <c r="K19" s="67"/>
      <c r="L19" s="67"/>
      <c r="M19" s="107"/>
      <c r="O19" s="67"/>
      <c r="P19" s="67"/>
      <c r="Q19" s="30"/>
      <c r="R19" s="108"/>
      <c r="S19" s="117"/>
      <c r="T19" s="41">
        <v>100</v>
      </c>
      <c r="U19" s="14">
        <v>442.35</v>
      </c>
      <c r="V19" s="15"/>
      <c r="W19" s="110"/>
      <c r="Y19" s="30"/>
      <c r="Z19" s="96"/>
      <c r="AA19" s="30"/>
      <c r="AB19" s="96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30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40"/>
    </row>
    <row r="20" spans="1:67" ht="14.1" customHeight="1" thickBot="1">
      <c r="A20" s="119" t="s">
        <v>112</v>
      </c>
      <c r="B20" s="120">
        <f>AVERAGE(B14:B19)</f>
        <v>101.75</v>
      </c>
      <c r="C20" s="121"/>
      <c r="D20" s="122">
        <f>AVERAGE(D14:D18)</f>
        <v>451.2</v>
      </c>
      <c r="E20" s="122">
        <f>AVERAGE(E14:E18)</f>
        <v>419.21999999999997</v>
      </c>
      <c r="F20" s="122"/>
      <c r="G20" s="122">
        <f>AVERAGE(G14:G18)</f>
        <v>2994.2788499999997</v>
      </c>
      <c r="H20" s="122">
        <f>AVERAGE(H16:H18,H14)</f>
        <v>2989.9547389100821</v>
      </c>
      <c r="I20" s="122"/>
      <c r="J20" s="122">
        <f t="shared" ref="J20:M20" si="2">AVERAGE(J14:J18)</f>
        <v>1.2872806750537551</v>
      </c>
      <c r="K20" s="123">
        <f>AVERAGE(K16:K18)</f>
        <v>1.6336588564435282</v>
      </c>
      <c r="L20" s="122">
        <f t="shared" si="2"/>
        <v>1.9213144403787392</v>
      </c>
      <c r="M20" s="122">
        <f t="shared" si="2"/>
        <v>1.1110457516339869</v>
      </c>
      <c r="N20" s="123">
        <f>AVERAGE(N16:N18)</f>
        <v>0.50904012006008581</v>
      </c>
      <c r="O20" s="122">
        <f>AVERAGE(O16:O18)</f>
        <v>0.75976137322400872</v>
      </c>
      <c r="P20" s="124"/>
      <c r="Q20" s="30"/>
      <c r="R20" s="108"/>
      <c r="S20" s="117"/>
      <c r="T20" s="41"/>
      <c r="U20" s="14">
        <v>410.95</v>
      </c>
      <c r="V20" s="15"/>
      <c r="W20" s="110"/>
      <c r="X20" s="69">
        <v>2.1999999999999999E-2</v>
      </c>
      <c r="Y20" s="70">
        <v>210</v>
      </c>
      <c r="Z20" s="71">
        <v>271.62</v>
      </c>
      <c r="AA20" s="40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4"/>
      <c r="AY20" s="74"/>
      <c r="AZ20" s="74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40"/>
    </row>
    <row r="21" spans="1:67" ht="14.1" customHeight="1" thickBot="1">
      <c r="A21" s="70"/>
      <c r="B21" s="118"/>
      <c r="C21" s="36"/>
      <c r="D21" s="99"/>
      <c r="E21" s="33"/>
      <c r="F21" s="125" t="s">
        <v>113</v>
      </c>
      <c r="G21" s="33"/>
      <c r="H21" s="33"/>
      <c r="I21" s="126" t="s">
        <v>114</v>
      </c>
      <c r="J21" s="127">
        <f>J20-((B18-B15)*0.25*$D$2*10)/(30*$D$2)</f>
        <v>-7.0460526582795788</v>
      </c>
      <c r="K21" s="74"/>
      <c r="L21" s="128" t="s">
        <v>33</v>
      </c>
      <c r="M21" s="129">
        <f>J21-M20</f>
        <v>-8.1570984099135657</v>
      </c>
      <c r="N21" s="19"/>
      <c r="O21" s="74"/>
      <c r="P21" s="130">
        <f>$M$20-(((B18-B14)*1.3)/(A18-A14))</f>
        <v>1.501045751633987</v>
      </c>
      <c r="Q21" s="30"/>
      <c r="R21" s="131"/>
      <c r="S21" s="117"/>
      <c r="T21" s="41">
        <v>110</v>
      </c>
      <c r="U21" s="14">
        <v>462.8</v>
      </c>
      <c r="V21" s="15"/>
      <c r="W21" s="110"/>
      <c r="X21" s="69">
        <v>4.2000000000000003E-2</v>
      </c>
      <c r="Y21" s="70">
        <v>220</v>
      </c>
      <c r="Z21" s="71">
        <v>262.13</v>
      </c>
      <c r="AA21" s="40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4"/>
      <c r="AY21" s="74"/>
      <c r="AZ21" s="74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40"/>
    </row>
    <row r="22" spans="1:67" ht="14.1" customHeight="1" thickBot="1">
      <c r="A22" s="63"/>
      <c r="B22" s="98"/>
      <c r="C22" s="65"/>
      <c r="D22" s="99"/>
      <c r="E22" s="66"/>
      <c r="F22" s="63"/>
      <c r="G22" s="66"/>
      <c r="H22" s="66"/>
      <c r="I22" s="33"/>
      <c r="J22" s="132"/>
      <c r="K22" s="67"/>
      <c r="L22" s="133"/>
      <c r="M22" s="134"/>
      <c r="N22" s="101"/>
      <c r="O22" s="133"/>
      <c r="P22" s="133"/>
      <c r="Q22" s="30"/>
      <c r="R22" s="102" t="s">
        <v>25</v>
      </c>
      <c r="S22" s="103" t="s">
        <v>109</v>
      </c>
      <c r="T22" s="30"/>
      <c r="U22" s="14">
        <v>440.64</v>
      </c>
      <c r="V22" s="15"/>
      <c r="W22" s="110"/>
      <c r="X22" s="69">
        <v>0.04</v>
      </c>
      <c r="Y22" s="70">
        <v>230</v>
      </c>
      <c r="Z22" s="71">
        <v>257.79000000000002</v>
      </c>
      <c r="AA22" s="40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4"/>
      <c r="AY22" s="74"/>
      <c r="AZ22" s="74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40"/>
    </row>
    <row r="23" spans="1:67" ht="14.1" customHeight="1">
      <c r="A23" s="63">
        <v>210</v>
      </c>
      <c r="B23" s="75">
        <v>99</v>
      </c>
      <c r="C23" s="65"/>
      <c r="D23" s="104">
        <f>AVERAGE(U31:U32)</f>
        <v>292.40499999999997</v>
      </c>
      <c r="E23" s="78">
        <f>D23-$E$5</f>
        <v>260.42499999999995</v>
      </c>
      <c r="F23" s="78"/>
      <c r="G23" s="78">
        <f t="shared" si="0"/>
        <v>1860.0855624999997</v>
      </c>
      <c r="H23" s="78">
        <f t="shared" si="1"/>
        <v>1878.8743055555553</v>
      </c>
      <c r="I23" s="33">
        <f>$C$24*A23+$C$25</f>
        <v>1612.2275478571428</v>
      </c>
      <c r="J23" s="105" t="s">
        <v>110</v>
      </c>
      <c r="K23" s="106" t="s">
        <v>111</v>
      </c>
      <c r="L23" s="67"/>
      <c r="M23" s="19">
        <f>(((S23/60)*$J$1)/$D$2)</f>
        <v>3.3738562091503268</v>
      </c>
      <c r="N23" s="101"/>
      <c r="O23" s="133"/>
      <c r="P23" s="133"/>
      <c r="Q23" s="30"/>
      <c r="R23" s="131">
        <v>210</v>
      </c>
      <c r="S23" s="117">
        <v>116</v>
      </c>
      <c r="T23" s="13">
        <v>115</v>
      </c>
      <c r="U23" s="14">
        <v>467.05</v>
      </c>
      <c r="V23" s="15"/>
      <c r="W23" s="110"/>
      <c r="X23" s="69">
        <v>3.7999999999999999E-2</v>
      </c>
      <c r="Y23" s="70">
        <v>235</v>
      </c>
      <c r="Z23" s="71">
        <v>275.25</v>
      </c>
      <c r="AA23" s="40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4"/>
      <c r="AY23" s="74"/>
      <c r="AZ23" s="74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40"/>
    </row>
    <row r="24" spans="1:67" ht="14.1" customHeight="1">
      <c r="A24" s="63">
        <v>220</v>
      </c>
      <c r="B24" s="75">
        <v>99</v>
      </c>
      <c r="C24" s="65">
        <f>SLOPE(G24:G27,A24:A27)</f>
        <v>6.0070465714285763</v>
      </c>
      <c r="D24" s="104">
        <f>AVERAGE(U33:U34)</f>
        <v>265.78999999999996</v>
      </c>
      <c r="E24" s="66">
        <f>D24-$E$5</f>
        <v>233.80999999999997</v>
      </c>
      <c r="F24" s="111">
        <v>180</v>
      </c>
      <c r="G24" s="112">
        <f t="shared" si="0"/>
        <v>1669.9879249999999</v>
      </c>
      <c r="H24" s="112">
        <f t="shared" si="1"/>
        <v>1686.8564898989898</v>
      </c>
      <c r="I24" s="33">
        <f>$C$24*A24+$C$25</f>
        <v>1672.2980135714286</v>
      </c>
      <c r="J24" s="113">
        <f>((($N$2-(130*$D$2*(((B24+B23)*0.01)/2))*((I24-I23)/(A24-A23))))/((I24+I23)/2))/$D$2</f>
        <v>2.5590896314591145</v>
      </c>
      <c r="K24" s="114">
        <f>$N$2/H24/$D$2</f>
        <v>2.949749772903298</v>
      </c>
      <c r="L24" s="114">
        <f>J24/($D$4/$D$2)</f>
        <v>3.8195367633718131</v>
      </c>
      <c r="M24" s="107">
        <f>(((S24/60)*$J$1)/$D$2)</f>
        <v>3.3738562091503268</v>
      </c>
      <c r="N24" s="19">
        <f>K24-M24</f>
        <v>-0.42410643624702882</v>
      </c>
      <c r="O24" s="74">
        <f>N24/($D$4/$D$2)</f>
        <v>-0.63299468096571476</v>
      </c>
      <c r="P24" s="74"/>
      <c r="Q24" s="30"/>
      <c r="R24" s="131">
        <v>220</v>
      </c>
      <c r="S24" s="117">
        <v>116</v>
      </c>
      <c r="U24" s="14">
        <v>437.51</v>
      </c>
      <c r="V24" s="15"/>
      <c r="W24" s="110"/>
      <c r="X24" s="69">
        <v>3.3000000000000002E-2</v>
      </c>
      <c r="Y24" s="70">
        <v>240</v>
      </c>
      <c r="Z24" s="71">
        <v>247.62</v>
      </c>
      <c r="AA24" s="40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4"/>
      <c r="AY24" s="74"/>
      <c r="AZ24" s="74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40"/>
    </row>
    <row r="25" spans="1:67" ht="14.1" customHeight="1">
      <c r="A25" s="63">
        <v>230</v>
      </c>
      <c r="B25" s="75">
        <v>88</v>
      </c>
      <c r="C25" s="65">
        <f>INTERCEPT(G24:G27,A24:A27)</f>
        <v>350.74776785714175</v>
      </c>
      <c r="D25" s="104">
        <f>AVERAGE(U35:U36)</f>
        <v>264.69499999999999</v>
      </c>
      <c r="E25" s="66">
        <f>D25-$E$5</f>
        <v>232.715</v>
      </c>
      <c r="F25" s="111">
        <v>180</v>
      </c>
      <c r="G25" s="112">
        <f t="shared" si="0"/>
        <v>1662.1668875</v>
      </c>
      <c r="H25" s="112">
        <f t="shared" si="1"/>
        <v>1888.8260085227273</v>
      </c>
      <c r="I25" s="33">
        <f>$C$24*A25+$C$25</f>
        <v>1732.3684792857143</v>
      </c>
      <c r="J25" s="113">
        <f>((($N$2-(130*$D$2*(((B25+B24)*0.01)/2))*((I25-I24)/(A25-A24))))/((I25+I24)/2))/$D$2</f>
        <v>2.4940169888299248</v>
      </c>
      <c r="K25" s="114">
        <f>$N$2/H25/$D$2</f>
        <v>2.634337162633436</v>
      </c>
      <c r="L25" s="114">
        <f>J25/($D$4/$D$2)</f>
        <v>3.7224134161640672</v>
      </c>
      <c r="M25" s="107">
        <f>(((S25/60)*$J$1)/$D$2)</f>
        <v>4.3627450980392153</v>
      </c>
      <c r="N25" s="19">
        <f>K25-M25</f>
        <v>-1.7284079354057793</v>
      </c>
      <c r="O25" s="114">
        <f>N25/($D$4/$D$2)</f>
        <v>-2.5797133364265363</v>
      </c>
      <c r="P25" s="74"/>
      <c r="Q25" s="30"/>
      <c r="R25" s="131">
        <v>230</v>
      </c>
      <c r="S25" s="117">
        <v>150</v>
      </c>
      <c r="T25" s="13">
        <v>120</v>
      </c>
      <c r="U25" s="14">
        <v>469.54</v>
      </c>
      <c r="V25" s="15"/>
      <c r="W25" s="110"/>
      <c r="X25" s="96">
        <f>AVERAGE(X20:X24)</f>
        <v>3.5000000000000003E-2</v>
      </c>
      <c r="Y25" s="57" t="s">
        <v>107</v>
      </c>
      <c r="Z25" s="96">
        <f>AVERAGE(Z20:Z24)</f>
        <v>262.88199999999995</v>
      </c>
      <c r="AA25" s="30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5"/>
      <c r="AY25" s="95"/>
      <c r="AZ25" s="95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40"/>
    </row>
    <row r="26" spans="1:67" ht="14.1" customHeight="1">
      <c r="A26" s="63">
        <v>235</v>
      </c>
      <c r="B26" s="75">
        <v>98</v>
      </c>
      <c r="C26" s="65"/>
      <c r="D26" s="104">
        <f>AVERAGE(U37:U38)</f>
        <v>299.68</v>
      </c>
      <c r="E26" s="66">
        <f>D26-$E$5</f>
        <v>267.7</v>
      </c>
      <c r="F26" s="111">
        <v>180</v>
      </c>
      <c r="G26" s="112">
        <f t="shared" si="0"/>
        <v>1912.0472499999998</v>
      </c>
      <c r="H26" s="112">
        <f t="shared" si="1"/>
        <v>1951.0686224489796</v>
      </c>
      <c r="I26" s="33">
        <f>$C$24*A26+$C$25</f>
        <v>1762.4037121428571</v>
      </c>
      <c r="J26" s="113">
        <f>((($N$2-(130*$D$2*(((B26+B25)*0.01)/2))*((I26-I25)/(A26-A25))))/((I26+I25)/2))/$D$2</f>
        <v>2.4319482843184588</v>
      </c>
      <c r="K26" s="114">
        <f>$N$2/H26/$D$2</f>
        <v>2.5502970478579963</v>
      </c>
      <c r="L26" s="114">
        <f>J26/($D$4/$D$2)</f>
        <v>3.6297735586842674</v>
      </c>
      <c r="M26" s="107">
        <f>(((S26/60)*$J$1)/$D$2)</f>
        <v>4.3627450980392153</v>
      </c>
      <c r="N26" s="19">
        <f>K26-M26</f>
        <v>-1.812448050181219</v>
      </c>
      <c r="O26" s="114">
        <f>N26/($D$4/$D$2)</f>
        <v>-2.7051463435540586</v>
      </c>
      <c r="P26" s="74"/>
      <c r="Q26" s="30"/>
      <c r="R26" s="131">
        <v>235</v>
      </c>
      <c r="S26" s="117">
        <v>150</v>
      </c>
      <c r="U26" s="14">
        <v>456.12</v>
      </c>
      <c r="V26" s="15"/>
      <c r="W26" s="11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</row>
    <row r="27" spans="1:67" ht="14.1" customHeight="1">
      <c r="A27" s="63">
        <v>240</v>
      </c>
      <c r="B27" s="118"/>
      <c r="C27" s="65"/>
      <c r="D27" s="104">
        <f>AVERAGE(U39:U40)</f>
        <v>272.13499999999999</v>
      </c>
      <c r="E27" s="66">
        <f>D27-$E$5</f>
        <v>240.155</v>
      </c>
      <c r="F27" s="111">
        <v>180</v>
      </c>
      <c r="G27" s="112">
        <f t="shared" si="0"/>
        <v>1715.3070875000001</v>
      </c>
      <c r="H27" s="112" t="e">
        <f t="shared" si="1"/>
        <v>#DIV/0!</v>
      </c>
      <c r="I27" s="33">
        <f>$C$24*A27+$C$25</f>
        <v>1792.4389450000001</v>
      </c>
      <c r="J27" s="113">
        <f>((($N$2-(130*$D$2*(((B27+B26)*0.01)/2))*((I27-I26)/(A27-A26))))/((I27+I26)/2))/$D$2</f>
        <v>2.5841682034341664</v>
      </c>
      <c r="K27" s="114" t="e">
        <f>$N$2/H27/$D$2</f>
        <v>#DIV/0!</v>
      </c>
      <c r="L27" s="114">
        <f>J27/($D$4/$D$2)</f>
        <v>3.856967467812189</v>
      </c>
      <c r="M27" s="107">
        <f>(((S27/60)*$J$1)/$D$2)</f>
        <v>6.2823529411764714</v>
      </c>
      <c r="N27" s="19" t="e">
        <f>K27-M27</f>
        <v>#DIV/0!</v>
      </c>
      <c r="O27" s="114" t="e">
        <f>N27/($D$4/$D$2)</f>
        <v>#DIV/0!</v>
      </c>
      <c r="P27" s="74"/>
      <c r="Q27" s="30"/>
      <c r="R27" s="131">
        <v>240</v>
      </c>
      <c r="S27" s="117">
        <v>216</v>
      </c>
      <c r="T27" s="13">
        <v>150</v>
      </c>
      <c r="U27" s="14">
        <v>421.95</v>
      </c>
      <c r="V27" s="15"/>
      <c r="W27" s="11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</row>
    <row r="28" spans="1:67" ht="14.1" customHeight="1" thickBot="1">
      <c r="A28" s="63"/>
      <c r="B28" s="118"/>
      <c r="C28" s="65"/>
      <c r="D28" s="99"/>
      <c r="E28" s="66"/>
      <c r="F28" s="135"/>
      <c r="G28" s="112"/>
      <c r="H28" s="112"/>
      <c r="I28" s="33"/>
      <c r="J28" s="113"/>
      <c r="K28" s="114"/>
      <c r="L28" s="114"/>
      <c r="M28" s="107"/>
      <c r="N28" s="107"/>
      <c r="O28" s="114"/>
      <c r="P28" s="74"/>
      <c r="Q28" s="30"/>
      <c r="R28" s="108"/>
      <c r="S28" s="117"/>
      <c r="U28" s="14">
        <v>425.72</v>
      </c>
      <c r="V28" s="15"/>
      <c r="W28" s="110"/>
      <c r="X28" s="69"/>
      <c r="Y28" s="13" t="s">
        <v>115</v>
      </c>
    </row>
    <row r="29" spans="1:67" ht="14.1" customHeight="1" thickBot="1">
      <c r="A29" s="119" t="s">
        <v>112</v>
      </c>
      <c r="B29" s="122">
        <f>AVERAGE(B23:B28)</f>
        <v>96</v>
      </c>
      <c r="C29" s="121"/>
      <c r="D29" s="122">
        <f>AVERAGE(D23:D28)</f>
        <v>278.94099999999997</v>
      </c>
      <c r="E29" s="122">
        <f>AVERAGE(E23:E28)</f>
        <v>246.96099999999996</v>
      </c>
      <c r="F29" s="122">
        <f>AVERAGE(F24:F28)</f>
        <v>180</v>
      </c>
      <c r="G29" s="122">
        <f>AVERAGE(G23:G28)</f>
        <v>1763.9189424999997</v>
      </c>
      <c r="H29" s="122">
        <f>AVERAGE(H23:H26)</f>
        <v>1851.4063566065629</v>
      </c>
      <c r="I29" s="122"/>
      <c r="J29" s="122">
        <f t="shared" ref="J29:M29" si="3">AVERAGE(J23:J28)</f>
        <v>2.5173057770104164</v>
      </c>
      <c r="K29" s="123">
        <f>AVERAGE(K23:K26)</f>
        <v>2.7114613277982436</v>
      </c>
      <c r="L29" s="122">
        <f t="shared" si="3"/>
        <v>3.7571728015080845</v>
      </c>
      <c r="M29" s="122">
        <f t="shared" si="3"/>
        <v>4.3511111111111109</v>
      </c>
      <c r="N29" s="123">
        <f>AVERAGE(N23:N26)</f>
        <v>-1.3216541406113425</v>
      </c>
      <c r="O29" s="122">
        <f>AVERAGE(O23:O26)</f>
        <v>-1.9726181203154365</v>
      </c>
      <c r="P29" s="122"/>
      <c r="Q29" s="136"/>
      <c r="R29" s="137"/>
      <c r="S29" s="138"/>
      <c r="T29" s="13">
        <v>180</v>
      </c>
      <c r="U29" s="14">
        <v>325.10000000000002</v>
      </c>
      <c r="V29" s="15"/>
      <c r="W29" s="110"/>
      <c r="X29" s="69"/>
      <c r="Y29" s="13" t="s">
        <v>116</v>
      </c>
    </row>
    <row r="30" spans="1:67" ht="14.1" customHeight="1">
      <c r="A30" s="70"/>
      <c r="B30" s="139"/>
      <c r="C30" s="36"/>
      <c r="D30" s="99"/>
      <c r="E30" s="33"/>
      <c r="F30" s="125" t="s">
        <v>117</v>
      </c>
      <c r="G30" s="33"/>
      <c r="H30" s="33"/>
      <c r="I30" s="140" t="s">
        <v>114</v>
      </c>
      <c r="J30" s="141">
        <f>J29-((B27-B24)*0.25*$D$2*10)/(20*$D$2)</f>
        <v>14.892305777010417</v>
      </c>
      <c r="K30" s="74"/>
      <c r="L30" s="142" t="s">
        <v>33</v>
      </c>
      <c r="M30" s="143">
        <f>J30-M29</f>
        <v>10.541194665899306</v>
      </c>
      <c r="N30" s="19">
        <f>AVERAGE(J24:J25)-M29</f>
        <v>-1.8245578009665913</v>
      </c>
      <c r="O30" s="74"/>
      <c r="P30" s="130">
        <f>$M$29-(((B27-B23)*1.3)/(A27-A23))</f>
        <v>8.6411111111111119</v>
      </c>
      <c r="Q30" s="30"/>
      <c r="R30" s="63"/>
      <c r="S30" s="144"/>
      <c r="U30" s="14">
        <v>334.58</v>
      </c>
      <c r="V30" s="15"/>
      <c r="W30" s="110"/>
      <c r="X30" s="69"/>
      <c r="Y30" s="13" t="s">
        <v>118</v>
      </c>
    </row>
    <row r="31" spans="1:67" ht="14.1" customHeight="1">
      <c r="A31" s="145"/>
      <c r="B31" s="139"/>
      <c r="C31" s="146"/>
      <c r="D31" s="147"/>
      <c r="E31" s="148"/>
      <c r="F31" s="145"/>
      <c r="G31" s="148"/>
      <c r="H31" s="148"/>
      <c r="I31" s="148"/>
      <c r="J31" s="149"/>
      <c r="K31" s="150"/>
      <c r="L31" s="133"/>
      <c r="M31" s="134"/>
      <c r="N31" s="101"/>
      <c r="O31" s="150"/>
      <c r="P31" s="150"/>
      <c r="Q31" s="96"/>
      <c r="R31" s="151"/>
      <c r="S31" s="101" t="s">
        <v>32</v>
      </c>
      <c r="T31" s="13">
        <v>210</v>
      </c>
      <c r="U31" s="14">
        <v>304.01</v>
      </c>
      <c r="V31" s="15"/>
      <c r="W31" s="110"/>
      <c r="X31" s="69"/>
      <c r="Y31" s="13" t="s">
        <v>119</v>
      </c>
    </row>
    <row r="32" spans="1:67" ht="14.1" customHeight="1">
      <c r="A32" s="145"/>
      <c r="B32" s="148"/>
      <c r="C32" s="146"/>
      <c r="D32" s="147"/>
      <c r="E32" s="148"/>
      <c r="F32" s="148"/>
      <c r="G32" s="148"/>
      <c r="H32" s="148"/>
      <c r="I32" s="148"/>
      <c r="J32" s="152"/>
      <c r="K32" s="153"/>
      <c r="L32" s="58"/>
      <c r="M32" s="124"/>
      <c r="N32" s="101"/>
      <c r="O32" s="150"/>
      <c r="P32" s="150"/>
      <c r="Q32" s="96"/>
      <c r="R32" s="145"/>
      <c r="S32" s="58"/>
      <c r="U32" s="14">
        <v>280.8</v>
      </c>
      <c r="V32" s="15"/>
      <c r="W32" s="110"/>
      <c r="X32" s="69"/>
      <c r="Y32" s="13" t="s">
        <v>120</v>
      </c>
    </row>
    <row r="33" spans="1:99" ht="14.1" customHeight="1">
      <c r="A33" s="145"/>
      <c r="B33" s="148"/>
      <c r="C33" s="146"/>
      <c r="D33" s="147"/>
      <c r="E33" s="148"/>
      <c r="F33" s="145"/>
      <c r="G33" s="148"/>
      <c r="H33" s="148"/>
      <c r="I33" s="148"/>
      <c r="J33" s="149"/>
      <c r="K33" s="150"/>
      <c r="L33" s="150"/>
      <c r="M33" s="124"/>
      <c r="N33" s="124"/>
      <c r="O33" s="150"/>
      <c r="P33" s="150"/>
      <c r="Q33" s="96"/>
      <c r="R33" s="145"/>
      <c r="S33" s="58"/>
      <c r="T33" s="13">
        <v>220</v>
      </c>
      <c r="U33" s="14">
        <v>256.18</v>
      </c>
      <c r="V33" s="15"/>
      <c r="W33" s="110"/>
      <c r="X33" s="69"/>
      <c r="Y33" s="20" t="s">
        <v>121</v>
      </c>
    </row>
    <row r="34" spans="1:99" ht="14.1" customHeight="1">
      <c r="A34" s="145"/>
      <c r="B34" s="148"/>
      <c r="C34" s="146"/>
      <c r="D34" s="147"/>
      <c r="E34" s="148"/>
      <c r="F34" s="145"/>
      <c r="G34" s="148"/>
      <c r="H34" s="148"/>
      <c r="I34" s="148"/>
      <c r="J34" s="149"/>
      <c r="K34" s="150"/>
      <c r="L34" s="150"/>
      <c r="M34" s="124"/>
      <c r="N34" s="124"/>
      <c r="O34" s="150"/>
      <c r="P34" s="150"/>
      <c r="Q34" s="96"/>
      <c r="R34" s="145"/>
      <c r="S34" s="58"/>
      <c r="U34" s="14">
        <v>275.39999999999998</v>
      </c>
      <c r="V34" s="15"/>
      <c r="W34" s="110"/>
    </row>
    <row r="35" spans="1:99" ht="14.1" customHeight="1">
      <c r="A35" s="145"/>
      <c r="B35" s="148"/>
      <c r="C35" s="146"/>
      <c r="D35" s="147"/>
      <c r="E35" s="148"/>
      <c r="F35" s="145"/>
      <c r="G35" s="148"/>
      <c r="H35" s="148"/>
      <c r="I35" s="148"/>
      <c r="J35" s="149"/>
      <c r="K35" s="150"/>
      <c r="L35" s="150"/>
      <c r="M35" s="124"/>
      <c r="N35" s="124"/>
      <c r="O35" s="150"/>
      <c r="P35" s="150"/>
      <c r="Q35" s="96"/>
      <c r="R35" s="145"/>
      <c r="S35" s="58"/>
      <c r="T35" s="13">
        <v>230</v>
      </c>
      <c r="U35" s="14">
        <v>260.20999999999998</v>
      </c>
      <c r="V35" s="15"/>
      <c r="W35" s="110"/>
    </row>
    <row r="36" spans="1:99" ht="14.1" customHeight="1">
      <c r="A36" s="145"/>
      <c r="B36" s="139"/>
      <c r="C36" s="146"/>
      <c r="D36" s="147"/>
      <c r="E36" s="148"/>
      <c r="F36" s="145"/>
      <c r="G36" s="148"/>
      <c r="H36" s="148"/>
      <c r="I36" s="148"/>
      <c r="J36" s="149"/>
      <c r="K36" s="150"/>
      <c r="L36" s="150"/>
      <c r="M36" s="124"/>
      <c r="N36" s="124"/>
      <c r="O36" s="150"/>
      <c r="P36" s="150"/>
      <c r="Q36" s="96"/>
      <c r="R36" s="145"/>
      <c r="S36" s="58"/>
      <c r="U36" s="14">
        <v>269.18</v>
      </c>
      <c r="V36" s="15"/>
      <c r="W36" s="110"/>
      <c r="X36"/>
    </row>
    <row r="37" spans="1:99" ht="14.1" customHeight="1">
      <c r="A37" s="145"/>
      <c r="B37" s="139"/>
      <c r="C37" s="146"/>
      <c r="D37" s="147"/>
      <c r="E37" s="148"/>
      <c r="F37" s="145"/>
      <c r="G37" s="148"/>
      <c r="H37" s="148"/>
      <c r="I37" s="148"/>
      <c r="J37" s="149"/>
      <c r="K37" s="150"/>
      <c r="L37" s="150"/>
      <c r="M37" s="124"/>
      <c r="N37" s="124"/>
      <c r="O37" s="150"/>
      <c r="P37" s="150"/>
      <c r="Q37" s="96"/>
      <c r="R37" s="96"/>
      <c r="S37" s="58"/>
      <c r="T37" s="13">
        <v>235</v>
      </c>
      <c r="U37" s="14">
        <v>300.89</v>
      </c>
      <c r="V37" s="15"/>
      <c r="W37" s="15"/>
      <c r="X37" s="6"/>
    </row>
    <row r="38" spans="1:99" s="156" customFormat="1" ht="14.1" customHeight="1">
      <c r="A38" s="154"/>
      <c r="B38" s="139"/>
      <c r="C38" s="155"/>
      <c r="D38" s="139"/>
      <c r="E38" s="139"/>
      <c r="F38" s="139"/>
      <c r="G38" s="139"/>
      <c r="H38" s="139"/>
      <c r="I38" s="139"/>
      <c r="J38" s="124"/>
      <c r="K38" s="124"/>
      <c r="L38" s="124"/>
      <c r="M38" s="124"/>
      <c r="N38" s="124"/>
      <c r="O38" s="124"/>
      <c r="P38" s="124"/>
      <c r="Q38" s="155"/>
      <c r="R38" s="145"/>
      <c r="S38" s="58"/>
      <c r="T38" s="13"/>
      <c r="U38" s="14">
        <v>298.47000000000003</v>
      </c>
      <c r="V38" s="15"/>
      <c r="W38" s="15"/>
      <c r="X38" s="6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</row>
    <row r="39" spans="1:99" s="3" customFormat="1" ht="14.1" customHeight="1">
      <c r="A39" s="157"/>
      <c r="B39" s="158"/>
      <c r="C39" s="159"/>
      <c r="D39" s="160"/>
      <c r="E39" s="160"/>
      <c r="F39" s="161"/>
      <c r="G39" s="160"/>
      <c r="H39" s="148"/>
      <c r="I39" s="162"/>
      <c r="J39" s="163"/>
      <c r="K39" s="150"/>
      <c r="L39" s="155"/>
      <c r="M39" s="134"/>
      <c r="N39" s="155"/>
      <c r="O39" s="155"/>
      <c r="P39" s="155"/>
      <c r="Q39" s="58"/>
      <c r="R39" s="58"/>
      <c r="S39" s="58"/>
      <c r="T39" s="13">
        <v>240</v>
      </c>
      <c r="U39" s="14">
        <v>275.5</v>
      </c>
      <c r="V39" s="15"/>
      <c r="W39" s="15"/>
      <c r="X39" s="6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</row>
    <row r="40" spans="1:99" ht="14.1" customHeight="1">
      <c r="A40" s="164"/>
      <c r="B40" s="165"/>
      <c r="C40" s="164"/>
      <c r="D40" s="148"/>
      <c r="E40" s="164"/>
      <c r="F40" s="164"/>
      <c r="G40" s="96"/>
      <c r="H40" s="101"/>
      <c r="I40" s="58"/>
      <c r="J40" s="155"/>
      <c r="K40" s="166"/>
      <c r="L40" s="167"/>
      <c r="M40" s="168"/>
      <c r="N40" s="134"/>
      <c r="O40" s="169"/>
      <c r="P40" s="169"/>
      <c r="Q40" s="58"/>
      <c r="R40" s="58"/>
      <c r="S40" s="58"/>
      <c r="U40" s="14">
        <v>268.77</v>
      </c>
      <c r="V40" s="15"/>
      <c r="W40" s="15"/>
    </row>
    <row r="41" spans="1:99" ht="14.1" customHeight="1">
      <c r="A41" s="164"/>
      <c r="B41" s="170"/>
      <c r="C41" s="164"/>
      <c r="D41" s="171"/>
      <c r="E41" s="164"/>
      <c r="F41" s="164"/>
      <c r="G41" s="124"/>
      <c r="H41" s="58"/>
      <c r="I41" s="58"/>
      <c r="J41" s="170"/>
      <c r="K41" s="170"/>
      <c r="L41" s="96"/>
      <c r="M41" s="172"/>
      <c r="N41" s="160"/>
      <c r="O41" s="58"/>
      <c r="P41" s="58"/>
      <c r="Q41" s="58"/>
      <c r="R41" s="58"/>
      <c r="S41" s="58"/>
      <c r="U41" s="173"/>
      <c r="V41" s="174"/>
      <c r="W41" s="175"/>
    </row>
    <row r="42" spans="1:99" ht="14.1" customHeight="1">
      <c r="A42" s="3"/>
      <c r="B42" s="3"/>
      <c r="C42" s="3"/>
      <c r="D42" s="33"/>
      <c r="E42" s="3"/>
      <c r="F42" s="3"/>
      <c r="G42" s="19"/>
      <c r="H42" s="40"/>
      <c r="I42" s="40"/>
      <c r="J42" s="30"/>
      <c r="K42" s="30"/>
      <c r="L42" s="30"/>
      <c r="M42" s="30"/>
      <c r="N42" s="33"/>
      <c r="O42" s="33"/>
      <c r="P42" s="33"/>
      <c r="Q42" s="40"/>
      <c r="R42" s="40"/>
      <c r="U42" s="173"/>
      <c r="V42" s="174"/>
      <c r="W42" s="175"/>
    </row>
    <row r="43" spans="1:99" ht="14.1" customHeight="1">
      <c r="A43" s="30"/>
      <c r="B43" s="176"/>
      <c r="C43" s="3"/>
      <c r="D43" s="33"/>
      <c r="E43" s="177"/>
      <c r="F43" s="177"/>
      <c r="G43" s="33"/>
      <c r="H43" s="174"/>
      <c r="I43" s="40"/>
      <c r="J43" s="30"/>
      <c r="K43" s="30"/>
      <c r="L43" s="30"/>
      <c r="M43" s="33"/>
      <c r="N43" s="178"/>
      <c r="O43" s="33"/>
      <c r="P43" s="33"/>
      <c r="Q43" s="40"/>
      <c r="R43" s="40"/>
      <c r="U43" s="173"/>
      <c r="V43" s="174"/>
      <c r="W43" s="175"/>
    </row>
    <row r="44" spans="1:99" ht="14.1" customHeight="1">
      <c r="A44" s="3"/>
      <c r="B44" s="30"/>
      <c r="C44" s="3"/>
      <c r="D44" s="41"/>
      <c r="E44" s="42"/>
      <c r="F44" s="42"/>
      <c r="G44" s="19"/>
      <c r="H44" s="19"/>
      <c r="I44" s="30"/>
      <c r="J44" s="179"/>
      <c r="K44" s="179"/>
      <c r="L44" s="180"/>
      <c r="M44" s="39"/>
      <c r="N44" s="179"/>
      <c r="O44" s="180"/>
      <c r="P44" s="180"/>
      <c r="Q44" s="46"/>
      <c r="R44" s="46"/>
      <c r="U44" s="173"/>
      <c r="V44" s="174"/>
      <c r="W44" s="175"/>
    </row>
    <row r="45" spans="1:99" s="1" customFormat="1" ht="14.1" customHeight="1">
      <c r="A45" s="3"/>
      <c r="B45" s="181"/>
      <c r="C45" s="181"/>
      <c r="D45" s="25"/>
      <c r="E45" s="181"/>
      <c r="F45" s="181"/>
      <c r="G45" s="181"/>
      <c r="H45" s="95"/>
      <c r="I45" s="95"/>
      <c r="J45" s="182"/>
      <c r="K45" s="182"/>
      <c r="L45" s="182"/>
      <c r="M45" s="182"/>
      <c r="N45" s="182"/>
      <c r="O45" s="54"/>
      <c r="P45" s="54"/>
      <c r="Q45" s="55"/>
      <c r="R45" s="55"/>
      <c r="S45" s="13"/>
      <c r="T45" s="13"/>
      <c r="U45" s="173"/>
      <c r="V45" s="40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</row>
    <row r="46" spans="1:99" ht="14.1" customHeight="1">
      <c r="A46" s="70"/>
      <c r="B46" s="33"/>
      <c r="C46" s="36"/>
      <c r="D46" s="33"/>
      <c r="E46" s="33"/>
      <c r="F46" s="33"/>
      <c r="G46" s="33"/>
      <c r="H46" s="33"/>
      <c r="I46" s="33"/>
      <c r="J46" s="74"/>
      <c r="K46" s="74"/>
      <c r="L46" s="74"/>
      <c r="M46" s="30"/>
      <c r="N46" s="19"/>
      <c r="O46" s="74"/>
      <c r="P46" s="74"/>
      <c r="Q46" s="30"/>
      <c r="R46" s="30"/>
      <c r="U46" s="173"/>
    </row>
    <row r="47" spans="1:99" ht="14.1" customHeight="1">
      <c r="A47" s="70"/>
      <c r="B47" s="33"/>
      <c r="C47" s="36"/>
      <c r="D47" s="33"/>
      <c r="E47" s="33"/>
      <c r="F47" s="33"/>
      <c r="G47" s="33"/>
      <c r="H47" s="33"/>
      <c r="I47" s="33"/>
      <c r="J47" s="74"/>
      <c r="K47" s="74"/>
      <c r="L47" s="74"/>
      <c r="M47" s="30"/>
      <c r="N47" s="19"/>
      <c r="O47" s="74"/>
      <c r="P47" s="74"/>
      <c r="Q47" s="30"/>
      <c r="R47" s="30"/>
      <c r="T47" s="40"/>
      <c r="U47" s="173"/>
    </row>
    <row r="48" spans="1:99" s="80" customFormat="1" ht="14.1" customHeight="1">
      <c r="A48" s="183"/>
      <c r="B48" s="25"/>
      <c r="C48" s="184"/>
      <c r="D48" s="25"/>
      <c r="E48" s="25"/>
      <c r="F48" s="25"/>
      <c r="G48" s="25"/>
      <c r="H48" s="25"/>
      <c r="I48" s="25"/>
      <c r="J48" s="95"/>
      <c r="K48" s="95"/>
      <c r="L48" s="95"/>
      <c r="M48" s="95"/>
      <c r="N48" s="95"/>
      <c r="O48" s="95"/>
      <c r="P48" s="95"/>
      <c r="Q48" s="95"/>
      <c r="R48" s="95"/>
      <c r="S48" s="13"/>
      <c r="T48" s="40"/>
      <c r="U48" s="17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</row>
    <row r="49" spans="1:99" ht="14.1" customHeight="1">
      <c r="A49" s="30"/>
      <c r="B49" s="176"/>
      <c r="C49" s="185"/>
      <c r="D49" s="33"/>
      <c r="E49" s="40"/>
      <c r="F49" s="40"/>
      <c r="G49" s="40"/>
      <c r="H49" s="40"/>
      <c r="I49" s="40"/>
      <c r="J49" s="40"/>
      <c r="K49" s="40"/>
      <c r="L49" s="40"/>
      <c r="M49" s="30"/>
      <c r="N49" s="40"/>
      <c r="O49" s="40"/>
      <c r="P49" s="40"/>
      <c r="Q49" s="30"/>
      <c r="R49" s="30"/>
      <c r="T49" s="40"/>
      <c r="U49" s="173"/>
    </row>
    <row r="50" spans="1:99" ht="14.1" customHeight="1">
      <c r="A50" s="30"/>
      <c r="B50" s="176"/>
      <c r="C50" s="185"/>
      <c r="D50" s="33"/>
      <c r="E50" s="40"/>
      <c r="F50" s="40"/>
      <c r="G50" s="40"/>
      <c r="H50" s="40"/>
      <c r="I50" s="40"/>
      <c r="J50" s="40"/>
      <c r="K50" s="40"/>
      <c r="L50" s="40"/>
      <c r="M50" s="30"/>
      <c r="N50" s="40"/>
      <c r="O50" s="40"/>
      <c r="P50" s="40"/>
      <c r="Q50" s="30"/>
      <c r="R50" s="30"/>
      <c r="T50" s="40"/>
      <c r="U50" s="173"/>
    </row>
    <row r="51" spans="1:99" ht="14.1" customHeight="1">
      <c r="A51" s="30"/>
      <c r="B51" s="176"/>
      <c r="C51" s="185"/>
      <c r="D51" s="33"/>
      <c r="E51" s="40"/>
      <c r="F51" s="40"/>
      <c r="G51" s="40"/>
      <c r="H51" s="40"/>
      <c r="I51" s="40"/>
      <c r="J51" s="40"/>
      <c r="K51" s="40"/>
      <c r="L51" s="40"/>
      <c r="M51" s="19"/>
      <c r="N51" s="40"/>
      <c r="O51" s="40"/>
      <c r="P51" s="40"/>
      <c r="Q51" s="30"/>
      <c r="R51" s="30"/>
      <c r="T51" s="40"/>
      <c r="U51" s="173"/>
    </row>
    <row r="52" spans="1:99" ht="14.1" customHeight="1">
      <c r="A52" s="30"/>
      <c r="B52" s="176"/>
      <c r="C52" s="185"/>
      <c r="D52" s="33"/>
      <c r="E52" s="40"/>
      <c r="F52" s="40"/>
      <c r="G52" s="40"/>
      <c r="H52" s="40"/>
      <c r="I52" s="40"/>
      <c r="J52" s="40"/>
      <c r="K52" s="40"/>
      <c r="L52" s="40"/>
      <c r="M52" s="19"/>
      <c r="N52" s="40"/>
      <c r="O52" s="40"/>
      <c r="P52" s="40"/>
      <c r="Q52" s="30"/>
      <c r="R52" s="30"/>
      <c r="U52" s="173"/>
    </row>
    <row r="53" spans="1:99" ht="14.1" customHeight="1">
      <c r="A53" s="30"/>
      <c r="B53" s="176"/>
      <c r="C53" s="186"/>
      <c r="D53" s="33"/>
      <c r="E53" s="33"/>
      <c r="F53" s="33"/>
      <c r="G53" s="33"/>
      <c r="H53" s="33"/>
      <c r="I53" s="33"/>
      <c r="J53" s="187"/>
      <c r="K53" s="188"/>
      <c r="L53" s="40"/>
      <c r="M53" s="19"/>
      <c r="N53" s="40"/>
      <c r="O53" s="40"/>
      <c r="P53" s="40"/>
      <c r="Q53" s="30"/>
      <c r="R53" s="30"/>
      <c r="U53" s="173"/>
    </row>
    <row r="54" spans="1:99" ht="14.1" customHeight="1">
      <c r="A54" s="70"/>
      <c r="B54" s="189"/>
      <c r="C54" s="36"/>
      <c r="D54" s="33"/>
      <c r="E54" s="33"/>
      <c r="F54" s="33"/>
      <c r="G54" s="33"/>
      <c r="H54" s="33"/>
      <c r="I54" s="33"/>
      <c r="J54" s="132"/>
      <c r="K54" s="74"/>
      <c r="L54" s="74"/>
      <c r="M54" s="19"/>
      <c r="N54" s="19"/>
      <c r="O54" s="74"/>
      <c r="P54" s="74"/>
      <c r="Q54" s="30"/>
      <c r="R54" s="30"/>
      <c r="U54" s="173"/>
    </row>
    <row r="55" spans="1:99" ht="14.1" customHeight="1">
      <c r="A55" s="70"/>
      <c r="B55" s="189"/>
      <c r="C55" s="36"/>
      <c r="D55" s="33"/>
      <c r="E55" s="33"/>
      <c r="F55" s="33"/>
      <c r="G55" s="33"/>
      <c r="H55" s="33"/>
      <c r="I55" s="33"/>
      <c r="J55" s="132"/>
      <c r="K55" s="74"/>
      <c r="L55" s="74"/>
      <c r="M55" s="19"/>
      <c r="N55" s="19"/>
      <c r="O55" s="74"/>
      <c r="P55" s="74"/>
      <c r="Q55" s="30"/>
      <c r="R55" s="30"/>
      <c r="U55" s="173"/>
    </row>
    <row r="56" spans="1:99" s="30" customFormat="1" ht="14.1" customHeight="1">
      <c r="A56" s="70"/>
      <c r="B56" s="189"/>
      <c r="C56" s="36"/>
      <c r="D56" s="33"/>
      <c r="E56" s="33"/>
      <c r="F56" s="33"/>
      <c r="G56" s="33"/>
      <c r="H56" s="33"/>
      <c r="I56" s="33"/>
      <c r="J56" s="132"/>
      <c r="K56" s="74"/>
      <c r="L56" s="74"/>
      <c r="M56" s="19"/>
      <c r="N56" s="19"/>
      <c r="O56" s="74"/>
      <c r="P56" s="74"/>
      <c r="S56" s="13"/>
      <c r="T56" s="13"/>
      <c r="U56" s="17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</row>
    <row r="57" spans="1:99" ht="14.1" customHeight="1">
      <c r="A57" s="70"/>
      <c r="B57" s="189"/>
      <c r="C57" s="36"/>
      <c r="D57" s="33"/>
      <c r="E57" s="33"/>
      <c r="F57" s="33"/>
      <c r="G57" s="33"/>
      <c r="H57" s="33"/>
      <c r="I57" s="33"/>
      <c r="J57" s="132"/>
      <c r="K57" s="74"/>
      <c r="L57" s="74"/>
      <c r="M57" s="19"/>
      <c r="N57" s="19"/>
      <c r="O57" s="74"/>
      <c r="P57" s="74"/>
      <c r="Q57" s="30"/>
      <c r="R57" s="30"/>
      <c r="U57" s="173"/>
    </row>
    <row r="58" spans="1:99" ht="14.1" customHeight="1">
      <c r="A58" s="183"/>
      <c r="B58" s="25"/>
      <c r="C58" s="184"/>
      <c r="D58" s="25"/>
      <c r="E58" s="25"/>
      <c r="F58" s="25"/>
      <c r="G58" s="25"/>
      <c r="H58" s="25"/>
      <c r="I58" s="25"/>
      <c r="J58" s="95"/>
      <c r="K58" s="95"/>
      <c r="L58" s="95"/>
      <c r="M58" s="95"/>
      <c r="N58" s="95"/>
      <c r="O58" s="95"/>
      <c r="P58" s="95"/>
      <c r="Q58" s="95"/>
      <c r="R58" s="95"/>
      <c r="U58" s="173"/>
    </row>
    <row r="59" spans="1:99" s="115" customFormat="1" ht="14.1" customHeight="1">
      <c r="A59" s="40"/>
      <c r="B59" s="40"/>
      <c r="C59" s="40"/>
      <c r="D59" s="19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13"/>
      <c r="T59" s="13"/>
      <c r="U59" s="17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</row>
    <row r="60" spans="1:99" s="30" customFormat="1" ht="14.1" customHeight="1">
      <c r="A60" s="191"/>
      <c r="B60" s="40"/>
      <c r="C60" s="40"/>
      <c r="D60" s="19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13"/>
      <c r="T60" s="13"/>
      <c r="U60" s="17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</row>
    <row r="61" spans="1:99" ht="14.1" customHeight="1">
      <c r="A61" s="40"/>
      <c r="B61" s="40"/>
      <c r="C61" s="40"/>
      <c r="D61" s="19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U61" s="173"/>
    </row>
    <row r="62" spans="1:99" ht="14.1" customHeight="1">
      <c r="A62" s="40"/>
      <c r="B62" s="40"/>
      <c r="C62" s="40"/>
      <c r="D62" s="19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U62" s="173"/>
    </row>
    <row r="63" spans="1:99" ht="14.1" customHeight="1">
      <c r="A63" s="40"/>
      <c r="B63" s="40"/>
      <c r="C63" s="40"/>
      <c r="D63" s="19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U63" s="173"/>
    </row>
    <row r="64" spans="1:99" s="156" customFormat="1" ht="14.1" customHeight="1">
      <c r="A64" s="30"/>
      <c r="B64" s="189"/>
      <c r="C64" s="36"/>
      <c r="D64" s="33"/>
      <c r="E64" s="189"/>
      <c r="F64" s="189"/>
      <c r="G64" s="19"/>
      <c r="H64" s="30"/>
      <c r="I64" s="30"/>
      <c r="J64" s="30"/>
      <c r="K64" s="30"/>
      <c r="L64" s="30"/>
      <c r="M64" s="30"/>
      <c r="N64" s="19"/>
      <c r="O64" s="30"/>
      <c r="P64" s="30"/>
      <c r="Q64" s="40"/>
      <c r="R64" s="40"/>
      <c r="S64" s="13"/>
      <c r="T64" s="13"/>
      <c r="U64" s="17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</row>
    <row r="65" spans="1:21" s="13" customFormat="1" ht="14.1" customHeight="1">
      <c r="A65" s="30"/>
      <c r="B65" s="189"/>
      <c r="C65" s="36"/>
      <c r="D65" s="33"/>
      <c r="E65" s="189"/>
      <c r="F65" s="189"/>
      <c r="G65" s="19"/>
      <c r="H65" s="30"/>
      <c r="I65" s="30"/>
      <c r="J65" s="30"/>
      <c r="K65" s="30"/>
      <c r="L65" s="30"/>
      <c r="M65" s="30"/>
      <c r="N65" s="19"/>
      <c r="O65" s="30"/>
      <c r="P65" s="30"/>
      <c r="Q65" s="40"/>
      <c r="R65" s="40"/>
      <c r="U65" s="173"/>
    </row>
    <row r="66" spans="1:21" s="13" customFormat="1" ht="14.1" customHeight="1">
      <c r="A66" s="12"/>
      <c r="B66" s="192"/>
      <c r="C66" s="65"/>
      <c r="D66" s="66"/>
      <c r="E66" s="192"/>
      <c r="F66" s="192"/>
      <c r="G66" s="68"/>
      <c r="H66" s="12"/>
      <c r="I66" s="12"/>
      <c r="J66" s="12"/>
      <c r="K66" s="12"/>
      <c r="L66" s="12"/>
      <c r="M66" s="12"/>
      <c r="N66" s="68"/>
      <c r="O66" s="12"/>
      <c r="P66" s="12"/>
      <c r="U66" s="173"/>
    </row>
    <row r="67" spans="1:21" ht="14.1" customHeight="1">
      <c r="C67" s="65"/>
      <c r="U67" s="173"/>
    </row>
    <row r="68" spans="1:21" ht="14.1" customHeight="1">
      <c r="A68" s="13"/>
      <c r="B68" s="13"/>
      <c r="C68" s="13"/>
      <c r="D68" s="97"/>
      <c r="E68" s="13"/>
      <c r="F68" s="13"/>
      <c r="G68" s="13"/>
      <c r="H68" s="13"/>
      <c r="I68" s="13"/>
      <c r="J68" s="13"/>
      <c r="M68" s="13"/>
      <c r="N68" s="13"/>
      <c r="O68" s="13"/>
      <c r="P68" s="13"/>
      <c r="U68" s="173"/>
    </row>
    <row r="69" spans="1:21" ht="14.1" customHeight="1">
      <c r="A69" s="13"/>
      <c r="B69" s="13"/>
      <c r="C69" s="13"/>
      <c r="D69" s="97"/>
      <c r="E69" s="13"/>
      <c r="F69" s="13"/>
      <c r="G69" s="13"/>
      <c r="H69" s="13"/>
      <c r="I69" s="13"/>
      <c r="J69" s="13"/>
      <c r="M69" s="13"/>
      <c r="N69" s="13"/>
      <c r="O69" s="13"/>
      <c r="P69" s="13"/>
      <c r="U69" s="173"/>
    </row>
    <row r="70" spans="1:21" ht="14.1" customHeight="1">
      <c r="C70" s="65"/>
      <c r="U70" s="173"/>
    </row>
    <row r="71" spans="1:21" ht="14.1" customHeight="1">
      <c r="C71" s="65"/>
      <c r="Q71" s="13"/>
      <c r="R71" s="13"/>
    </row>
    <row r="72" spans="1:21" ht="14.1" customHeight="1">
      <c r="C72" s="65"/>
      <c r="Q72" s="13"/>
      <c r="R72" s="13"/>
    </row>
    <row r="73" spans="1:21" ht="14.1" customHeight="1">
      <c r="C73" s="65"/>
    </row>
    <row r="74" spans="1:21" ht="14.1" customHeight="1">
      <c r="C74" s="65"/>
    </row>
  </sheetData>
  <pageMargins left="0.75" right="0.5" top="1" bottom="0.5" header="0.5" footer="0.5"/>
  <pageSetup scale="70" orientation="landscape" r:id="rId1"/>
  <headerFooter alignWithMargins="0">
    <oddHeader>&amp;R&amp;D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U74"/>
  <sheetViews>
    <sheetView topLeftCell="P1" zoomScale="87" zoomScaleNormal="87" workbookViewId="0">
      <selection activeCell="AB11" sqref="AB11:CQ11"/>
    </sheetView>
  </sheetViews>
  <sheetFormatPr defaultColWidth="13.7109375" defaultRowHeight="14.1" customHeight="1"/>
  <cols>
    <col min="1" max="1" width="6.28515625" style="12" customWidth="1"/>
    <col min="2" max="2" width="16.5703125" style="192" customWidth="1"/>
    <col min="3" max="3" width="8.28515625" style="12" customWidth="1"/>
    <col min="4" max="4" width="11.140625" style="66" customWidth="1"/>
    <col min="5" max="5" width="12.85546875" style="192" customWidth="1"/>
    <col min="6" max="6" width="9.28515625" style="192" customWidth="1"/>
    <col min="7" max="7" width="9.140625" style="68" customWidth="1"/>
    <col min="8" max="8" width="10.85546875" style="12" customWidth="1"/>
    <col min="9" max="9" width="13.140625" style="12" customWidth="1"/>
    <col min="10" max="10" width="12.28515625" style="12" customWidth="1"/>
    <col min="11" max="11" width="10.140625" style="12" customWidth="1"/>
    <col min="12" max="12" width="14.42578125" style="12" customWidth="1"/>
    <col min="13" max="13" width="8.85546875" style="12" customWidth="1"/>
    <col min="14" max="14" width="17.140625" style="68" customWidth="1"/>
    <col min="15" max="15" width="15.7109375" style="12" customWidth="1"/>
    <col min="16" max="16" width="10.85546875" style="12" customWidth="1"/>
    <col min="17" max="17" width="6.140625" style="12" customWidth="1"/>
    <col min="18" max="18" width="7.28515625" style="12" customWidth="1"/>
    <col min="19" max="19" width="12" style="13" customWidth="1"/>
    <col min="20" max="20" width="10.42578125" style="13" customWidth="1"/>
    <col min="21" max="21" width="13.7109375" style="13" customWidth="1"/>
    <col min="22" max="22" width="2.5703125" style="13" customWidth="1"/>
    <col min="23" max="29" width="13.7109375" style="13" customWidth="1"/>
    <col min="30" max="31" width="25" style="13" customWidth="1"/>
    <col min="32" max="34" width="13.7109375" style="13" customWidth="1"/>
    <col min="35" max="35" width="19.85546875" style="13" customWidth="1"/>
    <col min="36" max="36" width="19.5703125" style="13" customWidth="1"/>
    <col min="37" max="37" width="27.42578125" style="13" customWidth="1"/>
    <col min="38" max="38" width="31.42578125" style="13" customWidth="1"/>
    <col min="39" max="39" width="31.28515625" style="13" customWidth="1"/>
    <col min="40" max="45" width="27.42578125" style="13" customWidth="1"/>
    <col min="46" max="46" width="31.28515625" style="13" customWidth="1"/>
    <col min="47" max="47" width="35.42578125" style="13" customWidth="1"/>
    <col min="48" max="50" width="13.7109375" style="13" customWidth="1"/>
    <col min="51" max="52" width="17.28515625" style="13" customWidth="1"/>
    <col min="53" max="60" width="17.5703125" style="13" customWidth="1"/>
    <col min="61" max="65" width="20.42578125" style="13" customWidth="1"/>
    <col min="66" max="68" width="13.7109375" style="13" customWidth="1"/>
    <col min="69" max="69" width="18.7109375" style="13" customWidth="1"/>
    <col min="70" max="72" width="13.7109375" style="13" customWidth="1"/>
    <col min="73" max="73" width="17.28515625" style="13" customWidth="1"/>
    <col min="74" max="74" width="16.85546875" style="13" customWidth="1"/>
    <col min="75" max="75" width="13.7109375" style="13" customWidth="1"/>
    <col min="76" max="76" width="17" style="13" customWidth="1"/>
    <col min="77" max="81" width="17.85546875" style="13" customWidth="1"/>
    <col min="82" max="92" width="13.7109375" style="13" customWidth="1"/>
    <col min="93" max="93" width="26.140625" style="13" customWidth="1"/>
    <col min="94" max="94" width="25.7109375" style="13" customWidth="1"/>
    <col min="95" max="95" width="22.85546875" style="13" customWidth="1"/>
    <col min="96" max="99" width="13.7109375" style="13" customWidth="1"/>
    <col min="100" max="16384" width="13.7109375" style="12"/>
  </cols>
  <sheetData>
    <row r="1" spans="1:99" ht="14.1" customHeight="1">
      <c r="A1" s="1" t="s">
        <v>0</v>
      </c>
      <c r="B1" s="2" t="s">
        <v>124</v>
      </c>
      <c r="C1" s="3" t="s">
        <v>1</v>
      </c>
      <c r="D1" s="4" t="s">
        <v>164</v>
      </c>
      <c r="E1" s="1" t="s">
        <v>2</v>
      </c>
      <c r="F1" s="1"/>
      <c r="G1" s="5">
        <v>44</v>
      </c>
      <c r="H1" s="6"/>
      <c r="I1" s="6" t="s">
        <v>3</v>
      </c>
      <c r="J1" s="5">
        <v>178</v>
      </c>
      <c r="K1" s="7"/>
      <c r="L1" s="7"/>
      <c r="M1" s="8" t="s">
        <v>4</v>
      </c>
      <c r="N1" s="9">
        <f>((AVERAGE(W7:W8))*20)</f>
        <v>6180695</v>
      </c>
      <c r="O1" s="10">
        <f>(O3*20)</f>
        <v>6633300.5095499996</v>
      </c>
      <c r="P1" s="10"/>
      <c r="Q1" s="11" t="s">
        <v>5</v>
      </c>
      <c r="S1" s="13">
        <v>-120</v>
      </c>
      <c r="T1" s="13" t="s">
        <v>6</v>
      </c>
      <c r="U1" s="14">
        <v>29.34</v>
      </c>
      <c r="V1" s="15"/>
      <c r="W1" s="15" t="s">
        <v>7</v>
      </c>
    </row>
    <row r="2" spans="1:99" ht="14.1" customHeight="1" thickBot="1">
      <c r="A2" s="16" t="s">
        <v>8</v>
      </c>
      <c r="B2" s="17">
        <v>42153</v>
      </c>
      <c r="C2" s="3" t="s">
        <v>9</v>
      </c>
      <c r="D2" s="18">
        <v>77.3</v>
      </c>
      <c r="E2" s="3" t="s">
        <v>10</v>
      </c>
      <c r="F2" s="3"/>
      <c r="G2" s="19">
        <f>D2/(D3/100*D3/100)</f>
        <v>31.682353461942654</v>
      </c>
      <c r="H2" s="13"/>
      <c r="I2" s="20" t="s">
        <v>11</v>
      </c>
      <c r="J2" s="21"/>
      <c r="K2" s="22"/>
      <c r="L2" s="23"/>
      <c r="M2" s="24" t="s">
        <v>12</v>
      </c>
      <c r="N2" s="25">
        <f>(O1*0.068)</f>
        <v>451064.43464940001</v>
      </c>
      <c r="O2" s="13"/>
      <c r="P2" s="13"/>
      <c r="Q2" s="11"/>
      <c r="R2" s="26"/>
      <c r="T2" s="13" t="s">
        <v>6</v>
      </c>
      <c r="U2" s="14">
        <v>46.17</v>
      </c>
      <c r="V2" s="15"/>
      <c r="W2" s="27">
        <v>118503.8</v>
      </c>
    </row>
    <row r="3" spans="1:99" ht="14.1" customHeight="1" thickTop="1" thickBot="1">
      <c r="A3" s="16" t="s">
        <v>13</v>
      </c>
      <c r="B3" s="28" t="s">
        <v>167</v>
      </c>
      <c r="C3" s="3" t="s">
        <v>15</v>
      </c>
      <c r="D3" s="29">
        <v>156.19999999999999</v>
      </c>
      <c r="E3" s="3" t="s">
        <v>16</v>
      </c>
      <c r="F3" s="3"/>
      <c r="G3" s="19">
        <f>SQRT(((D2*D3)/3600))</f>
        <v>1.8313822951833707</v>
      </c>
      <c r="H3" s="13"/>
      <c r="I3" s="20"/>
      <c r="J3" s="30"/>
      <c r="K3" s="30"/>
      <c r="L3" s="30"/>
      <c r="M3" s="31" t="s">
        <v>17</v>
      </c>
      <c r="N3" s="32">
        <f>($O$1/$N$1)*100</f>
        <v>107.32289021784767</v>
      </c>
      <c r="O3" s="33">
        <f>((AVERAGE(W2:W5))*2.85714)</f>
        <v>331665.02547749999</v>
      </c>
      <c r="P3" s="33"/>
      <c r="Q3" s="34" t="s">
        <v>18</v>
      </c>
      <c r="R3" s="13"/>
      <c r="T3" s="13">
        <v>-30</v>
      </c>
      <c r="U3" s="14">
        <v>529.76</v>
      </c>
      <c r="V3" s="15"/>
      <c r="W3" s="27">
        <v>116913.60000000001</v>
      </c>
    </row>
    <row r="4" spans="1:99" ht="14.1" customHeight="1" thickTop="1">
      <c r="B4" s="35"/>
      <c r="C4" s="3" t="s">
        <v>19</v>
      </c>
      <c r="D4" s="19">
        <v>43.845999999999997</v>
      </c>
      <c r="E4" s="37" t="s">
        <v>20</v>
      </c>
      <c r="F4" s="37"/>
      <c r="G4" s="38">
        <v>0.41</v>
      </c>
      <c r="H4" s="13"/>
      <c r="I4" s="20"/>
      <c r="J4" s="30"/>
      <c r="K4" s="30"/>
      <c r="L4" s="30"/>
      <c r="M4" s="33"/>
      <c r="N4" s="39"/>
      <c r="O4" s="30"/>
      <c r="P4" s="30"/>
      <c r="Q4" s="30"/>
      <c r="R4" s="30"/>
      <c r="U4" s="14">
        <v>528.55999999999995</v>
      </c>
      <c r="V4" s="15"/>
      <c r="W4" s="27">
        <v>115543.2</v>
      </c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</row>
    <row r="5" spans="1:99" ht="14.1" customHeight="1" thickBot="1">
      <c r="A5" s="16"/>
      <c r="B5" s="30"/>
      <c r="C5" s="3"/>
      <c r="D5" s="41" t="s">
        <v>21</v>
      </c>
      <c r="E5" s="42">
        <f>AVERAGE(U1:U2)</f>
        <v>37.755000000000003</v>
      </c>
      <c r="F5" s="42"/>
      <c r="G5" s="19"/>
      <c r="H5" s="30"/>
      <c r="I5" s="30"/>
      <c r="J5" s="43" t="s">
        <v>22</v>
      </c>
      <c r="K5" s="43"/>
      <c r="L5" s="44" t="s">
        <v>23</v>
      </c>
      <c r="M5" s="45"/>
      <c r="N5" s="43" t="s">
        <v>22</v>
      </c>
      <c r="O5" s="44" t="s">
        <v>23</v>
      </c>
      <c r="P5" s="44" t="s">
        <v>24</v>
      </c>
      <c r="Q5" s="46"/>
      <c r="R5" s="46"/>
      <c r="T5" s="13">
        <v>-20</v>
      </c>
      <c r="U5" s="14">
        <v>510.55</v>
      </c>
      <c r="V5" s="15"/>
      <c r="W5" s="27">
        <v>113370.9</v>
      </c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</row>
    <row r="6" spans="1:99" s="1" customFormat="1" ht="14.1" customHeight="1">
      <c r="A6" s="47" t="s">
        <v>25</v>
      </c>
      <c r="B6" s="48" t="s">
        <v>26</v>
      </c>
      <c r="C6" s="48"/>
      <c r="D6" s="49" t="s">
        <v>27</v>
      </c>
      <c r="E6" s="48" t="s">
        <v>28</v>
      </c>
      <c r="F6" s="48"/>
      <c r="G6" s="48" t="s">
        <v>29</v>
      </c>
      <c r="H6" s="50" t="s">
        <v>30</v>
      </c>
      <c r="I6" s="50"/>
      <c r="J6" s="51" t="s">
        <v>31</v>
      </c>
      <c r="K6" s="52"/>
      <c r="L6" s="52" t="s">
        <v>31</v>
      </c>
      <c r="M6" s="52" t="s">
        <v>32</v>
      </c>
      <c r="N6" s="52" t="s">
        <v>33</v>
      </c>
      <c r="O6" s="53" t="s">
        <v>34</v>
      </c>
      <c r="P6" s="54"/>
      <c r="Q6" s="55"/>
      <c r="R6" s="55"/>
      <c r="S6" s="13"/>
      <c r="T6" s="13"/>
      <c r="U6" s="14">
        <v>526.85</v>
      </c>
      <c r="V6" s="15"/>
      <c r="W6" s="56" t="s">
        <v>35</v>
      </c>
      <c r="X6" s="13" t="s">
        <v>36</v>
      </c>
      <c r="Y6" s="57" t="s">
        <v>37</v>
      </c>
      <c r="Z6" s="58" t="s">
        <v>38</v>
      </c>
      <c r="AA6" s="40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60"/>
      <c r="AY6" s="60"/>
      <c r="AZ6" s="60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60"/>
      <c r="BO6" s="60"/>
      <c r="BP6" s="60"/>
      <c r="BQ6" s="59"/>
      <c r="BR6" s="59"/>
      <c r="BS6" s="59"/>
      <c r="BT6" s="59"/>
      <c r="BU6" s="59"/>
      <c r="BV6" s="59"/>
      <c r="BW6" s="59"/>
      <c r="BX6" s="59"/>
      <c r="BY6" s="59"/>
      <c r="BZ6" s="61"/>
      <c r="CA6" s="61"/>
      <c r="CB6" s="61"/>
      <c r="CC6" s="61"/>
      <c r="CD6" s="40"/>
      <c r="CE6" s="61"/>
      <c r="CF6" s="61"/>
      <c r="CG6" s="33"/>
      <c r="CH6" s="40"/>
      <c r="CI6" s="30"/>
      <c r="CJ6" s="30"/>
      <c r="CK6" s="30"/>
      <c r="CL6" s="30"/>
      <c r="CM6" s="30"/>
      <c r="CN6" s="30"/>
      <c r="CO6" s="30"/>
      <c r="CP6" s="62"/>
      <c r="CQ6" s="62"/>
      <c r="CR6" s="13"/>
      <c r="CS6" s="13"/>
      <c r="CT6" s="13"/>
      <c r="CU6" s="13"/>
    </row>
    <row r="7" spans="1:99" ht="14.1" customHeight="1">
      <c r="A7" s="63">
        <v>-30</v>
      </c>
      <c r="B7" s="64">
        <v>98</v>
      </c>
      <c r="C7" s="65"/>
      <c r="D7" s="42">
        <f>AVERAGE(U3:U4)</f>
        <v>529.16</v>
      </c>
      <c r="E7" s="66">
        <f>D7-$E$5</f>
        <v>491.40499999999997</v>
      </c>
      <c r="F7" s="66"/>
      <c r="G7" s="66">
        <f>($E7*7.1425)</f>
        <v>3509.8602124999998</v>
      </c>
      <c r="H7" s="66">
        <f>($G7/($B7*0.01))</f>
        <v>3581.4900127551018</v>
      </c>
      <c r="I7" s="66"/>
      <c r="J7" s="67">
        <f>$N$2/$H7/$D$2</f>
        <v>1.6292785766272342</v>
      </c>
      <c r="K7" s="67"/>
      <c r="L7" s="67">
        <f>J7/($D$4/$D$2)</f>
        <v>2.8723996253543129</v>
      </c>
      <c r="N7" s="68">
        <f>J7-M7</f>
        <v>1.6292785766272342</v>
      </c>
      <c r="O7" s="67">
        <f>N7/($D$4/$D$2)</f>
        <v>2.8723996253543129</v>
      </c>
      <c r="P7" s="67"/>
      <c r="Q7" s="30"/>
      <c r="R7" s="30"/>
      <c r="T7" s="13">
        <v>-10</v>
      </c>
      <c r="U7" s="14">
        <v>512.54999999999995</v>
      </c>
      <c r="V7" s="15"/>
      <c r="W7" s="27">
        <v>302181.8</v>
      </c>
      <c r="X7" s="69">
        <v>0.58299999999999996</v>
      </c>
      <c r="Y7" s="70">
        <v>-30</v>
      </c>
      <c r="Z7" s="71">
        <v>16.710999999999999</v>
      </c>
      <c r="AA7" s="40"/>
      <c r="AB7" s="72"/>
      <c r="AC7" s="72"/>
      <c r="AD7" s="72"/>
      <c r="AE7" s="72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19"/>
      <c r="AY7" s="74"/>
      <c r="AZ7" s="74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</row>
    <row r="8" spans="1:99" ht="14.1" customHeight="1">
      <c r="A8" s="63">
        <v>-20</v>
      </c>
      <c r="B8" s="64">
        <v>99</v>
      </c>
      <c r="C8" s="65"/>
      <c r="D8" s="66">
        <f>AVERAGE(U5:U6)</f>
        <v>518.70000000000005</v>
      </c>
      <c r="E8" s="66">
        <f>D8-$E$5</f>
        <v>480.94500000000005</v>
      </c>
      <c r="F8" s="66"/>
      <c r="G8" s="66">
        <f>($E8*7.1425)</f>
        <v>3435.1496625000004</v>
      </c>
      <c r="H8" s="66">
        <f>($G8/($B8*0.01))</f>
        <v>3469.8481439393945</v>
      </c>
      <c r="I8" s="66"/>
      <c r="J8" s="67">
        <f>$N$2/H8/$D$2</f>
        <v>1.6817003823001333</v>
      </c>
      <c r="K8" s="67"/>
      <c r="L8" s="67">
        <f>J8/($D$4/$D$2)</f>
        <v>2.9648186733521942</v>
      </c>
      <c r="N8" s="68">
        <f>J8-M8</f>
        <v>1.6817003823001333</v>
      </c>
      <c r="O8" s="67">
        <f>N8/($D$4/$D$2)</f>
        <v>2.9648186733521942</v>
      </c>
      <c r="P8" s="67"/>
      <c r="Q8" s="30"/>
      <c r="R8" s="30"/>
      <c r="U8" s="14">
        <v>494.5</v>
      </c>
      <c r="V8" s="15"/>
      <c r="W8" s="27">
        <v>315887.7</v>
      </c>
      <c r="X8" s="69">
        <v>0.77800000000000002</v>
      </c>
      <c r="Y8" s="70">
        <v>-20</v>
      </c>
      <c r="Z8" s="71">
        <v>10.478999999999999</v>
      </c>
      <c r="AA8" s="40"/>
      <c r="AB8" s="72"/>
      <c r="AC8" s="72"/>
      <c r="AD8" s="72"/>
      <c r="AE8" s="72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19"/>
      <c r="AY8" s="74"/>
      <c r="AZ8" s="74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</row>
    <row r="9" spans="1:99" ht="14.1" customHeight="1" thickBot="1">
      <c r="A9" s="63">
        <v>-10</v>
      </c>
      <c r="B9" s="75">
        <v>98</v>
      </c>
      <c r="C9" s="65"/>
      <c r="D9" s="66">
        <f>AVERAGE(U7:U8)</f>
        <v>503.52499999999998</v>
      </c>
      <c r="E9" s="66">
        <f>D9-$E$5</f>
        <v>465.77</v>
      </c>
      <c r="F9" s="66"/>
      <c r="G9" s="66">
        <f>($E9*7.1425)</f>
        <v>3326.7622249999999</v>
      </c>
      <c r="H9" s="66">
        <f>($G9/($B9*0.01))</f>
        <v>3394.6553316326531</v>
      </c>
      <c r="I9" s="66"/>
      <c r="J9" s="67">
        <f>$N$2/H9/$D$2</f>
        <v>1.7189506386145652</v>
      </c>
      <c r="K9" s="67"/>
      <c r="L9" s="67">
        <f>J9/($D$4/$D$2)</f>
        <v>3.0304904521485629</v>
      </c>
      <c r="N9" s="68">
        <f>J9-M9</f>
        <v>1.7189506386145652</v>
      </c>
      <c r="O9" s="67">
        <f>N9/($D$4/$D$2)</f>
        <v>3.0304904521485629</v>
      </c>
      <c r="P9" s="67"/>
      <c r="Q9" s="30"/>
      <c r="R9" s="30"/>
      <c r="T9" s="13">
        <v>-5</v>
      </c>
      <c r="U9" s="14">
        <v>535.86</v>
      </c>
      <c r="V9" s="15"/>
      <c r="W9" s="76">
        <v>309738</v>
      </c>
      <c r="X9" s="69">
        <v>0.67</v>
      </c>
      <c r="Y9" s="70">
        <v>-10</v>
      </c>
      <c r="Z9" s="71">
        <v>13.063000000000001</v>
      </c>
      <c r="AA9" s="40"/>
      <c r="AB9" s="72"/>
      <c r="AC9" s="72"/>
      <c r="AD9" s="72"/>
      <c r="AE9" s="72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19"/>
      <c r="AY9" s="74"/>
      <c r="AZ9" s="74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</row>
    <row r="10" spans="1:99" s="80" customFormat="1" ht="14.1" customHeight="1">
      <c r="A10" s="77">
        <v>0</v>
      </c>
      <c r="B10" s="195">
        <v>99</v>
      </c>
      <c r="C10" s="65"/>
      <c r="D10" s="66">
        <f>AVERAGE(U11:U12)</f>
        <v>546.41499999999996</v>
      </c>
      <c r="E10" s="66">
        <f>D10-$E$5</f>
        <v>508.65999999999997</v>
      </c>
      <c r="F10" s="66"/>
      <c r="G10" s="78">
        <f>($E10*7.1425)</f>
        <v>3633.1040499999999</v>
      </c>
      <c r="H10" s="78">
        <f>($G10/($B10*0.01))</f>
        <v>3669.8020707070705</v>
      </c>
      <c r="I10" s="78"/>
      <c r="J10" s="79">
        <f>$N$2/H10/$D$2</f>
        <v>1.5900707552497499</v>
      </c>
      <c r="K10" s="79"/>
      <c r="L10" s="67">
        <f>J10/($D$4/$D$2)</f>
        <v>2.8032766815856789</v>
      </c>
      <c r="N10" s="81">
        <f>J10-M10</f>
        <v>1.5900707552497499</v>
      </c>
      <c r="O10" s="67">
        <f>N10/($D$4/$D$2)</f>
        <v>2.8032766815856789</v>
      </c>
      <c r="P10" s="67"/>
      <c r="Q10" s="30"/>
      <c r="R10" s="30"/>
      <c r="S10" s="13"/>
      <c r="T10" s="13" t="s">
        <v>39</v>
      </c>
      <c r="U10" s="14">
        <v>542.29</v>
      </c>
      <c r="V10" s="15"/>
      <c r="W10" s="15"/>
      <c r="X10" s="69">
        <v>0.67700000000000005</v>
      </c>
      <c r="Y10" s="70">
        <v>0</v>
      </c>
      <c r="Z10" s="82">
        <v>13.068</v>
      </c>
      <c r="AA10" s="30"/>
      <c r="AB10" s="83" t="s">
        <v>40</v>
      </c>
      <c r="AC10" s="83" t="s">
        <v>41</v>
      </c>
      <c r="AD10" s="83" t="s">
        <v>42</v>
      </c>
      <c r="AE10" s="83" t="s">
        <v>43</v>
      </c>
      <c r="AF10" s="83" t="s">
        <v>44</v>
      </c>
      <c r="AG10" s="83" t="s">
        <v>45</v>
      </c>
      <c r="AH10" s="83" t="s">
        <v>46</v>
      </c>
      <c r="AI10" s="83" t="s">
        <v>47</v>
      </c>
      <c r="AJ10" s="83" t="s">
        <v>48</v>
      </c>
      <c r="AK10" s="83" t="s">
        <v>49</v>
      </c>
      <c r="AL10" s="83" t="s">
        <v>50</v>
      </c>
      <c r="AM10" s="83" t="s">
        <v>51</v>
      </c>
      <c r="AN10" s="83" t="s">
        <v>52</v>
      </c>
      <c r="AO10" s="83" t="s">
        <v>53</v>
      </c>
      <c r="AP10" s="83" t="s">
        <v>54</v>
      </c>
      <c r="AQ10" s="83" t="s">
        <v>55</v>
      </c>
      <c r="AR10" s="83" t="s">
        <v>56</v>
      </c>
      <c r="AS10" s="83" t="s">
        <v>57</v>
      </c>
      <c r="AT10" s="83" t="s">
        <v>58</v>
      </c>
      <c r="AU10" s="83" t="s">
        <v>59</v>
      </c>
      <c r="AV10" s="84" t="s">
        <v>60</v>
      </c>
      <c r="AW10" s="84" t="s">
        <v>61</v>
      </c>
      <c r="AX10" s="85" t="s">
        <v>62</v>
      </c>
      <c r="AY10" s="85" t="s">
        <v>63</v>
      </c>
      <c r="AZ10" s="85" t="s">
        <v>64</v>
      </c>
      <c r="BA10" s="86" t="s">
        <v>65</v>
      </c>
      <c r="BB10" s="86" t="s">
        <v>66</v>
      </c>
      <c r="BC10" s="86" t="s">
        <v>67</v>
      </c>
      <c r="BD10" s="86" t="s">
        <v>68</v>
      </c>
      <c r="BE10" s="86" t="s">
        <v>69</v>
      </c>
      <c r="BF10" s="86" t="s">
        <v>70</v>
      </c>
      <c r="BG10" s="86" t="s">
        <v>71</v>
      </c>
      <c r="BH10" s="86" t="s">
        <v>72</v>
      </c>
      <c r="BI10" s="86" t="s">
        <v>73</v>
      </c>
      <c r="BJ10" s="86" t="s">
        <v>74</v>
      </c>
      <c r="BK10" s="86" t="s">
        <v>75</v>
      </c>
      <c r="BL10" s="86" t="s">
        <v>76</v>
      </c>
      <c r="BM10" s="86" t="s">
        <v>77</v>
      </c>
      <c r="BN10" s="87" t="s">
        <v>78</v>
      </c>
      <c r="BO10" s="87" t="s">
        <v>79</v>
      </c>
      <c r="BP10" s="87" t="s">
        <v>80</v>
      </c>
      <c r="BQ10" s="88" t="s">
        <v>81</v>
      </c>
      <c r="BR10" s="88" t="s">
        <v>82</v>
      </c>
      <c r="BS10" s="88" t="s">
        <v>83</v>
      </c>
      <c r="BT10" s="88" t="s">
        <v>84</v>
      </c>
      <c r="BU10" s="88" t="s">
        <v>85</v>
      </c>
      <c r="BV10" s="88" t="s">
        <v>86</v>
      </c>
      <c r="BW10" s="88" t="s">
        <v>87</v>
      </c>
      <c r="BX10" s="88" t="s">
        <v>88</v>
      </c>
      <c r="BY10" s="88" t="s">
        <v>89</v>
      </c>
      <c r="BZ10" s="88" t="s">
        <v>90</v>
      </c>
      <c r="CA10" s="88" t="s">
        <v>91</v>
      </c>
      <c r="CB10" s="88" t="s">
        <v>92</v>
      </c>
      <c r="CC10" s="88" t="s">
        <v>93</v>
      </c>
      <c r="CD10" s="40"/>
      <c r="CE10" s="89" t="s">
        <v>94</v>
      </c>
      <c r="CF10" s="89" t="s">
        <v>95</v>
      </c>
      <c r="CG10" s="90" t="s">
        <v>96</v>
      </c>
      <c r="CH10" s="40"/>
      <c r="CI10" s="91" t="s">
        <v>97</v>
      </c>
      <c r="CJ10" s="91" t="s">
        <v>98</v>
      </c>
      <c r="CK10" s="91" t="s">
        <v>99</v>
      </c>
      <c r="CL10" s="91" t="s">
        <v>100</v>
      </c>
      <c r="CM10" s="91" t="s">
        <v>101</v>
      </c>
      <c r="CN10" s="91" t="s">
        <v>102</v>
      </c>
      <c r="CO10" s="91" t="s">
        <v>103</v>
      </c>
      <c r="CP10" s="92" t="s">
        <v>104</v>
      </c>
      <c r="CQ10" s="92" t="s">
        <v>105</v>
      </c>
      <c r="CR10" s="13"/>
      <c r="CS10" s="13"/>
      <c r="CT10" s="13"/>
      <c r="CU10" s="13"/>
    </row>
    <row r="11" spans="1:99" s="49" customFormat="1" ht="14.1" customHeight="1">
      <c r="A11" s="93" t="s">
        <v>106</v>
      </c>
      <c r="B11" s="49">
        <f>AVERAGE(B7:B10)</f>
        <v>98.5</v>
      </c>
      <c r="E11" s="50">
        <f>AVERAGE(E7:E10)</f>
        <v>486.69499999999994</v>
      </c>
      <c r="G11" s="50">
        <f>AVERAGE(G7:G10)</f>
        <v>3476.2190375</v>
      </c>
      <c r="H11" s="50">
        <f>AVERAGE(H7:H10)</f>
        <v>3528.9488897585547</v>
      </c>
      <c r="J11" s="94">
        <f>AVERAGE(J7:J10)</f>
        <v>1.6550000881979205</v>
      </c>
      <c r="K11" s="50" t="s">
        <v>39</v>
      </c>
      <c r="L11" s="50">
        <f>AVERAGE(L7:L10)</f>
        <v>2.917746358110187</v>
      </c>
      <c r="M11" s="50"/>
      <c r="N11" s="94">
        <f>AVERAGE(N7:N10)</f>
        <v>1.6550000881979205</v>
      </c>
      <c r="O11" s="50">
        <f>AVERAGE(O7:O10)</f>
        <v>2.917746358110187</v>
      </c>
      <c r="P11" s="95"/>
      <c r="Q11" s="95"/>
      <c r="R11" s="95"/>
      <c r="S11" s="6"/>
      <c r="T11" s="13">
        <v>0</v>
      </c>
      <c r="U11" s="14">
        <v>547.34</v>
      </c>
      <c r="V11" s="15"/>
      <c r="W11" s="15"/>
      <c r="X11" s="96">
        <f>AVERAGE(X7:X10)</f>
        <v>0.67700000000000005</v>
      </c>
      <c r="Y11" s="70" t="s">
        <v>107</v>
      </c>
      <c r="Z11" s="96">
        <f>AVERAGE(Z7:Z10)</f>
        <v>13.330249999999999</v>
      </c>
      <c r="AA11" s="30"/>
      <c r="AB11" s="72">
        <f>J11</f>
        <v>1.6550000881979205</v>
      </c>
      <c r="AC11" s="73">
        <f>AB11/($D$4/$D$2)</f>
        <v>2.917746358110187</v>
      </c>
      <c r="AD11" s="73">
        <f>AB11/Z11</f>
        <v>0.12415371716193774</v>
      </c>
      <c r="AE11" s="73">
        <f>AC11/Z11</f>
        <v>0.2188815932266977</v>
      </c>
      <c r="AF11" s="72">
        <f>N20</f>
        <v>-0.25432904740998991</v>
      </c>
      <c r="AG11" s="72">
        <f>AF11/($D$4/$D$2)</f>
        <v>-0.44837922193112761</v>
      </c>
      <c r="AH11" s="72">
        <f>AF11/Z18</f>
        <v>-5.1660135728966569E-3</v>
      </c>
      <c r="AI11" s="72">
        <f>AG11/Z18</f>
        <v>-9.107623253772559E-3</v>
      </c>
      <c r="AJ11" s="73">
        <f>((AB11-AF11)/AB11)*100</f>
        <v>115.367313223948</v>
      </c>
      <c r="AK11" s="73">
        <f>((AC11-AG11)/AC11)*100</f>
        <v>115.367313223948</v>
      </c>
      <c r="AL11" s="73">
        <f>((AD11-AH11)/AD11)*100</f>
        <v>104.16098179819977</v>
      </c>
      <c r="AM11" s="73">
        <f>((AE11-AI11)/AE11)*100</f>
        <v>104.16098179819977</v>
      </c>
      <c r="AN11" s="72">
        <f>N29</f>
        <v>-3.0328006601245008</v>
      </c>
      <c r="AO11" s="72">
        <f>AN11/($D$4/$D$2)</f>
        <v>-5.3467931174479748</v>
      </c>
      <c r="AP11" s="72">
        <f>AN11/Z25</f>
        <v>-1.497265279786578E-2</v>
      </c>
      <c r="AQ11" s="72">
        <f>AO11/Z25</f>
        <v>-2.6396616824226265E-2</v>
      </c>
      <c r="AR11" s="73">
        <f>((AB11-AN11)/AB11)*100</f>
        <v>283.25078540792259</v>
      </c>
      <c r="AS11" s="73">
        <f>((AC11-AO11)/AC11)*100</f>
        <v>283.25078540792259</v>
      </c>
      <c r="AT11" s="73">
        <f>((AD11-AP11)/AD11)*100</f>
        <v>112.05977004968481</v>
      </c>
      <c r="AU11" s="73">
        <f>((AE11-AQ11)/AE11)*100</f>
        <v>112.05977004968481</v>
      </c>
      <c r="AV11" s="72">
        <f>J11</f>
        <v>1.6550000881979205</v>
      </c>
      <c r="AW11" s="72">
        <f>AV11/($D$4/$D$2)</f>
        <v>2.917746358110187</v>
      </c>
      <c r="AX11" s="95">
        <f>M20</f>
        <v>1.796119016817594</v>
      </c>
      <c r="AY11" s="95">
        <f>AX11/($D$4/$D$2)</f>
        <v>3.1665374264471109</v>
      </c>
      <c r="AZ11" s="95">
        <f>AX11/Z11</f>
        <v>0.13474008490595404</v>
      </c>
      <c r="BA11" s="73">
        <f>AY11/Z11</f>
        <v>0.23754523932012611</v>
      </c>
      <c r="BB11" s="72">
        <f>P21</f>
        <v>1.9694523501509273</v>
      </c>
      <c r="BC11" s="73">
        <f>BB11/($D$4/$D$2)</f>
        <v>3.4721221244051153</v>
      </c>
      <c r="BD11" s="73">
        <f>BB11/Z18</f>
        <v>4.0004150826120979E-2</v>
      </c>
      <c r="BE11" s="73">
        <f>BC11/Z18</f>
        <v>7.0526863541922905E-2</v>
      </c>
      <c r="BF11" s="72">
        <f>K20</f>
        <v>1.6166282617750038</v>
      </c>
      <c r="BG11" s="73">
        <f>BF11/($D$4/$D$2)</f>
        <v>2.8500972639512794</v>
      </c>
      <c r="BH11" s="73">
        <f>BF11/Z18</f>
        <v>3.2837474239405168E-2</v>
      </c>
      <c r="BI11" s="73">
        <f>BG11/Z18</f>
        <v>5.7892094118186826E-2</v>
      </c>
      <c r="BJ11" s="72">
        <f>J21</f>
        <v>2.3177092194440041</v>
      </c>
      <c r="BK11" s="73">
        <f>BJ11/($D$4/$D$2)</f>
        <v>4.0860950294900684</v>
      </c>
      <c r="BL11" s="73">
        <f>BJ11/Z18</f>
        <v>4.7078056586961195E-2</v>
      </c>
      <c r="BM11" s="73">
        <f>BK11/Z18</f>
        <v>8.2998079053325291E-2</v>
      </c>
      <c r="BN11" s="95">
        <f>M29</f>
        <v>6.9849072876239759</v>
      </c>
      <c r="BO11" s="95">
        <f>BN11/($D$4/$D$2)</f>
        <v>12.314312213960985</v>
      </c>
      <c r="BP11" s="95">
        <f>BN11/Z25</f>
        <v>3.4483833051718912E-2</v>
      </c>
      <c r="BQ11" s="73">
        <f>BO11/Z25</f>
        <v>6.0794606005060259E-2</v>
      </c>
      <c r="BR11" s="72">
        <f>P30</f>
        <v>6.6815739542906423</v>
      </c>
      <c r="BS11" s="73">
        <f>BR11/($D$4/$D$2)</f>
        <v>11.779538992534476</v>
      </c>
      <c r="BT11" s="73">
        <f>BR11/Z25</f>
        <v>3.2986304796158314E-2</v>
      </c>
      <c r="BU11" s="73">
        <f>BS11/Z25</f>
        <v>5.815448069933489E-2</v>
      </c>
      <c r="BV11" s="72">
        <f>K29</f>
        <v>4.3262980893364738</v>
      </c>
      <c r="BW11" s="73">
        <f>BV11/($D$4/$D$2)</f>
        <v>7.6272143936894912</v>
      </c>
      <c r="BX11" s="73">
        <f>BV11/Z25</f>
        <v>2.1358528453052361E-2</v>
      </c>
      <c r="BY11" s="73">
        <f>BW11/Z25</f>
        <v>3.7654843073962219E-2</v>
      </c>
      <c r="BZ11" s="72">
        <f>J30</f>
        <v>2.6020357003859491</v>
      </c>
      <c r="CA11" s="73">
        <f>BZ11/($D$4/$D$2)</f>
        <v>4.5873593860291448</v>
      </c>
      <c r="CB11" s="73">
        <f>BZ11/Z25</f>
        <v>1.2846006538369386E-2</v>
      </c>
      <c r="CC11" s="73">
        <f>CA11/Z25</f>
        <v>2.2647363623043235E-2</v>
      </c>
      <c r="CD11" s="13"/>
      <c r="CE11" s="97">
        <f>B11</f>
        <v>98.5</v>
      </c>
      <c r="CF11" s="13">
        <f>Z11</f>
        <v>13.330249999999999</v>
      </c>
      <c r="CG11" s="40">
        <f>((CE11/18)*CF11)/22.5</f>
        <v>3.2420484567901231</v>
      </c>
      <c r="CH11" s="40"/>
      <c r="CI11" s="40">
        <f>X28</f>
        <v>0</v>
      </c>
      <c r="CJ11" s="40">
        <f>X29</f>
        <v>0</v>
      </c>
      <c r="CK11" s="40">
        <f>X30</f>
        <v>0</v>
      </c>
      <c r="CL11" s="40">
        <f>X31</f>
        <v>0</v>
      </c>
      <c r="CM11" s="40">
        <f>X32</f>
        <v>0</v>
      </c>
      <c r="CN11" s="40">
        <f>X33</f>
        <v>0</v>
      </c>
      <c r="CO11" s="13">
        <f>X11</f>
        <v>0.67700000000000005</v>
      </c>
      <c r="CP11" s="13">
        <f>X18</f>
        <v>0.1368</v>
      </c>
      <c r="CQ11" s="13">
        <f>X25</f>
        <v>7.7600000000000002E-2</v>
      </c>
      <c r="CR11" s="13"/>
      <c r="CS11" s="13"/>
      <c r="CT11" s="13"/>
      <c r="CU11" s="13"/>
    </row>
    <row r="12" spans="1:99" ht="14.1" customHeight="1" thickBot="1">
      <c r="B12" s="98"/>
      <c r="C12" s="65"/>
      <c r="D12" s="99"/>
      <c r="E12" s="13"/>
      <c r="F12" s="13"/>
      <c r="G12" s="13"/>
      <c r="H12" s="13"/>
      <c r="I12" s="13"/>
      <c r="J12" s="6" t="s">
        <v>108</v>
      </c>
      <c r="K12" s="13"/>
      <c r="L12" s="13"/>
      <c r="M12" s="12" t="s">
        <v>39</v>
      </c>
      <c r="N12" s="13"/>
      <c r="O12" s="13"/>
      <c r="P12" s="13"/>
      <c r="Q12" s="30"/>
      <c r="R12" s="30"/>
      <c r="U12" s="14">
        <v>545.49</v>
      </c>
      <c r="V12" s="15"/>
      <c r="W12" s="15"/>
      <c r="Y12" s="70"/>
      <c r="Z12" s="96"/>
      <c r="AA12" s="30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30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40"/>
      <c r="CG12" s="40"/>
      <c r="CH12" s="40"/>
      <c r="CI12" s="40"/>
      <c r="CJ12" s="40"/>
      <c r="CK12" s="40"/>
      <c r="CL12" s="40"/>
      <c r="CM12" s="40"/>
      <c r="CN12" s="40"/>
    </row>
    <row r="13" spans="1:99" ht="14.1" customHeight="1" thickBot="1">
      <c r="B13" s="98"/>
      <c r="C13" s="65"/>
      <c r="D13" s="99"/>
      <c r="E13" s="13"/>
      <c r="F13" s="13"/>
      <c r="G13" s="13"/>
      <c r="H13" s="13"/>
      <c r="I13" s="13"/>
      <c r="J13" s="6"/>
      <c r="K13" s="13"/>
      <c r="L13" s="13"/>
      <c r="M13" s="100" t="s">
        <v>32</v>
      </c>
      <c r="N13" s="101"/>
      <c r="O13" s="101"/>
      <c r="P13" s="101"/>
      <c r="Q13" s="30"/>
      <c r="R13" s="102" t="s">
        <v>25</v>
      </c>
      <c r="S13" s="103" t="s">
        <v>109</v>
      </c>
      <c r="T13" s="13">
        <v>30</v>
      </c>
      <c r="U13" s="14">
        <v>638.59</v>
      </c>
      <c r="V13" s="15"/>
      <c r="W13" s="15"/>
      <c r="X13" s="71">
        <v>0.158</v>
      </c>
      <c r="Y13" s="30">
        <v>90</v>
      </c>
      <c r="Z13" s="69">
        <v>53.543999999999997</v>
      </c>
      <c r="AA13" s="40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19"/>
      <c r="AY13" s="74"/>
      <c r="AZ13" s="74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40"/>
      <c r="CG13" s="40"/>
      <c r="CH13" s="40"/>
      <c r="CI13" s="40"/>
      <c r="CJ13" s="40"/>
      <c r="CK13" s="40"/>
      <c r="CL13" s="40"/>
      <c r="CM13" s="40"/>
      <c r="CN13" s="40"/>
    </row>
    <row r="14" spans="1:99" ht="14.1" customHeight="1">
      <c r="A14" s="12">
        <v>90</v>
      </c>
      <c r="B14" s="75">
        <v>102</v>
      </c>
      <c r="C14" s="65"/>
      <c r="D14" s="104">
        <f>AVERAGE(U17:U18)</f>
        <v>519.38</v>
      </c>
      <c r="E14" s="78">
        <f>D14-$E$5</f>
        <v>481.625</v>
      </c>
      <c r="F14" s="78"/>
      <c r="G14" s="78">
        <f t="shared" ref="G14:G27" si="0">($E14*7.1425)</f>
        <v>3440.0065625000002</v>
      </c>
      <c r="H14" s="78">
        <f t="shared" ref="H14:H27" si="1">($G14/($B14*0.01))</f>
        <v>3372.5554534313728</v>
      </c>
      <c r="I14" s="33">
        <f>$C$15*A14+$C$16</f>
        <v>3777.2601071428562</v>
      </c>
      <c r="J14" s="105" t="s">
        <v>110</v>
      </c>
      <c r="K14" s="106" t="s">
        <v>111</v>
      </c>
      <c r="L14" s="13"/>
      <c r="M14" s="107">
        <f>(((S14/60)*$J$1)/$D$2)</f>
        <v>1.496765847347995</v>
      </c>
      <c r="N14" s="101"/>
      <c r="O14" s="101"/>
      <c r="P14" s="101"/>
      <c r="Q14" s="30"/>
      <c r="R14" s="108">
        <v>90</v>
      </c>
      <c r="S14" s="109">
        <v>39</v>
      </c>
      <c r="U14" s="14">
        <v>565.41999999999996</v>
      </c>
      <c r="V14" s="15"/>
      <c r="W14" s="110"/>
      <c r="X14" s="71">
        <v>0.13200000000000001</v>
      </c>
      <c r="Y14" s="30">
        <v>100</v>
      </c>
      <c r="Z14" s="69">
        <v>46.595999999999997</v>
      </c>
      <c r="AA14" s="40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19"/>
      <c r="AY14" s="74"/>
      <c r="AZ14" s="74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40"/>
      <c r="CG14" s="40"/>
      <c r="CH14" s="40"/>
      <c r="CI14" s="40"/>
      <c r="CJ14" s="40"/>
      <c r="CK14" s="40"/>
      <c r="CL14" s="40"/>
      <c r="CM14" s="40"/>
      <c r="CN14" s="40"/>
    </row>
    <row r="15" spans="1:99" s="115" customFormat="1" ht="14.1" customHeight="1">
      <c r="A15" s="12">
        <v>100</v>
      </c>
      <c r="B15" s="75">
        <v>102</v>
      </c>
      <c r="C15" s="65">
        <f>SLOPE(G15:G18,A15:A18)</f>
        <v>-10.138268571428547</v>
      </c>
      <c r="D15" s="104">
        <f>AVERAGE(U19:U20)</f>
        <v>536.82999999999993</v>
      </c>
      <c r="E15" s="66">
        <f>D15-$E$5</f>
        <v>499.07499999999993</v>
      </c>
      <c r="F15" s="111">
        <v>180</v>
      </c>
      <c r="G15" s="112">
        <f t="shared" si="0"/>
        <v>3564.6431874999994</v>
      </c>
      <c r="H15" s="78">
        <f t="shared" si="1"/>
        <v>3494.7482230392152</v>
      </c>
      <c r="I15" s="33">
        <f>$C$15*A15+$C$16</f>
        <v>3675.8774214285709</v>
      </c>
      <c r="J15" s="113">
        <f>((($N$2-(130*$D$2*(((B15+B14)*0.01)/2))*((I15-I14)/(A15-A14))))/((I15+I14)/2))/$D$2</f>
        <v>1.9265924814173794</v>
      </c>
      <c r="K15" s="114">
        <f>$N$2/H15/$D$2</f>
        <v>1.6697182680335276</v>
      </c>
      <c r="L15" s="114">
        <f>J15/($D$4/$D$2)</f>
        <v>3.396560662627456</v>
      </c>
      <c r="M15" s="107">
        <f>(((S15/60)*$J$1)/$D$2)</f>
        <v>1.496765847347995</v>
      </c>
      <c r="N15" s="19">
        <f>K15-M15</f>
        <v>0.17295242068553263</v>
      </c>
      <c r="O15" s="74">
        <f>N15/($D$4/$D$2)</f>
        <v>0.30491315328631285</v>
      </c>
      <c r="P15" s="74"/>
      <c r="Q15" s="30"/>
      <c r="R15" s="108">
        <v>100</v>
      </c>
      <c r="S15" s="109">
        <v>39</v>
      </c>
      <c r="T15" s="13">
        <v>60</v>
      </c>
      <c r="U15" s="14">
        <v>541.78</v>
      </c>
      <c r="V15" s="15"/>
      <c r="W15" s="110"/>
      <c r="X15" s="82">
        <v>0.14399999999999999</v>
      </c>
      <c r="Y15" s="30">
        <v>110</v>
      </c>
      <c r="Z15" s="69">
        <v>50.889000000000003</v>
      </c>
      <c r="AA15" s="40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19"/>
      <c r="AY15" s="74"/>
      <c r="AZ15" s="74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40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40"/>
      <c r="CH15" s="40"/>
      <c r="CI15" s="40"/>
      <c r="CJ15" s="40"/>
      <c r="CK15" s="40"/>
      <c r="CL15" s="40"/>
      <c r="CM15" s="40"/>
      <c r="CN15" s="40"/>
      <c r="CO15" s="13"/>
      <c r="CP15" s="13"/>
      <c r="CQ15" s="13"/>
      <c r="CR15" s="13"/>
      <c r="CS15" s="13"/>
      <c r="CT15" s="13"/>
      <c r="CU15" s="13"/>
    </row>
    <row r="16" spans="1:99" ht="14.1" customHeight="1">
      <c r="A16" s="12">
        <v>110</v>
      </c>
      <c r="B16" s="75">
        <v>98</v>
      </c>
      <c r="C16" s="65">
        <f>INTERCEPT(G15:G18,A15:A18)</f>
        <v>4689.7042785714257</v>
      </c>
      <c r="D16" s="104">
        <f>AVERAGE(U21:U22)</f>
        <v>569.08000000000004</v>
      </c>
      <c r="E16" s="66">
        <f>D16-$E$5</f>
        <v>531.32500000000005</v>
      </c>
      <c r="F16" s="116">
        <v>210</v>
      </c>
      <c r="G16" s="66">
        <f t="shared" si="0"/>
        <v>3794.9888125000002</v>
      </c>
      <c r="H16" s="78">
        <f t="shared" si="1"/>
        <v>3872.4375637755106</v>
      </c>
      <c r="I16" s="33">
        <f>$C$15*A16+$C$16</f>
        <v>3574.4947357142855</v>
      </c>
      <c r="J16" s="113">
        <f>((($N$2-(130*$D$2*(((B16+B15)*0.01)/2))*((I16-I15)/(A16-A15))))/((I16+I15)/2))/$D$2</f>
        <v>1.9732007431990515</v>
      </c>
      <c r="K16" s="67">
        <f>$N$2/H16/$D$2</f>
        <v>1.5068661157436709</v>
      </c>
      <c r="L16" s="67">
        <f>J16/($D$4/$D$2)</f>
        <v>3.4787304987749552</v>
      </c>
      <c r="M16" s="107">
        <f>(((S16/60)*$J$1)/$D$2)</f>
        <v>1.496765847347995</v>
      </c>
      <c r="N16" s="19">
        <f>K16-M16</f>
        <v>1.0100268395675904E-2</v>
      </c>
      <c r="O16" s="67">
        <f>N16/($D$4/$D$2)</f>
        <v>1.7806658463388848E-2</v>
      </c>
      <c r="P16" s="67"/>
      <c r="Q16" s="30"/>
      <c r="R16" s="108">
        <v>110</v>
      </c>
      <c r="S16" s="109">
        <v>39</v>
      </c>
      <c r="U16" s="14">
        <v>529.82000000000005</v>
      </c>
      <c r="V16" s="15"/>
      <c r="W16" s="110"/>
      <c r="X16" s="71">
        <v>0.13900000000000001</v>
      </c>
      <c r="Y16" s="30">
        <v>115</v>
      </c>
      <c r="Z16" s="69">
        <v>45.613999999999997</v>
      </c>
      <c r="AA16" s="40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19"/>
      <c r="AY16" s="74"/>
      <c r="AZ16" s="74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40"/>
    </row>
    <row r="17" spans="1:67" ht="14.1" customHeight="1">
      <c r="A17" s="12">
        <v>115</v>
      </c>
      <c r="B17" s="75">
        <v>96</v>
      </c>
      <c r="C17" s="65"/>
      <c r="D17" s="104">
        <f>AVERAGE(U23:U24)</f>
        <v>531.66499999999996</v>
      </c>
      <c r="E17" s="66">
        <f>D17-$E$5</f>
        <v>493.90999999999997</v>
      </c>
      <c r="F17" s="116">
        <v>220</v>
      </c>
      <c r="G17" s="66">
        <f t="shared" si="0"/>
        <v>3527.7521749999996</v>
      </c>
      <c r="H17" s="78">
        <f t="shared" si="1"/>
        <v>3674.7418489583329</v>
      </c>
      <c r="I17" s="33">
        <f>$C$15*A17+$C$16</f>
        <v>3523.8033928571431</v>
      </c>
      <c r="J17" s="113">
        <f>((($N$2-(130*$D$2*(((B17+B16)*0.01)/2))*((I17-I16)/(A17-A16))))/((I17+I16)/2))/$D$2</f>
        <v>2.0043341342370717</v>
      </c>
      <c r="K17" s="67">
        <f>$N$2/H17/$D$2</f>
        <v>1.5879332998154376</v>
      </c>
      <c r="L17" s="67">
        <f>J17/($D$4/$D$2)</f>
        <v>3.5336183135639661</v>
      </c>
      <c r="M17" s="107">
        <f>(((S17/60)*$J$1)/$D$2)</f>
        <v>1.9956877964639934</v>
      </c>
      <c r="N17" s="19">
        <f>K17-M17</f>
        <v>-0.40775449664855579</v>
      </c>
      <c r="O17" s="67">
        <f>N17/($D$4/$D$2)</f>
        <v>-0.71886654634250247</v>
      </c>
      <c r="P17" s="67"/>
      <c r="Q17" s="30"/>
      <c r="R17" s="108">
        <v>115</v>
      </c>
      <c r="S17" s="117">
        <v>52</v>
      </c>
      <c r="T17" s="40">
        <v>90</v>
      </c>
      <c r="U17" s="14">
        <v>520.80999999999995</v>
      </c>
      <c r="V17" s="15"/>
      <c r="W17" s="110"/>
      <c r="X17" s="71">
        <v>0.111</v>
      </c>
      <c r="Y17" s="30">
        <v>120</v>
      </c>
      <c r="Z17" s="69">
        <v>49.512999999999998</v>
      </c>
      <c r="AA17" s="40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19"/>
      <c r="AY17" s="74"/>
      <c r="AZ17" s="74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40"/>
    </row>
    <row r="18" spans="1:67" ht="14.1" customHeight="1">
      <c r="A18" s="12">
        <v>120</v>
      </c>
      <c r="B18" s="118">
        <v>98</v>
      </c>
      <c r="C18" s="65"/>
      <c r="D18" s="104">
        <f>AVERAGE(U25:U26)</f>
        <v>508.16499999999996</v>
      </c>
      <c r="E18" s="66">
        <f>D18-$E$5</f>
        <v>470.40999999999997</v>
      </c>
      <c r="F18" s="116">
        <v>225</v>
      </c>
      <c r="G18" s="66">
        <f t="shared" si="0"/>
        <v>3359.903425</v>
      </c>
      <c r="H18" s="78">
        <f t="shared" si="1"/>
        <v>3428.4728826530613</v>
      </c>
      <c r="I18" s="33">
        <f>$C$15*A18+$C$16</f>
        <v>3473.1120499999997</v>
      </c>
      <c r="J18" s="113">
        <f>((($N$2-(130*$D$2*(((B18+B17)*0.01)/2))*((I18-I17)/(A18-A17))))/((I18+I17)/2))/$D$2</f>
        <v>2.0333761855891801</v>
      </c>
      <c r="K18" s="67">
        <f>$N$2/H18/$D$2</f>
        <v>1.7019953635073788</v>
      </c>
      <c r="L18" s="67">
        <f>J18/($D$4/$D$2)</f>
        <v>3.5848191202400135</v>
      </c>
      <c r="M18" s="107">
        <f>(((S18/60)*$J$1)/$D$2)</f>
        <v>2.4946097455799912</v>
      </c>
      <c r="N18" s="19">
        <f>K18-M18</f>
        <v>-0.79261438207261237</v>
      </c>
      <c r="O18" s="67">
        <f>N18/($D$4/$D$2)</f>
        <v>-1.3973701531317095</v>
      </c>
      <c r="P18" s="67"/>
      <c r="Q18" s="30"/>
      <c r="R18" s="108">
        <v>120</v>
      </c>
      <c r="S18" s="117">
        <v>65</v>
      </c>
      <c r="T18" s="30"/>
      <c r="U18" s="14">
        <v>517.95000000000005</v>
      </c>
      <c r="V18" s="15"/>
      <c r="W18" s="110"/>
      <c r="X18" s="96">
        <f>AVERAGE(X13:X17)</f>
        <v>0.1368</v>
      </c>
      <c r="Y18" s="30" t="s">
        <v>107</v>
      </c>
      <c r="Z18" s="96">
        <f>AVERAGE(Z13:Z17)</f>
        <v>49.231200000000001</v>
      </c>
      <c r="AA18" s="30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5"/>
      <c r="AY18" s="95"/>
      <c r="AZ18" s="95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2"/>
      <c r="BO18" s="40"/>
    </row>
    <row r="19" spans="1:67" ht="14.1" customHeight="1" thickBot="1">
      <c r="A19" s="63"/>
      <c r="B19" s="98"/>
      <c r="C19" s="65"/>
      <c r="D19" s="99"/>
      <c r="E19" s="66"/>
      <c r="F19" s="63"/>
      <c r="G19" s="66"/>
      <c r="H19" s="66"/>
      <c r="I19" s="33"/>
      <c r="J19" s="113"/>
      <c r="K19" s="67"/>
      <c r="L19" s="67"/>
      <c r="M19" s="107"/>
      <c r="O19" s="67"/>
      <c r="P19" s="67"/>
      <c r="Q19" s="30"/>
      <c r="R19" s="108"/>
      <c r="S19" s="117"/>
      <c r="T19" s="41">
        <v>100</v>
      </c>
      <c r="U19" s="14">
        <v>546.29999999999995</v>
      </c>
      <c r="V19" s="15"/>
      <c r="W19" s="110"/>
      <c r="Y19" s="30"/>
      <c r="Z19" s="96"/>
      <c r="AA19" s="30"/>
      <c r="AB19" s="96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30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40"/>
    </row>
    <row r="20" spans="1:67" ht="14.1" customHeight="1" thickBot="1">
      <c r="A20" s="119" t="s">
        <v>112</v>
      </c>
      <c r="B20" s="120">
        <f>AVERAGE(B14:B19)</f>
        <v>99.2</v>
      </c>
      <c r="C20" s="121"/>
      <c r="D20" s="122">
        <f>AVERAGE(D14:D18)</f>
        <v>533.024</v>
      </c>
      <c r="E20" s="122">
        <f>AVERAGE(E14:E18)</f>
        <v>495.26899999999995</v>
      </c>
      <c r="F20" s="122"/>
      <c r="G20" s="122">
        <f>AVERAGE(G14:G18)</f>
        <v>3537.4588324999995</v>
      </c>
      <c r="H20" s="122">
        <f>AVERAGE(H14:H18)</f>
        <v>3568.5911943714987</v>
      </c>
      <c r="I20" s="122"/>
      <c r="J20" s="122">
        <f t="shared" ref="J20:O20" si="2">AVERAGE(J14:J18)</f>
        <v>1.9843758861106706</v>
      </c>
      <c r="K20" s="123">
        <f t="shared" si="2"/>
        <v>1.6166282617750038</v>
      </c>
      <c r="L20" s="122">
        <f t="shared" si="2"/>
        <v>3.4984321488015975</v>
      </c>
      <c r="M20" s="122">
        <f t="shared" si="2"/>
        <v>1.796119016817594</v>
      </c>
      <c r="N20" s="123">
        <f t="shared" si="2"/>
        <v>-0.25432904740998991</v>
      </c>
      <c r="O20" s="122">
        <f t="shared" si="2"/>
        <v>-0.44837922193112756</v>
      </c>
      <c r="P20" s="124"/>
      <c r="Q20" s="30"/>
      <c r="R20" s="108"/>
      <c r="S20" s="117"/>
      <c r="T20" s="41"/>
      <c r="U20" s="14">
        <v>527.36</v>
      </c>
      <c r="V20" s="15"/>
      <c r="W20" s="110"/>
      <c r="X20" s="69">
        <v>8.1000000000000003E-2</v>
      </c>
      <c r="Y20" s="70">
        <v>210</v>
      </c>
      <c r="Z20" s="71">
        <v>202.16</v>
      </c>
      <c r="AA20" s="40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4"/>
      <c r="AY20" s="74"/>
      <c r="AZ20" s="74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40"/>
    </row>
    <row r="21" spans="1:67" ht="14.1" customHeight="1" thickBot="1">
      <c r="A21" s="70"/>
      <c r="B21" s="118"/>
      <c r="C21" s="36"/>
      <c r="D21" s="99"/>
      <c r="E21" s="33"/>
      <c r="F21" s="125" t="s">
        <v>113</v>
      </c>
      <c r="G21" s="33"/>
      <c r="H21" s="33"/>
      <c r="I21" s="126" t="s">
        <v>114</v>
      </c>
      <c r="J21" s="127">
        <f>J20-((B18-B15)*0.25*$D$2*10)/(30*$D$2)</f>
        <v>2.3177092194440041</v>
      </c>
      <c r="K21" s="74"/>
      <c r="L21" s="128" t="s">
        <v>33</v>
      </c>
      <c r="M21" s="129">
        <f>J21-M20</f>
        <v>0.52159020262641009</v>
      </c>
      <c r="N21" s="19"/>
      <c r="O21" s="74"/>
      <c r="P21" s="130">
        <f>$M$20-(((B18-B14)*1.3)/(A18-A14))</f>
        <v>1.9694523501509273</v>
      </c>
      <c r="Q21" s="30"/>
      <c r="R21" s="131"/>
      <c r="S21" s="117"/>
      <c r="T21" s="41">
        <v>110</v>
      </c>
      <c r="U21" s="14">
        <v>596.59</v>
      </c>
      <c r="V21" s="15"/>
      <c r="W21" s="110"/>
      <c r="X21" s="69">
        <v>7.3999999999999996E-2</v>
      </c>
      <c r="Y21" s="70">
        <v>220</v>
      </c>
      <c r="Z21" s="71">
        <v>194.02</v>
      </c>
      <c r="AA21" s="40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4"/>
      <c r="AY21" s="74"/>
      <c r="AZ21" s="74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40"/>
    </row>
    <row r="22" spans="1:67" ht="14.1" customHeight="1" thickBot="1">
      <c r="A22" s="63"/>
      <c r="B22" s="98"/>
      <c r="C22" s="65"/>
      <c r="D22" s="99"/>
      <c r="E22" s="66"/>
      <c r="F22" s="63"/>
      <c r="G22" s="66"/>
      <c r="H22" s="66"/>
      <c r="I22" s="33"/>
      <c r="J22" s="132"/>
      <c r="K22" s="67"/>
      <c r="L22" s="133"/>
      <c r="M22" s="134"/>
      <c r="N22" s="101"/>
      <c r="O22" s="133"/>
      <c r="P22" s="133"/>
      <c r="Q22" s="30"/>
      <c r="R22" s="102" t="s">
        <v>25</v>
      </c>
      <c r="S22" s="103" t="s">
        <v>109</v>
      </c>
      <c r="T22" s="30"/>
      <c r="U22" s="14">
        <v>541.57000000000005</v>
      </c>
      <c r="V22" s="15"/>
      <c r="W22" s="110"/>
      <c r="X22" s="69">
        <v>6.7000000000000004E-2</v>
      </c>
      <c r="Y22" s="70">
        <v>230</v>
      </c>
      <c r="Z22" s="71">
        <v>192.44</v>
      </c>
      <c r="AA22" s="40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4"/>
      <c r="AY22" s="74"/>
      <c r="AZ22" s="74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40"/>
    </row>
    <row r="23" spans="1:67" ht="14.1" customHeight="1">
      <c r="A23" s="63">
        <v>210</v>
      </c>
      <c r="B23" s="75">
        <v>98</v>
      </c>
      <c r="C23" s="65"/>
      <c r="D23" s="104">
        <f>AVERAGE(U31:U32)</f>
        <v>349.28999999999996</v>
      </c>
      <c r="E23" s="78">
        <f>D23-$E$5</f>
        <v>311.53499999999997</v>
      </c>
      <c r="F23" s="78"/>
      <c r="G23" s="78">
        <f t="shared" si="0"/>
        <v>2225.1387374999999</v>
      </c>
      <c r="H23" s="78">
        <f t="shared" si="1"/>
        <v>2270.549732142857</v>
      </c>
      <c r="I23" s="33">
        <f>$C$24*A23+$C$25</f>
        <v>1350.2304442857144</v>
      </c>
      <c r="J23" s="105" t="s">
        <v>110</v>
      </c>
      <c r="K23" s="106" t="s">
        <v>111</v>
      </c>
      <c r="L23" s="67"/>
      <c r="M23" s="19">
        <f>(((S23/60)*$J$1)/$D$2)</f>
        <v>5.4881414402759816</v>
      </c>
      <c r="N23" s="101"/>
      <c r="O23" s="133"/>
      <c r="P23" s="133"/>
      <c r="Q23" s="30"/>
      <c r="R23" s="131">
        <v>210</v>
      </c>
      <c r="S23" s="117">
        <v>143</v>
      </c>
      <c r="T23" s="13">
        <v>115</v>
      </c>
      <c r="U23" s="14">
        <v>547.15</v>
      </c>
      <c r="V23" s="15"/>
      <c r="W23" s="110"/>
      <c r="X23" s="69">
        <v>8.5000000000000006E-2</v>
      </c>
      <c r="Y23" s="70">
        <v>235</v>
      </c>
      <c r="Z23" s="71">
        <v>218.51</v>
      </c>
      <c r="AA23" s="40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4"/>
      <c r="AY23" s="74"/>
      <c r="AZ23" s="74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40"/>
    </row>
    <row r="24" spans="1:67" ht="14.1" customHeight="1">
      <c r="A24" s="63">
        <v>220</v>
      </c>
      <c r="B24" s="75">
        <v>89</v>
      </c>
      <c r="C24" s="65">
        <f>SLOPE(G24:G27,A24:A27)</f>
        <v>-1.8374591428571418</v>
      </c>
      <c r="D24" s="104">
        <f>AVERAGE(U33:U34)</f>
        <v>233.5</v>
      </c>
      <c r="E24" s="66">
        <f>D24-$E$5</f>
        <v>195.745</v>
      </c>
      <c r="F24" s="111">
        <v>180</v>
      </c>
      <c r="G24" s="112">
        <f t="shared" si="0"/>
        <v>1398.1086625</v>
      </c>
      <c r="H24" s="112">
        <f t="shared" si="1"/>
        <v>1570.9086095505618</v>
      </c>
      <c r="I24" s="33">
        <f>$C$24*A24+$C$25</f>
        <v>1331.855852857143</v>
      </c>
      <c r="J24" s="113">
        <f>((($N$2-(130*$D$2*(((B24+B23)*0.01)/2))*((I24-I23)/(A24-A23))))/((I24+I23)/2))/$D$2</f>
        <v>4.5178174285104822</v>
      </c>
      <c r="K24" s="114">
        <f>$N$2/H24/$D$2</f>
        <v>3.7145667893791456</v>
      </c>
      <c r="L24" s="114">
        <f>J24/($D$4/$D$2)</f>
        <v>7.9648608133891408</v>
      </c>
      <c r="M24" s="107">
        <f>(((S24/60)*$J$1)/$D$2)</f>
        <v>6.4859853385079784</v>
      </c>
      <c r="N24" s="19">
        <f>K24-M24</f>
        <v>-2.7714185491288328</v>
      </c>
      <c r="O24" s="74">
        <f>N24/($D$4/$D$2)</f>
        <v>-4.8859794245235317</v>
      </c>
      <c r="P24" s="74"/>
      <c r="Q24" s="30"/>
      <c r="R24" s="131">
        <v>220</v>
      </c>
      <c r="S24" s="117">
        <v>169</v>
      </c>
      <c r="U24" s="14">
        <v>516.17999999999995</v>
      </c>
      <c r="V24" s="15"/>
      <c r="W24" s="110"/>
      <c r="X24" s="69">
        <v>8.1000000000000003E-2</v>
      </c>
      <c r="Y24" s="70">
        <v>240</v>
      </c>
      <c r="Z24" s="71">
        <v>205.65</v>
      </c>
      <c r="AA24" s="40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4"/>
      <c r="AY24" s="74"/>
      <c r="AZ24" s="74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40"/>
    </row>
    <row r="25" spans="1:67" ht="14.1" customHeight="1">
      <c r="A25" s="63">
        <v>230</v>
      </c>
      <c r="B25" s="75">
        <v>88</v>
      </c>
      <c r="C25" s="65">
        <f>INTERCEPT(G24:G27,A24:A27)</f>
        <v>1736.0968642857142</v>
      </c>
      <c r="D25" s="104">
        <f>AVERAGE(U35:U36)</f>
        <v>202.85500000000002</v>
      </c>
      <c r="E25" s="66">
        <f>D25-$E$5</f>
        <v>165.10000000000002</v>
      </c>
      <c r="F25" s="111">
        <v>180</v>
      </c>
      <c r="G25" s="112">
        <f t="shared" si="0"/>
        <v>1179.2267500000003</v>
      </c>
      <c r="H25" s="112">
        <f t="shared" si="1"/>
        <v>1340.0303977272731</v>
      </c>
      <c r="I25" s="33">
        <f>$C$24*A25+$C$25</f>
        <v>1313.4812614285715</v>
      </c>
      <c r="J25" s="113">
        <f>((($N$2-(130*$D$2*(((B25+B24)*0.01)/2))*((I25-I24)/(A25-A24))))/((I25+I24)/2))/$D$2</f>
        <v>4.5715493816784845</v>
      </c>
      <c r="K25" s="114">
        <f>$N$2/H25/$D$2</f>
        <v>4.3545616279175583</v>
      </c>
      <c r="L25" s="114">
        <f>J25/($D$4/$D$2)</f>
        <v>8.0595896365403199</v>
      </c>
      <c r="M25" s="107">
        <f>(((S25/60)*$J$1)/$D$2)</f>
        <v>7.9827511858559737</v>
      </c>
      <c r="N25" s="19">
        <f>K25-M25</f>
        <v>-3.6281895579384154</v>
      </c>
      <c r="O25" s="114">
        <f>N25/($D$4/$D$2)</f>
        <v>-6.3964569819057502</v>
      </c>
      <c r="P25" s="74"/>
      <c r="Q25" s="30"/>
      <c r="R25" s="131">
        <v>230</v>
      </c>
      <c r="S25" s="117">
        <v>208</v>
      </c>
      <c r="T25" s="13">
        <v>120</v>
      </c>
      <c r="U25" s="14">
        <v>513.26</v>
      </c>
      <c r="V25" s="15"/>
      <c r="W25" s="110"/>
      <c r="X25" s="96">
        <f>AVERAGE(X20:X24)</f>
        <v>7.7600000000000002E-2</v>
      </c>
      <c r="Y25" s="57" t="s">
        <v>107</v>
      </c>
      <c r="Z25" s="96">
        <f>AVERAGE(Z20:Z24)</f>
        <v>202.55599999999998</v>
      </c>
      <c r="AA25" s="30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5"/>
      <c r="AY25" s="95"/>
      <c r="AZ25" s="95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40"/>
    </row>
    <row r="26" spans="1:67" ht="14.1" customHeight="1">
      <c r="A26" s="63">
        <v>235</v>
      </c>
      <c r="B26" s="75">
        <v>106</v>
      </c>
      <c r="C26" s="65"/>
      <c r="D26" s="104">
        <f>AVERAGE(U37:U38)</f>
        <v>220.85500000000002</v>
      </c>
      <c r="E26" s="66">
        <f>D26-$E$5</f>
        <v>183.10000000000002</v>
      </c>
      <c r="F26" s="111">
        <v>180</v>
      </c>
      <c r="G26" s="112">
        <f t="shared" si="0"/>
        <v>1307.7917500000001</v>
      </c>
      <c r="H26" s="112">
        <f t="shared" si="1"/>
        <v>1233.7658018867926</v>
      </c>
      <c r="I26" s="33">
        <f>$C$24*A26+$C$25</f>
        <v>1304.2939657142858</v>
      </c>
      <c r="J26" s="113">
        <f>((($N$2-(130*$D$2*(((B26+B25)*0.01)/2))*((I26-I25)/(A26-A25))))/((I26+I25)/2))/$D$2</f>
        <v>4.6351944087440078</v>
      </c>
      <c r="K26" s="114">
        <f>$N$2/H26/$D$2</f>
        <v>4.7296212468058956</v>
      </c>
      <c r="L26" s="114">
        <f>J26/($D$4/$D$2)</f>
        <v>8.1717950963807837</v>
      </c>
      <c r="M26" s="107">
        <f>(((S26/60)*$J$1)/$D$2)</f>
        <v>7.9827511858559737</v>
      </c>
      <c r="N26" s="19">
        <f>K26-M26</f>
        <v>-3.2531299390500781</v>
      </c>
      <c r="O26" s="114">
        <f>N26/($D$4/$D$2)</f>
        <v>-5.73523113370823</v>
      </c>
      <c r="P26" s="74"/>
      <c r="Q26" s="30"/>
      <c r="R26" s="131">
        <v>235</v>
      </c>
      <c r="S26" s="117">
        <v>208</v>
      </c>
      <c r="U26" s="14">
        <v>503.07</v>
      </c>
      <c r="V26" s="15"/>
      <c r="W26" s="11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</row>
    <row r="27" spans="1:67" ht="14.1" customHeight="1">
      <c r="A27" s="63">
        <v>240</v>
      </c>
      <c r="B27" s="118">
        <v>105</v>
      </c>
      <c r="C27" s="65"/>
      <c r="D27" s="104">
        <f>AVERAGE(U39:U40)</f>
        <v>228.11</v>
      </c>
      <c r="E27" s="66">
        <f>D27-$E$5</f>
        <v>190.35500000000002</v>
      </c>
      <c r="F27" s="111">
        <v>180</v>
      </c>
      <c r="G27" s="112">
        <f t="shared" si="0"/>
        <v>1359.6105875000001</v>
      </c>
      <c r="H27" s="112">
        <f t="shared" si="1"/>
        <v>1294.8672261904762</v>
      </c>
      <c r="I27" s="33">
        <f>$C$24*A27+$C$25</f>
        <v>1295.1066700000001</v>
      </c>
      <c r="J27" s="113">
        <f>((($N$2-(130*$D$2*(((B27+B26)*0.01)/2))*((I27-I26)/(A27-A26))))/((I27+I26)/2))/$D$2</f>
        <v>4.6835815826108202</v>
      </c>
      <c r="K27" s="114">
        <f>$N$2/H27/$D$2</f>
        <v>4.5064426932432973</v>
      </c>
      <c r="L27" s="114">
        <f>J27/($D$4/$D$2)</f>
        <v>8.2571011343296181</v>
      </c>
      <c r="M27" s="107">
        <f>(((S27/60)*$J$1)/$D$2)</f>
        <v>6.9849072876239751</v>
      </c>
      <c r="N27" s="19">
        <f>K27-M27</f>
        <v>-2.4784645943806778</v>
      </c>
      <c r="O27" s="114">
        <f>N27/($D$4/$D$2)</f>
        <v>-4.36950492965439</v>
      </c>
      <c r="P27" s="74"/>
      <c r="Q27" s="30"/>
      <c r="R27" s="131">
        <v>240</v>
      </c>
      <c r="S27" s="117">
        <v>182</v>
      </c>
      <c r="T27" s="13">
        <v>150</v>
      </c>
      <c r="U27" s="14">
        <v>391.9</v>
      </c>
      <c r="V27" s="15"/>
      <c r="W27" s="11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</row>
    <row r="28" spans="1:67" ht="14.1" customHeight="1" thickBot="1">
      <c r="A28" s="63"/>
      <c r="B28" s="118"/>
      <c r="C28" s="65"/>
      <c r="D28" s="99"/>
      <c r="E28" s="66"/>
      <c r="F28" s="135"/>
      <c r="G28" s="112"/>
      <c r="H28" s="112"/>
      <c r="I28" s="33"/>
      <c r="J28" s="113"/>
      <c r="K28" s="114"/>
      <c r="L28" s="114"/>
      <c r="M28" s="107"/>
      <c r="N28" s="107"/>
      <c r="O28" s="114"/>
      <c r="P28" s="74"/>
      <c r="Q28" s="30"/>
      <c r="R28" s="108"/>
      <c r="S28" s="117"/>
      <c r="U28" s="14">
        <v>376.15</v>
      </c>
      <c r="V28" s="15"/>
      <c r="W28" s="110"/>
      <c r="X28" s="69"/>
      <c r="Y28" s="13" t="s">
        <v>115</v>
      </c>
    </row>
    <row r="29" spans="1:67" ht="14.1" customHeight="1" thickBot="1">
      <c r="A29" s="119" t="s">
        <v>112</v>
      </c>
      <c r="B29" s="122">
        <f>AVERAGE(B23:B28)</f>
        <v>97.2</v>
      </c>
      <c r="C29" s="121"/>
      <c r="D29" s="122">
        <f>AVERAGE(D23:D28)</f>
        <v>246.92200000000003</v>
      </c>
      <c r="E29" s="122">
        <f>AVERAGE(E23:E28)</f>
        <v>209.167</v>
      </c>
      <c r="F29" s="122">
        <f>AVERAGE(F24:F28)</f>
        <v>180</v>
      </c>
      <c r="G29" s="122">
        <f>AVERAGE(G23:G28)</f>
        <v>1493.9752975000001</v>
      </c>
      <c r="H29" s="122">
        <f>AVERAGE(H23:H28)</f>
        <v>1542.0243534995921</v>
      </c>
      <c r="I29" s="122"/>
      <c r="J29" s="122">
        <f t="shared" ref="J29:O29" si="3">AVERAGE(J23:J28)</f>
        <v>4.6020357003859491</v>
      </c>
      <c r="K29" s="123">
        <f t="shared" si="3"/>
        <v>4.3262980893364738</v>
      </c>
      <c r="L29" s="122">
        <f t="shared" si="3"/>
        <v>8.1133366701599652</v>
      </c>
      <c r="M29" s="122">
        <f t="shared" si="3"/>
        <v>6.9849072876239759</v>
      </c>
      <c r="N29" s="123">
        <f t="shared" si="3"/>
        <v>-3.0328006601245008</v>
      </c>
      <c r="O29" s="122">
        <f t="shared" si="3"/>
        <v>-5.3467931174479757</v>
      </c>
      <c r="P29" s="122"/>
      <c r="Q29" s="136"/>
      <c r="R29" s="137"/>
      <c r="S29" s="138"/>
      <c r="T29" s="13">
        <v>180</v>
      </c>
      <c r="U29" s="14">
        <v>346.31</v>
      </c>
      <c r="V29" s="15"/>
      <c r="W29" s="110"/>
      <c r="X29" s="69"/>
      <c r="Y29" s="13" t="s">
        <v>116</v>
      </c>
    </row>
    <row r="30" spans="1:67" ht="14.1" customHeight="1">
      <c r="A30" s="70"/>
      <c r="B30" s="139"/>
      <c r="C30" s="36"/>
      <c r="D30" s="99"/>
      <c r="E30" s="33"/>
      <c r="F30" s="125" t="s">
        <v>117</v>
      </c>
      <c r="G30" s="33"/>
      <c r="H30" s="33"/>
      <c r="I30" s="140" t="s">
        <v>114</v>
      </c>
      <c r="J30" s="141">
        <f>J29-((B27-B24)*0.25*$D$2*10)/(20*$D$2)</f>
        <v>2.6020357003859491</v>
      </c>
      <c r="K30" s="74"/>
      <c r="L30" s="142" t="s">
        <v>33</v>
      </c>
      <c r="M30" s="143">
        <f>J30-M29</f>
        <v>-4.3828715872380268</v>
      </c>
      <c r="N30" s="19">
        <f>AVERAGE(J24:J25)-M29</f>
        <v>-2.4402238825294926</v>
      </c>
      <c r="O30" s="74"/>
      <c r="P30" s="130">
        <f>$M$29-(((B27-B23)*1.3)/(A27-A23))</f>
        <v>6.6815739542906423</v>
      </c>
      <c r="Q30" s="30"/>
      <c r="R30" s="63"/>
      <c r="S30" s="144"/>
      <c r="U30" s="14">
        <v>319.79000000000002</v>
      </c>
      <c r="V30" s="15"/>
      <c r="W30" s="110"/>
      <c r="X30" s="69"/>
      <c r="Y30" s="13" t="s">
        <v>118</v>
      </c>
    </row>
    <row r="31" spans="1:67" ht="14.1" customHeight="1">
      <c r="A31" s="145"/>
      <c r="B31" s="139"/>
      <c r="C31" s="146"/>
      <c r="D31" s="147"/>
      <c r="E31" s="148"/>
      <c r="F31" s="145"/>
      <c r="G31" s="148"/>
      <c r="H31" s="148"/>
      <c r="I31" s="148"/>
      <c r="J31" s="149"/>
      <c r="K31" s="150"/>
      <c r="L31" s="133"/>
      <c r="M31" s="134"/>
      <c r="N31" s="101"/>
      <c r="O31" s="150"/>
      <c r="P31" s="150"/>
      <c r="Q31" s="96"/>
      <c r="R31" s="151"/>
      <c r="S31" s="101" t="s">
        <v>32</v>
      </c>
      <c r="T31" s="13">
        <v>210</v>
      </c>
      <c r="U31" s="14">
        <v>357.53</v>
      </c>
      <c r="V31" s="15"/>
      <c r="W31" s="110"/>
      <c r="X31" s="69"/>
      <c r="Y31" s="13" t="s">
        <v>119</v>
      </c>
    </row>
    <row r="32" spans="1:67" ht="14.1" customHeight="1">
      <c r="A32" s="145"/>
      <c r="B32" s="148"/>
      <c r="C32" s="146"/>
      <c r="D32" s="147"/>
      <c r="E32" s="148"/>
      <c r="F32" s="148"/>
      <c r="G32" s="148"/>
      <c r="H32" s="148"/>
      <c r="I32" s="148"/>
      <c r="J32" s="152"/>
      <c r="K32" s="153"/>
      <c r="L32" s="58"/>
      <c r="M32" s="124"/>
      <c r="N32" s="101"/>
      <c r="O32" s="150"/>
      <c r="P32" s="150"/>
      <c r="Q32" s="96"/>
      <c r="R32" s="145"/>
      <c r="S32" s="58"/>
      <c r="U32" s="14">
        <v>341.05</v>
      </c>
      <c r="V32" s="15"/>
      <c r="W32" s="110"/>
      <c r="X32" s="69"/>
      <c r="Y32" s="13" t="s">
        <v>120</v>
      </c>
    </row>
    <row r="33" spans="1:99" ht="14.1" customHeight="1">
      <c r="A33" s="145"/>
      <c r="B33" s="148"/>
      <c r="C33" s="146"/>
      <c r="D33" s="147"/>
      <c r="E33" s="148"/>
      <c r="F33" s="145"/>
      <c r="G33" s="148"/>
      <c r="H33" s="148"/>
      <c r="I33" s="148"/>
      <c r="J33" s="149"/>
      <c r="K33" s="150"/>
      <c r="L33" s="150"/>
      <c r="M33" s="124"/>
      <c r="N33" s="124"/>
      <c r="O33" s="150"/>
      <c r="P33" s="150"/>
      <c r="Q33" s="96"/>
      <c r="R33" s="145"/>
      <c r="S33" s="58"/>
      <c r="T33" s="13">
        <v>220</v>
      </c>
      <c r="U33" s="14">
        <v>265.04000000000002</v>
      </c>
      <c r="V33" s="15"/>
      <c r="W33" s="110"/>
      <c r="X33" s="69"/>
      <c r="Y33" s="20" t="s">
        <v>121</v>
      </c>
    </row>
    <row r="34" spans="1:99" ht="14.1" customHeight="1">
      <c r="A34" s="145"/>
      <c r="B34" s="148"/>
      <c r="C34" s="146"/>
      <c r="D34" s="147"/>
      <c r="E34" s="148"/>
      <c r="F34" s="145"/>
      <c r="G34" s="148"/>
      <c r="H34" s="148"/>
      <c r="I34" s="148"/>
      <c r="J34" s="149"/>
      <c r="K34" s="150"/>
      <c r="L34" s="150"/>
      <c r="M34" s="124"/>
      <c r="N34" s="124"/>
      <c r="O34" s="150"/>
      <c r="P34" s="150"/>
      <c r="Q34" s="96"/>
      <c r="R34" s="145"/>
      <c r="S34" s="58"/>
      <c r="U34" s="14">
        <v>201.96</v>
      </c>
      <c r="V34" s="15"/>
      <c r="W34" s="110"/>
    </row>
    <row r="35" spans="1:99" ht="14.1" customHeight="1">
      <c r="A35" s="145"/>
      <c r="B35" s="148"/>
      <c r="C35" s="146"/>
      <c r="D35" s="147"/>
      <c r="E35" s="148"/>
      <c r="F35" s="145"/>
      <c r="G35" s="148"/>
      <c r="H35" s="148"/>
      <c r="I35" s="148"/>
      <c r="J35" s="149"/>
      <c r="K35" s="150"/>
      <c r="L35" s="150"/>
      <c r="M35" s="124"/>
      <c r="N35" s="124"/>
      <c r="O35" s="150"/>
      <c r="P35" s="150"/>
      <c r="Q35" s="96"/>
      <c r="R35" s="145"/>
      <c r="S35" s="58"/>
      <c r="T35" s="13">
        <v>230</v>
      </c>
      <c r="U35" s="14">
        <v>221.22</v>
      </c>
      <c r="V35" s="15"/>
      <c r="W35" s="110"/>
    </row>
    <row r="36" spans="1:99" ht="14.1" customHeight="1">
      <c r="A36" s="145"/>
      <c r="B36" s="139"/>
      <c r="C36" s="146"/>
      <c r="D36" s="147"/>
      <c r="E36" s="148"/>
      <c r="F36" s="145"/>
      <c r="G36" s="148"/>
      <c r="H36" s="148"/>
      <c r="I36" s="148"/>
      <c r="J36" s="149"/>
      <c r="K36" s="150"/>
      <c r="L36" s="150"/>
      <c r="M36" s="124"/>
      <c r="N36" s="124"/>
      <c r="O36" s="150"/>
      <c r="P36" s="150"/>
      <c r="Q36" s="96"/>
      <c r="R36" s="145"/>
      <c r="S36" s="58"/>
      <c r="U36" s="14">
        <v>184.49</v>
      </c>
      <c r="V36" s="15"/>
      <c r="W36" s="110"/>
      <c r="X36"/>
    </row>
    <row r="37" spans="1:99" ht="14.1" customHeight="1">
      <c r="A37" s="145"/>
      <c r="B37" s="139"/>
      <c r="C37" s="146"/>
      <c r="D37" s="147"/>
      <c r="E37" s="148"/>
      <c r="F37" s="145"/>
      <c r="G37" s="148"/>
      <c r="H37" s="148"/>
      <c r="I37" s="148"/>
      <c r="J37" s="149"/>
      <c r="K37" s="150"/>
      <c r="L37" s="150"/>
      <c r="M37" s="124"/>
      <c r="N37" s="124"/>
      <c r="O37" s="150"/>
      <c r="P37" s="150"/>
      <c r="Q37" s="96"/>
      <c r="R37" s="96"/>
      <c r="S37" s="58"/>
      <c r="T37" s="13">
        <v>235</v>
      </c>
      <c r="U37" s="14">
        <v>213.06</v>
      </c>
      <c r="V37" s="15"/>
      <c r="W37" s="15"/>
      <c r="X37" s="6"/>
    </row>
    <row r="38" spans="1:99" s="156" customFormat="1" ht="14.1" customHeight="1">
      <c r="A38" s="154"/>
      <c r="B38" s="139"/>
      <c r="C38" s="155"/>
      <c r="D38" s="139"/>
      <c r="E38" s="139"/>
      <c r="F38" s="139"/>
      <c r="G38" s="139"/>
      <c r="H38" s="139"/>
      <c r="I38" s="139"/>
      <c r="J38" s="124"/>
      <c r="K38" s="124"/>
      <c r="L38" s="124"/>
      <c r="M38" s="124"/>
      <c r="N38" s="124"/>
      <c r="O38" s="124"/>
      <c r="P38" s="124"/>
      <c r="Q38" s="155"/>
      <c r="R38" s="145"/>
      <c r="S38" s="58"/>
      <c r="T38" s="13"/>
      <c r="U38" s="14">
        <v>228.65</v>
      </c>
      <c r="V38" s="15"/>
      <c r="W38" s="15"/>
      <c r="X38" s="6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</row>
    <row r="39" spans="1:99" s="3" customFormat="1" ht="14.1" customHeight="1">
      <c r="A39" s="157"/>
      <c r="B39" s="158"/>
      <c r="C39" s="159"/>
      <c r="D39" s="160"/>
      <c r="E39" s="160"/>
      <c r="F39" s="161"/>
      <c r="G39" s="160"/>
      <c r="H39" s="148"/>
      <c r="I39" s="162"/>
      <c r="J39" s="163"/>
      <c r="K39" s="150"/>
      <c r="L39" s="155"/>
      <c r="M39" s="134"/>
      <c r="N39" s="155"/>
      <c r="O39" s="155"/>
      <c r="P39" s="155"/>
      <c r="Q39" s="58"/>
      <c r="R39" s="58"/>
      <c r="S39" s="58"/>
      <c r="T39" s="13">
        <v>240</v>
      </c>
      <c r="U39" s="14">
        <v>220.19</v>
      </c>
      <c r="V39" s="15"/>
      <c r="W39" s="15"/>
      <c r="X39" s="6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</row>
    <row r="40" spans="1:99" ht="14.1" customHeight="1">
      <c r="A40" s="164"/>
      <c r="B40" s="165"/>
      <c r="C40" s="164"/>
      <c r="D40" s="148"/>
      <c r="E40" s="164"/>
      <c r="F40" s="164"/>
      <c r="G40" s="96"/>
      <c r="H40" s="101"/>
      <c r="I40" s="58"/>
      <c r="J40" s="155"/>
      <c r="K40" s="166"/>
      <c r="L40" s="167"/>
      <c r="M40" s="168"/>
      <c r="N40" s="134"/>
      <c r="O40" s="169"/>
      <c r="P40" s="169"/>
      <c r="Q40" s="58"/>
      <c r="R40" s="58"/>
      <c r="S40" s="58"/>
      <c r="U40" s="14">
        <v>236.03</v>
      </c>
      <c r="V40" s="15"/>
      <c r="W40" s="15"/>
    </row>
    <row r="41" spans="1:99" ht="14.1" customHeight="1">
      <c r="A41" s="164"/>
      <c r="B41" s="170"/>
      <c r="C41" s="164"/>
      <c r="D41" s="171"/>
      <c r="E41" s="164"/>
      <c r="F41" s="164"/>
      <c r="G41" s="124"/>
      <c r="H41" s="58"/>
      <c r="I41" s="58"/>
      <c r="J41" s="170"/>
      <c r="K41" s="170"/>
      <c r="L41" s="96"/>
      <c r="M41" s="172"/>
      <c r="N41" s="160"/>
      <c r="O41" s="58"/>
      <c r="P41" s="58"/>
      <c r="Q41" s="58"/>
      <c r="R41" s="58"/>
      <c r="S41" s="58"/>
      <c r="U41" s="173"/>
      <c r="V41" s="174"/>
      <c r="W41" s="175"/>
    </row>
    <row r="42" spans="1:99" ht="14.1" customHeight="1">
      <c r="A42" s="3"/>
      <c r="B42" s="3"/>
      <c r="C42" s="3"/>
      <c r="D42" s="33"/>
      <c r="E42" s="3"/>
      <c r="F42" s="3"/>
      <c r="G42" s="19"/>
      <c r="H42" s="40"/>
      <c r="I42" s="40"/>
      <c r="J42" s="30"/>
      <c r="K42" s="30"/>
      <c r="L42" s="30"/>
      <c r="M42" s="30"/>
      <c r="N42" s="33"/>
      <c r="O42" s="33"/>
      <c r="P42" s="33"/>
      <c r="Q42" s="40"/>
      <c r="R42" s="40"/>
      <c r="U42" s="173"/>
      <c r="V42" s="174"/>
      <c r="W42" s="175"/>
    </row>
    <row r="43" spans="1:99" ht="14.1" customHeight="1">
      <c r="A43" s="30"/>
      <c r="B43" s="176"/>
      <c r="C43" s="3"/>
      <c r="D43" s="33"/>
      <c r="E43" s="177"/>
      <c r="F43" s="177"/>
      <c r="G43" s="33"/>
      <c r="H43" s="174"/>
      <c r="I43" s="40"/>
      <c r="J43" s="30"/>
      <c r="K43" s="30"/>
      <c r="L43" s="30"/>
      <c r="M43" s="33"/>
      <c r="N43" s="178"/>
      <c r="O43" s="33"/>
      <c r="P43" s="33"/>
      <c r="Q43" s="40"/>
      <c r="R43" s="40"/>
      <c r="U43" s="173"/>
      <c r="V43" s="174"/>
      <c r="W43" s="175"/>
    </row>
    <row r="44" spans="1:99" ht="14.1" customHeight="1">
      <c r="A44" s="3"/>
      <c r="B44" s="30"/>
      <c r="C44" s="3"/>
      <c r="D44" s="41"/>
      <c r="E44" s="42"/>
      <c r="F44" s="42"/>
      <c r="G44" s="19"/>
      <c r="H44" s="19"/>
      <c r="I44" s="30"/>
      <c r="J44" s="179"/>
      <c r="K44" s="179"/>
      <c r="L44" s="180"/>
      <c r="M44" s="39"/>
      <c r="N44" s="179"/>
      <c r="O44" s="180"/>
      <c r="P44" s="180"/>
      <c r="Q44" s="46"/>
      <c r="R44" s="46"/>
      <c r="U44" s="173"/>
      <c r="V44" s="174"/>
      <c r="W44" s="175"/>
    </row>
    <row r="45" spans="1:99" s="1" customFormat="1" ht="14.1" customHeight="1">
      <c r="A45" s="3"/>
      <c r="B45" s="181"/>
      <c r="C45" s="181"/>
      <c r="D45" s="25"/>
      <c r="E45" s="181"/>
      <c r="F45" s="181"/>
      <c r="G45" s="181"/>
      <c r="H45" s="95"/>
      <c r="I45" s="95"/>
      <c r="J45" s="182"/>
      <c r="K45" s="182"/>
      <c r="L45" s="182"/>
      <c r="M45" s="182"/>
      <c r="N45" s="182"/>
      <c r="O45" s="54"/>
      <c r="P45" s="54"/>
      <c r="Q45" s="55"/>
      <c r="R45" s="55"/>
      <c r="S45" s="13"/>
      <c r="T45" s="13"/>
      <c r="U45" s="173"/>
      <c r="V45" s="40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</row>
    <row r="46" spans="1:99" ht="14.1" customHeight="1">
      <c r="A46" s="70"/>
      <c r="B46" s="33"/>
      <c r="C46" s="36"/>
      <c r="D46" s="33"/>
      <c r="E46" s="33"/>
      <c r="F46" s="33"/>
      <c r="G46" s="33"/>
      <c r="H46" s="33"/>
      <c r="I46" s="33"/>
      <c r="J46" s="74"/>
      <c r="K46" s="74"/>
      <c r="L46" s="74"/>
      <c r="M46" s="30"/>
      <c r="N46" s="19"/>
      <c r="O46" s="74"/>
      <c r="P46" s="74"/>
      <c r="Q46" s="30"/>
      <c r="R46" s="30"/>
      <c r="U46" s="173"/>
    </row>
    <row r="47" spans="1:99" ht="14.1" customHeight="1">
      <c r="A47" s="70"/>
      <c r="B47" s="33"/>
      <c r="C47" s="36"/>
      <c r="D47" s="33"/>
      <c r="E47" s="33"/>
      <c r="F47" s="33"/>
      <c r="G47" s="33"/>
      <c r="H47" s="33"/>
      <c r="I47" s="33"/>
      <c r="J47" s="74"/>
      <c r="K47" s="74"/>
      <c r="L47" s="74"/>
      <c r="M47" s="30"/>
      <c r="N47" s="19"/>
      <c r="O47" s="74"/>
      <c r="P47" s="74"/>
      <c r="Q47" s="30"/>
      <c r="R47" s="30"/>
      <c r="T47" s="40"/>
      <c r="U47" s="173"/>
    </row>
    <row r="48" spans="1:99" s="80" customFormat="1" ht="14.1" customHeight="1">
      <c r="A48" s="183"/>
      <c r="B48" s="25"/>
      <c r="C48" s="184"/>
      <c r="D48" s="25"/>
      <c r="E48" s="25"/>
      <c r="F48" s="25"/>
      <c r="G48" s="25"/>
      <c r="H48" s="25"/>
      <c r="I48" s="25"/>
      <c r="J48" s="95"/>
      <c r="K48" s="95"/>
      <c r="L48" s="95"/>
      <c r="M48" s="95"/>
      <c r="N48" s="95"/>
      <c r="O48" s="95"/>
      <c r="P48" s="95"/>
      <c r="Q48" s="95"/>
      <c r="R48" s="95"/>
      <c r="S48" s="13"/>
      <c r="T48" s="40"/>
      <c r="U48" s="17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</row>
    <row r="49" spans="1:99" ht="14.1" customHeight="1">
      <c r="A49" s="30"/>
      <c r="B49" s="176"/>
      <c r="C49" s="185"/>
      <c r="D49" s="33"/>
      <c r="E49" s="40"/>
      <c r="F49" s="40"/>
      <c r="G49" s="40"/>
      <c r="H49" s="40"/>
      <c r="I49" s="40"/>
      <c r="J49" s="40"/>
      <c r="K49" s="40"/>
      <c r="L49" s="40"/>
      <c r="M49" s="30"/>
      <c r="N49" s="40"/>
      <c r="O49" s="40"/>
      <c r="P49" s="40"/>
      <c r="Q49" s="30"/>
      <c r="R49" s="30"/>
      <c r="T49" s="40"/>
      <c r="U49" s="173"/>
    </row>
    <row r="50" spans="1:99" ht="14.1" customHeight="1">
      <c r="A50" s="30"/>
      <c r="B50" s="176"/>
      <c r="C50" s="185"/>
      <c r="D50" s="33"/>
      <c r="E50" s="40"/>
      <c r="F50" s="40"/>
      <c r="G50" s="40"/>
      <c r="H50" s="40"/>
      <c r="I50" s="40"/>
      <c r="J50" s="40"/>
      <c r="K50" s="40"/>
      <c r="L50" s="40"/>
      <c r="M50" s="30"/>
      <c r="N50" s="40"/>
      <c r="O50" s="40"/>
      <c r="P50" s="40"/>
      <c r="Q50" s="30"/>
      <c r="R50" s="30"/>
      <c r="T50" s="40"/>
      <c r="U50" s="173"/>
    </row>
    <row r="51" spans="1:99" ht="14.1" customHeight="1">
      <c r="A51" s="30"/>
      <c r="B51" s="176"/>
      <c r="C51" s="185"/>
      <c r="D51" s="33"/>
      <c r="E51" s="40"/>
      <c r="F51" s="40"/>
      <c r="G51" s="40"/>
      <c r="H51" s="40"/>
      <c r="I51" s="40"/>
      <c r="J51" s="40"/>
      <c r="K51" s="40"/>
      <c r="L51" s="40"/>
      <c r="M51" s="19"/>
      <c r="N51" s="40"/>
      <c r="O51" s="40"/>
      <c r="P51" s="40"/>
      <c r="Q51" s="30"/>
      <c r="R51" s="30"/>
      <c r="T51" s="40"/>
      <c r="U51" s="173"/>
    </row>
    <row r="52" spans="1:99" ht="14.1" customHeight="1">
      <c r="A52" s="30"/>
      <c r="B52" s="176"/>
      <c r="C52" s="185"/>
      <c r="D52" s="33"/>
      <c r="E52" s="40"/>
      <c r="F52" s="40"/>
      <c r="G52" s="40"/>
      <c r="H52" s="40"/>
      <c r="I52" s="40"/>
      <c r="J52" s="40"/>
      <c r="K52" s="40"/>
      <c r="L52" s="40"/>
      <c r="M52" s="19"/>
      <c r="N52" s="40"/>
      <c r="O52" s="40"/>
      <c r="P52" s="40"/>
      <c r="Q52" s="30"/>
      <c r="R52" s="30"/>
      <c r="U52" s="173"/>
    </row>
    <row r="53" spans="1:99" ht="14.1" customHeight="1">
      <c r="A53" s="30"/>
      <c r="B53" s="176"/>
      <c r="C53" s="186"/>
      <c r="D53" s="33"/>
      <c r="E53" s="33"/>
      <c r="F53" s="33"/>
      <c r="G53" s="33"/>
      <c r="H53" s="33"/>
      <c r="I53" s="33"/>
      <c r="J53" s="187"/>
      <c r="K53" s="188"/>
      <c r="L53" s="40"/>
      <c r="M53" s="19"/>
      <c r="N53" s="40"/>
      <c r="O53" s="40"/>
      <c r="P53" s="40"/>
      <c r="Q53" s="30"/>
      <c r="R53" s="30"/>
      <c r="U53" s="173"/>
    </row>
    <row r="54" spans="1:99" ht="14.1" customHeight="1">
      <c r="A54" s="70"/>
      <c r="B54" s="189"/>
      <c r="C54" s="36"/>
      <c r="D54" s="33"/>
      <c r="E54" s="33"/>
      <c r="F54" s="33"/>
      <c r="G54" s="33"/>
      <c r="H54" s="33"/>
      <c r="I54" s="33"/>
      <c r="J54" s="132"/>
      <c r="K54" s="74"/>
      <c r="L54" s="74"/>
      <c r="M54" s="19"/>
      <c r="N54" s="19"/>
      <c r="O54" s="74"/>
      <c r="P54" s="74"/>
      <c r="Q54" s="30"/>
      <c r="R54" s="30"/>
      <c r="U54" s="173"/>
    </row>
    <row r="55" spans="1:99" ht="14.1" customHeight="1">
      <c r="A55" s="70"/>
      <c r="B55" s="189"/>
      <c r="C55" s="36"/>
      <c r="D55" s="33"/>
      <c r="E55" s="33"/>
      <c r="F55" s="33"/>
      <c r="G55" s="33"/>
      <c r="H55" s="33"/>
      <c r="I55" s="33"/>
      <c r="J55" s="132"/>
      <c r="K55" s="74"/>
      <c r="L55" s="74"/>
      <c r="M55" s="19"/>
      <c r="N55" s="19"/>
      <c r="O55" s="74"/>
      <c r="P55" s="74"/>
      <c r="Q55" s="30"/>
      <c r="R55" s="30"/>
      <c r="U55" s="173"/>
    </row>
    <row r="56" spans="1:99" s="30" customFormat="1" ht="14.1" customHeight="1">
      <c r="A56" s="70"/>
      <c r="B56" s="189"/>
      <c r="C56" s="36"/>
      <c r="D56" s="33"/>
      <c r="E56" s="33"/>
      <c r="F56" s="33"/>
      <c r="G56" s="33"/>
      <c r="H56" s="33"/>
      <c r="I56" s="33"/>
      <c r="J56" s="132"/>
      <c r="K56" s="74"/>
      <c r="L56" s="74"/>
      <c r="M56" s="19"/>
      <c r="N56" s="19"/>
      <c r="O56" s="74"/>
      <c r="P56" s="74"/>
      <c r="S56" s="13"/>
      <c r="T56" s="13"/>
      <c r="U56" s="17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</row>
    <row r="57" spans="1:99" ht="14.1" customHeight="1">
      <c r="A57" s="70"/>
      <c r="B57" s="189"/>
      <c r="C57" s="36"/>
      <c r="D57" s="33"/>
      <c r="E57" s="33"/>
      <c r="F57" s="33"/>
      <c r="G57" s="33"/>
      <c r="H57" s="33"/>
      <c r="I57" s="33"/>
      <c r="J57" s="132"/>
      <c r="K57" s="74"/>
      <c r="L57" s="74"/>
      <c r="M57" s="19"/>
      <c r="N57" s="19"/>
      <c r="O57" s="74"/>
      <c r="P57" s="74"/>
      <c r="Q57" s="30"/>
      <c r="R57" s="30"/>
      <c r="U57" s="173"/>
    </row>
    <row r="58" spans="1:99" ht="14.1" customHeight="1">
      <c r="A58" s="183"/>
      <c r="B58" s="25"/>
      <c r="C58" s="184"/>
      <c r="D58" s="25"/>
      <c r="E58" s="25"/>
      <c r="F58" s="25"/>
      <c r="G58" s="25"/>
      <c r="H58" s="25"/>
      <c r="I58" s="25"/>
      <c r="J58" s="95"/>
      <c r="K58" s="95"/>
      <c r="L58" s="95"/>
      <c r="M58" s="95"/>
      <c r="N58" s="95"/>
      <c r="O58" s="95"/>
      <c r="P58" s="95"/>
      <c r="Q58" s="95"/>
      <c r="R58" s="95"/>
      <c r="U58" s="173"/>
    </row>
    <row r="59" spans="1:99" s="115" customFormat="1" ht="14.1" customHeight="1">
      <c r="A59" s="40"/>
      <c r="B59" s="40"/>
      <c r="C59" s="40"/>
      <c r="D59" s="19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13"/>
      <c r="T59" s="13"/>
      <c r="U59" s="17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</row>
    <row r="60" spans="1:99" s="30" customFormat="1" ht="14.1" customHeight="1">
      <c r="A60" s="191"/>
      <c r="B60" s="40"/>
      <c r="C60" s="40"/>
      <c r="D60" s="19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13"/>
      <c r="T60" s="13"/>
      <c r="U60" s="17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</row>
    <row r="61" spans="1:99" ht="14.1" customHeight="1">
      <c r="A61" s="40"/>
      <c r="B61" s="40"/>
      <c r="C61" s="40"/>
      <c r="D61" s="19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U61" s="173"/>
    </row>
    <row r="62" spans="1:99" ht="14.1" customHeight="1">
      <c r="A62" s="40"/>
      <c r="B62" s="40"/>
      <c r="C62" s="40"/>
      <c r="D62" s="19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U62" s="173"/>
    </row>
    <row r="63" spans="1:99" ht="14.1" customHeight="1">
      <c r="A63" s="40"/>
      <c r="B63" s="40"/>
      <c r="C63" s="40"/>
      <c r="D63" s="19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U63" s="173"/>
    </row>
    <row r="64" spans="1:99" s="156" customFormat="1" ht="14.1" customHeight="1">
      <c r="A64" s="30"/>
      <c r="B64" s="189"/>
      <c r="C64" s="36"/>
      <c r="D64" s="33"/>
      <c r="E64" s="189"/>
      <c r="F64" s="189"/>
      <c r="G64" s="19"/>
      <c r="H64" s="30"/>
      <c r="I64" s="30"/>
      <c r="J64" s="30"/>
      <c r="K64" s="30"/>
      <c r="L64" s="30"/>
      <c r="M64" s="30"/>
      <c r="N64" s="19"/>
      <c r="O64" s="30"/>
      <c r="P64" s="30"/>
      <c r="Q64" s="40"/>
      <c r="R64" s="40"/>
      <c r="S64" s="13"/>
      <c r="T64" s="13"/>
      <c r="U64" s="17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</row>
    <row r="65" spans="1:21" s="13" customFormat="1" ht="14.1" customHeight="1">
      <c r="A65" s="30"/>
      <c r="B65" s="189"/>
      <c r="C65" s="36"/>
      <c r="D65" s="33"/>
      <c r="E65" s="189"/>
      <c r="F65" s="189"/>
      <c r="G65" s="19"/>
      <c r="H65" s="30"/>
      <c r="I65" s="30"/>
      <c r="J65" s="30"/>
      <c r="K65" s="30"/>
      <c r="L65" s="30"/>
      <c r="M65" s="30"/>
      <c r="N65" s="19"/>
      <c r="O65" s="30"/>
      <c r="P65" s="30"/>
      <c r="Q65" s="40"/>
      <c r="R65" s="40"/>
      <c r="U65" s="173"/>
    </row>
    <row r="66" spans="1:21" s="13" customFormat="1" ht="14.1" customHeight="1">
      <c r="A66" s="12"/>
      <c r="B66" s="192"/>
      <c r="C66" s="65"/>
      <c r="D66" s="66"/>
      <c r="E66" s="192"/>
      <c r="F66" s="192"/>
      <c r="G66" s="68"/>
      <c r="H66" s="12"/>
      <c r="I66" s="12"/>
      <c r="J66" s="12"/>
      <c r="K66" s="12"/>
      <c r="L66" s="12"/>
      <c r="M66" s="12"/>
      <c r="N66" s="68"/>
      <c r="O66" s="12"/>
      <c r="P66" s="12"/>
      <c r="U66" s="173"/>
    </row>
    <row r="67" spans="1:21" ht="14.1" customHeight="1">
      <c r="C67" s="65"/>
      <c r="U67" s="173"/>
    </row>
    <row r="68" spans="1:21" ht="14.1" customHeight="1">
      <c r="A68" s="13"/>
      <c r="B68" s="13"/>
      <c r="C68" s="13"/>
      <c r="D68" s="97"/>
      <c r="E68" s="13"/>
      <c r="F68" s="13"/>
      <c r="G68" s="13"/>
      <c r="H68" s="13"/>
      <c r="I68" s="13"/>
      <c r="J68" s="13"/>
      <c r="M68" s="13"/>
      <c r="N68" s="13"/>
      <c r="O68" s="13"/>
      <c r="P68" s="13"/>
      <c r="U68" s="173"/>
    </row>
    <row r="69" spans="1:21" ht="14.1" customHeight="1">
      <c r="A69" s="13"/>
      <c r="B69" s="13"/>
      <c r="C69" s="13"/>
      <c r="D69" s="97"/>
      <c r="E69" s="13"/>
      <c r="F69" s="13"/>
      <c r="G69" s="13"/>
      <c r="H69" s="13"/>
      <c r="I69" s="13"/>
      <c r="J69" s="13"/>
      <c r="M69" s="13"/>
      <c r="N69" s="13"/>
      <c r="O69" s="13"/>
      <c r="P69" s="13"/>
      <c r="U69" s="173"/>
    </row>
    <row r="70" spans="1:21" ht="14.1" customHeight="1">
      <c r="C70" s="65"/>
      <c r="U70" s="173"/>
    </row>
    <row r="71" spans="1:21" ht="14.1" customHeight="1">
      <c r="C71" s="65"/>
      <c r="Q71" s="13"/>
      <c r="R71" s="13"/>
    </row>
    <row r="72" spans="1:21" ht="14.1" customHeight="1">
      <c r="C72" s="65"/>
      <c r="Q72" s="13"/>
      <c r="R72" s="13"/>
    </row>
    <row r="73" spans="1:21" ht="14.1" customHeight="1">
      <c r="C73" s="65"/>
    </row>
    <row r="74" spans="1:21" ht="14.1" customHeight="1">
      <c r="C74" s="65"/>
    </row>
  </sheetData>
  <pageMargins left="0.75" right="0.5" top="1" bottom="0.5" header="0.5" footer="0.5"/>
  <pageSetup scale="70" orientation="landscape" r:id="rId1"/>
  <headerFooter alignWithMargins="0">
    <oddHeader>&amp;R&amp;D</oddHead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U74"/>
  <sheetViews>
    <sheetView topLeftCell="P1" zoomScale="87" zoomScaleNormal="87" workbookViewId="0">
      <selection activeCell="AB11" sqref="AB11:CQ11"/>
    </sheetView>
  </sheetViews>
  <sheetFormatPr defaultColWidth="13.7109375" defaultRowHeight="14.1" customHeight="1"/>
  <cols>
    <col min="1" max="1" width="6.28515625" style="12" customWidth="1"/>
    <col min="2" max="2" width="16.5703125" style="192" customWidth="1"/>
    <col min="3" max="3" width="8.28515625" style="12" customWidth="1"/>
    <col min="4" max="4" width="11.140625" style="66" customWidth="1"/>
    <col min="5" max="5" width="12.85546875" style="192" customWidth="1"/>
    <col min="6" max="6" width="9.28515625" style="192" customWidth="1"/>
    <col min="7" max="7" width="9.140625" style="68" customWidth="1"/>
    <col min="8" max="8" width="10.85546875" style="12" customWidth="1"/>
    <col min="9" max="9" width="13.140625" style="12" customWidth="1"/>
    <col min="10" max="10" width="12.28515625" style="12" customWidth="1"/>
    <col min="11" max="11" width="10.140625" style="12" customWidth="1"/>
    <col min="12" max="12" width="14.42578125" style="12" customWidth="1"/>
    <col min="13" max="13" width="8.85546875" style="12" customWidth="1"/>
    <col min="14" max="14" width="17.140625" style="68" customWidth="1"/>
    <col min="15" max="15" width="15.7109375" style="12" customWidth="1"/>
    <col min="16" max="16" width="10.85546875" style="12" customWidth="1"/>
    <col min="17" max="17" width="6.140625" style="12" customWidth="1"/>
    <col min="18" max="18" width="7.28515625" style="12" customWidth="1"/>
    <col min="19" max="19" width="12" style="13" customWidth="1"/>
    <col min="20" max="20" width="10.42578125" style="13" customWidth="1"/>
    <col min="21" max="21" width="13.7109375" style="13" customWidth="1"/>
    <col min="22" max="22" width="2.5703125" style="13" customWidth="1"/>
    <col min="23" max="29" width="13.7109375" style="13" customWidth="1"/>
    <col min="30" max="31" width="25" style="13" customWidth="1"/>
    <col min="32" max="34" width="13.7109375" style="13" customWidth="1"/>
    <col min="35" max="35" width="19.85546875" style="13" customWidth="1"/>
    <col min="36" max="36" width="19.5703125" style="13" customWidth="1"/>
    <col min="37" max="37" width="27.42578125" style="13" customWidth="1"/>
    <col min="38" max="38" width="31.42578125" style="13" customWidth="1"/>
    <col min="39" max="39" width="31.28515625" style="13" customWidth="1"/>
    <col min="40" max="45" width="27.42578125" style="13" customWidth="1"/>
    <col min="46" max="46" width="31.28515625" style="13" customWidth="1"/>
    <col min="47" max="47" width="35.42578125" style="13" customWidth="1"/>
    <col min="48" max="50" width="13.7109375" style="13" customWidth="1"/>
    <col min="51" max="52" width="17.28515625" style="13" customWidth="1"/>
    <col min="53" max="60" width="17.5703125" style="13" customWidth="1"/>
    <col min="61" max="65" width="20.42578125" style="13" customWidth="1"/>
    <col min="66" max="68" width="13.7109375" style="13" customWidth="1"/>
    <col min="69" max="69" width="18.7109375" style="13" customWidth="1"/>
    <col min="70" max="72" width="13.7109375" style="13" customWidth="1"/>
    <col min="73" max="73" width="17.28515625" style="13" customWidth="1"/>
    <col min="74" max="74" width="16.85546875" style="13" customWidth="1"/>
    <col min="75" max="75" width="13.7109375" style="13" customWidth="1"/>
    <col min="76" max="76" width="17" style="13" customWidth="1"/>
    <col min="77" max="81" width="17.85546875" style="13" customWidth="1"/>
    <col min="82" max="92" width="13.7109375" style="13" customWidth="1"/>
    <col min="93" max="93" width="26.140625" style="13" customWidth="1"/>
    <col min="94" max="94" width="25.7109375" style="13" customWidth="1"/>
    <col min="95" max="95" width="22.85546875" style="13" customWidth="1"/>
    <col min="96" max="99" width="13.7109375" style="13" customWidth="1"/>
    <col min="100" max="16384" width="13.7109375" style="12"/>
  </cols>
  <sheetData>
    <row r="1" spans="1:99" ht="14.1" customHeight="1">
      <c r="A1" s="1" t="s">
        <v>0</v>
      </c>
      <c r="B1" s="2" t="s">
        <v>125</v>
      </c>
      <c r="C1" s="3" t="s">
        <v>1</v>
      </c>
      <c r="D1" s="4" t="s">
        <v>164</v>
      </c>
      <c r="E1" s="1" t="s">
        <v>2</v>
      </c>
      <c r="F1" s="1"/>
      <c r="G1" s="5">
        <v>44</v>
      </c>
      <c r="H1" s="6"/>
      <c r="I1" s="6" t="s">
        <v>3</v>
      </c>
      <c r="J1" s="5">
        <v>178</v>
      </c>
      <c r="K1" s="7"/>
      <c r="L1" s="7"/>
      <c r="M1" s="8" t="s">
        <v>4</v>
      </c>
      <c r="N1" s="9">
        <f>((AVERAGE(W7:W8))*20)</f>
        <v>7829467</v>
      </c>
      <c r="O1" s="10">
        <f>(O3*20)</f>
        <v>8143724.7134099985</v>
      </c>
      <c r="P1" s="10"/>
      <c r="Q1" s="11" t="s">
        <v>5</v>
      </c>
      <c r="S1" s="13">
        <v>-120</v>
      </c>
      <c r="T1" s="13" t="s">
        <v>6</v>
      </c>
      <c r="U1" s="14">
        <v>38.909999999999997</v>
      </c>
      <c r="V1" s="15"/>
      <c r="W1" s="15" t="s">
        <v>7</v>
      </c>
    </row>
    <row r="2" spans="1:99" ht="14.1" customHeight="1" thickBot="1">
      <c r="A2" s="16" t="s">
        <v>8</v>
      </c>
      <c r="B2" s="17">
        <v>42250</v>
      </c>
      <c r="C2" s="3" t="s">
        <v>9</v>
      </c>
      <c r="D2" s="18">
        <v>78.2</v>
      </c>
      <c r="E2" s="3" t="s">
        <v>10</v>
      </c>
      <c r="F2" s="3"/>
      <c r="G2" s="19">
        <f>D2/(D3/100*D3/100)</f>
        <v>32.051229504837202</v>
      </c>
      <c r="H2" s="13"/>
      <c r="I2" s="20" t="s">
        <v>11</v>
      </c>
      <c r="J2" s="21"/>
      <c r="K2" s="22"/>
      <c r="L2" s="23"/>
      <c r="M2" s="24" t="s">
        <v>12</v>
      </c>
      <c r="N2" s="25">
        <f>(O1*0.068)</f>
        <v>553773.28051187994</v>
      </c>
      <c r="O2" s="13"/>
      <c r="P2" s="13"/>
      <c r="Q2" s="11"/>
      <c r="R2" s="26"/>
      <c r="T2" s="13" t="s">
        <v>6</v>
      </c>
      <c r="U2" s="14">
        <v>31.93</v>
      </c>
      <c r="V2" s="15"/>
      <c r="W2" s="27">
        <v>144656.9</v>
      </c>
    </row>
    <row r="3" spans="1:99" ht="14.1" customHeight="1" thickTop="1" thickBot="1">
      <c r="A3" s="16" t="s">
        <v>13</v>
      </c>
      <c r="B3" s="28" t="s">
        <v>167</v>
      </c>
      <c r="C3" s="3" t="s">
        <v>15</v>
      </c>
      <c r="D3" s="29">
        <v>156.19999999999999</v>
      </c>
      <c r="E3" s="3" t="s">
        <v>16</v>
      </c>
      <c r="F3" s="3"/>
      <c r="G3" s="19">
        <f>SQRT(((D2*D3)/3600))</f>
        <v>1.842012787987942</v>
      </c>
      <c r="H3" s="13"/>
      <c r="I3" s="20"/>
      <c r="J3" s="30"/>
      <c r="K3" s="30"/>
      <c r="L3" s="30"/>
      <c r="M3" s="31" t="s">
        <v>17</v>
      </c>
      <c r="N3" s="32">
        <f>($O$1/$N$1)*100</f>
        <v>104.01378169688944</v>
      </c>
      <c r="O3" s="33">
        <f>((AVERAGE(W2:W5))*2.85714)</f>
        <v>407186.23567049991</v>
      </c>
      <c r="P3" s="33"/>
      <c r="Q3" s="34" t="s">
        <v>18</v>
      </c>
      <c r="R3" s="13"/>
      <c r="T3" s="13">
        <v>-30</v>
      </c>
      <c r="U3" s="14">
        <v>545.79</v>
      </c>
      <c r="V3" s="15"/>
      <c r="W3" s="27">
        <v>142224.79999999999</v>
      </c>
    </row>
    <row r="4" spans="1:99" ht="14.1" customHeight="1" thickTop="1">
      <c r="B4" s="35"/>
      <c r="C4" s="3" t="s">
        <v>19</v>
      </c>
      <c r="D4" s="19">
        <v>43.845999999999997</v>
      </c>
      <c r="E4" s="37" t="s">
        <v>20</v>
      </c>
      <c r="F4" s="37"/>
      <c r="G4" s="38">
        <v>0.41</v>
      </c>
      <c r="H4" s="13"/>
      <c r="I4" s="20"/>
      <c r="J4" s="30"/>
      <c r="K4" s="30"/>
      <c r="L4" s="30"/>
      <c r="M4" s="33"/>
      <c r="N4" s="39"/>
      <c r="O4" s="30"/>
      <c r="P4" s="30"/>
      <c r="Q4" s="30"/>
      <c r="R4" s="30"/>
      <c r="U4" s="14">
        <v>580.64</v>
      </c>
      <c r="V4" s="15"/>
      <c r="W4" s="27">
        <v>140380.79999999999</v>
      </c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</row>
    <row r="5" spans="1:99" ht="14.1" customHeight="1" thickBot="1">
      <c r="A5" s="16"/>
      <c r="B5" s="30"/>
      <c r="C5" s="3"/>
      <c r="D5" s="41" t="s">
        <v>21</v>
      </c>
      <c r="E5" s="42">
        <f>AVERAGE(U1:U2)</f>
        <v>35.42</v>
      </c>
      <c r="F5" s="42"/>
      <c r="G5" s="19"/>
      <c r="H5" s="30"/>
      <c r="I5" s="30"/>
      <c r="J5" s="43" t="s">
        <v>22</v>
      </c>
      <c r="K5" s="43"/>
      <c r="L5" s="44" t="s">
        <v>23</v>
      </c>
      <c r="M5" s="45"/>
      <c r="N5" s="43" t="s">
        <v>22</v>
      </c>
      <c r="O5" s="44" t="s">
        <v>23</v>
      </c>
      <c r="P5" s="44" t="s">
        <v>24</v>
      </c>
      <c r="Q5" s="46"/>
      <c r="R5" s="46"/>
      <c r="T5" s="13">
        <v>-20</v>
      </c>
      <c r="U5" s="14">
        <v>557.28</v>
      </c>
      <c r="V5" s="15"/>
      <c r="W5" s="27">
        <v>142798.79999999999</v>
      </c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</row>
    <row r="6" spans="1:99" s="1" customFormat="1" ht="14.1" customHeight="1">
      <c r="A6" s="47" t="s">
        <v>25</v>
      </c>
      <c r="B6" s="48" t="s">
        <v>26</v>
      </c>
      <c r="C6" s="48"/>
      <c r="D6" s="49" t="s">
        <v>27</v>
      </c>
      <c r="E6" s="48" t="s">
        <v>28</v>
      </c>
      <c r="F6" s="48"/>
      <c r="G6" s="48" t="s">
        <v>29</v>
      </c>
      <c r="H6" s="50" t="s">
        <v>30</v>
      </c>
      <c r="I6" s="50"/>
      <c r="J6" s="51" t="s">
        <v>31</v>
      </c>
      <c r="K6" s="52"/>
      <c r="L6" s="52" t="s">
        <v>31</v>
      </c>
      <c r="M6" s="52" t="s">
        <v>32</v>
      </c>
      <c r="N6" s="52" t="s">
        <v>33</v>
      </c>
      <c r="O6" s="53" t="s">
        <v>34</v>
      </c>
      <c r="P6" s="54"/>
      <c r="Q6" s="55"/>
      <c r="R6" s="55"/>
      <c r="S6" s="13"/>
      <c r="T6" s="13"/>
      <c r="U6" s="14">
        <v>516.49</v>
      </c>
      <c r="V6" s="15"/>
      <c r="W6" s="56" t="s">
        <v>35</v>
      </c>
      <c r="X6" s="13" t="s">
        <v>36</v>
      </c>
      <c r="Y6" s="57" t="s">
        <v>37</v>
      </c>
      <c r="Z6" s="58" t="s">
        <v>38</v>
      </c>
      <c r="AA6" s="40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60"/>
      <c r="AY6" s="60"/>
      <c r="AZ6" s="60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60"/>
      <c r="BO6" s="60"/>
      <c r="BP6" s="60"/>
      <c r="BQ6" s="59"/>
      <c r="BR6" s="59"/>
      <c r="BS6" s="59"/>
      <c r="BT6" s="59"/>
      <c r="BU6" s="59"/>
      <c r="BV6" s="59"/>
      <c r="BW6" s="59"/>
      <c r="BX6" s="59"/>
      <c r="BY6" s="59"/>
      <c r="BZ6" s="61"/>
      <c r="CA6" s="61"/>
      <c r="CB6" s="61"/>
      <c r="CC6" s="61"/>
      <c r="CD6" s="40"/>
      <c r="CE6" s="61"/>
      <c r="CF6" s="61"/>
      <c r="CG6" s="33"/>
      <c r="CH6" s="40"/>
      <c r="CI6" s="30"/>
      <c r="CJ6" s="30"/>
      <c r="CK6" s="30"/>
      <c r="CL6" s="30"/>
      <c r="CM6" s="30"/>
      <c r="CN6" s="30"/>
      <c r="CO6" s="30"/>
      <c r="CP6" s="62"/>
      <c r="CQ6" s="62"/>
      <c r="CR6" s="13"/>
      <c r="CS6" s="13"/>
      <c r="CT6" s="13"/>
      <c r="CU6" s="13"/>
    </row>
    <row r="7" spans="1:99" ht="14.1" customHeight="1">
      <c r="A7" s="63">
        <v>-30</v>
      </c>
      <c r="B7" s="64">
        <v>106</v>
      </c>
      <c r="C7" s="65"/>
      <c r="D7" s="42">
        <f>AVERAGE(U3:U4)</f>
        <v>563.21499999999992</v>
      </c>
      <c r="E7" s="66">
        <f>D7-$E$5</f>
        <v>527.79499999999996</v>
      </c>
      <c r="F7" s="66"/>
      <c r="G7" s="66">
        <f>($E7*7.1425)</f>
        <v>3769.7757874999998</v>
      </c>
      <c r="H7" s="66">
        <f>($G7/($B7*0.01))</f>
        <v>3556.3922523584902</v>
      </c>
      <c r="I7" s="66"/>
      <c r="J7" s="67">
        <f>$N$2/$H7/$D$2</f>
        <v>1.9912032330221927</v>
      </c>
      <c r="K7" s="67"/>
      <c r="L7" s="67">
        <f>J7/($D$4/$D$2)</f>
        <v>3.5513408936353486</v>
      </c>
      <c r="N7" s="68">
        <f>J7-M7</f>
        <v>1.9912032330221927</v>
      </c>
      <c r="O7" s="67">
        <f>N7/($D$4/$D$2)</f>
        <v>3.5513408936353486</v>
      </c>
      <c r="P7" s="67"/>
      <c r="Q7" s="30"/>
      <c r="R7" s="30"/>
      <c r="T7" s="13">
        <v>-10</v>
      </c>
      <c r="U7" s="14">
        <v>590.27</v>
      </c>
      <c r="V7" s="15"/>
      <c r="W7" s="27">
        <v>383315.7</v>
      </c>
      <c r="X7" s="69">
        <v>0.85899999999999999</v>
      </c>
      <c r="Y7" s="70">
        <v>-30</v>
      </c>
      <c r="Z7" s="71">
        <v>14.615</v>
      </c>
      <c r="AA7" s="40"/>
      <c r="AB7" s="72"/>
      <c r="AC7" s="72"/>
      <c r="AD7" s="72"/>
      <c r="AE7" s="72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19"/>
      <c r="AY7" s="74"/>
      <c r="AZ7" s="74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</row>
    <row r="8" spans="1:99" ht="14.1" customHeight="1">
      <c r="A8" s="63">
        <v>-20</v>
      </c>
      <c r="B8" s="64">
        <v>103</v>
      </c>
      <c r="C8" s="65"/>
      <c r="D8" s="66">
        <f>AVERAGE(U5:U6)</f>
        <v>536.88499999999999</v>
      </c>
      <c r="E8" s="66">
        <f>D8-$E$5</f>
        <v>501.46499999999997</v>
      </c>
      <c r="F8" s="66"/>
      <c r="G8" s="66">
        <f>($E8*7.1425)</f>
        <v>3581.7137625</v>
      </c>
      <c r="H8" s="66">
        <f>($G8/($B8*0.01))</f>
        <v>3477.3920024271843</v>
      </c>
      <c r="I8" s="66"/>
      <c r="J8" s="67">
        <f>$N$2/H8/$D$2</f>
        <v>2.036439879613368</v>
      </c>
      <c r="K8" s="67"/>
      <c r="L8" s="67">
        <f>J8/($D$4/$D$2)</f>
        <v>3.6320211327319574</v>
      </c>
      <c r="N8" s="68">
        <f>J8-M8</f>
        <v>2.036439879613368</v>
      </c>
      <c r="O8" s="67">
        <f>N8/($D$4/$D$2)</f>
        <v>3.6320211327319574</v>
      </c>
      <c r="P8" s="67"/>
      <c r="Q8" s="30"/>
      <c r="R8" s="30"/>
      <c r="U8" s="14">
        <v>555.77</v>
      </c>
      <c r="V8" s="15"/>
      <c r="W8" s="27">
        <v>399631</v>
      </c>
      <c r="X8" s="69">
        <v>0.95699999999999996</v>
      </c>
      <c r="Y8" s="70">
        <v>-20</v>
      </c>
      <c r="Z8" s="71">
        <v>17.07</v>
      </c>
      <c r="AA8" s="40"/>
      <c r="AB8" s="72"/>
      <c r="AC8" s="72"/>
      <c r="AD8" s="72"/>
      <c r="AE8" s="72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19"/>
      <c r="AY8" s="74"/>
      <c r="AZ8" s="74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</row>
    <row r="9" spans="1:99" ht="14.1" customHeight="1" thickBot="1">
      <c r="A9" s="63">
        <v>-10</v>
      </c>
      <c r="B9" s="75">
        <v>99</v>
      </c>
      <c r="C9" s="65"/>
      <c r="D9" s="66">
        <f>AVERAGE(U7:U8)</f>
        <v>573.02</v>
      </c>
      <c r="E9" s="66">
        <f>D9-$E$5</f>
        <v>537.6</v>
      </c>
      <c r="F9" s="66"/>
      <c r="G9" s="66">
        <f>($E9*7.1425)</f>
        <v>3839.808</v>
      </c>
      <c r="H9" s="66">
        <f>($G9/($B9*0.01))</f>
        <v>3878.5939393939393</v>
      </c>
      <c r="I9" s="66"/>
      <c r="J9" s="67">
        <f>$N$2/H9/$D$2</f>
        <v>1.8257904440230839</v>
      </c>
      <c r="K9" s="67"/>
      <c r="L9" s="67">
        <f>J9/($D$4/$D$2)</f>
        <v>3.2563246983215159</v>
      </c>
      <c r="N9" s="68">
        <f>J9-M9</f>
        <v>1.8257904440230839</v>
      </c>
      <c r="O9" s="67">
        <f>N9/($D$4/$D$2)</f>
        <v>3.2563246983215159</v>
      </c>
      <c r="P9" s="67"/>
      <c r="Q9" s="30"/>
      <c r="R9" s="30"/>
      <c r="T9" s="13">
        <v>-5</v>
      </c>
      <c r="U9" s="14">
        <v>585.66999999999996</v>
      </c>
      <c r="V9" s="15"/>
      <c r="W9" s="76">
        <v>394555.7</v>
      </c>
      <c r="X9" s="69">
        <v>1.0549999999999999</v>
      </c>
      <c r="Y9" s="70">
        <v>-10</v>
      </c>
      <c r="Z9" s="71">
        <v>19.645</v>
      </c>
      <c r="AA9" s="40"/>
      <c r="AB9" s="72"/>
      <c r="AC9" s="72"/>
      <c r="AD9" s="72"/>
      <c r="AE9" s="72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19"/>
      <c r="AY9" s="74"/>
      <c r="AZ9" s="74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</row>
    <row r="10" spans="1:99" s="80" customFormat="1" ht="14.1" customHeight="1">
      <c r="A10" s="77">
        <v>0</v>
      </c>
      <c r="B10" s="75">
        <v>102</v>
      </c>
      <c r="C10" s="65"/>
      <c r="D10" s="66">
        <f>AVERAGE(U11:U12)</f>
        <v>562.09</v>
      </c>
      <c r="E10" s="66">
        <f>D10-$E$5</f>
        <v>526.67000000000007</v>
      </c>
      <c r="F10" s="66"/>
      <c r="G10" s="78">
        <f>($E10*7.1425)</f>
        <v>3761.7404750000005</v>
      </c>
      <c r="H10" s="78">
        <f>($G10/($B10*0.01))</f>
        <v>3687.9808578431375</v>
      </c>
      <c r="I10" s="78"/>
      <c r="J10" s="79">
        <f>$N$2/H10/$D$2</f>
        <v>1.9201563196108387</v>
      </c>
      <c r="K10" s="79"/>
      <c r="L10" s="67">
        <f>J10/($D$4/$D$2)</f>
        <v>3.4246276557398079</v>
      </c>
      <c r="N10" s="81">
        <f>J10-M10</f>
        <v>1.9201563196108387</v>
      </c>
      <c r="O10" s="67">
        <f>N10/($D$4/$D$2)</f>
        <v>3.4246276557398079</v>
      </c>
      <c r="P10" s="67"/>
      <c r="Q10" s="30"/>
      <c r="R10" s="30"/>
      <c r="S10" s="13"/>
      <c r="T10" s="13" t="s">
        <v>39</v>
      </c>
      <c r="U10" s="14">
        <v>553.79</v>
      </c>
      <c r="V10" s="15"/>
      <c r="W10" s="15"/>
      <c r="X10" s="69">
        <v>1.1910000000000001</v>
      </c>
      <c r="Y10" s="70">
        <v>0</v>
      </c>
      <c r="Z10" s="82">
        <v>19.245000000000001</v>
      </c>
      <c r="AA10" s="30"/>
      <c r="AB10" s="83" t="s">
        <v>40</v>
      </c>
      <c r="AC10" s="83" t="s">
        <v>41</v>
      </c>
      <c r="AD10" s="83" t="s">
        <v>42</v>
      </c>
      <c r="AE10" s="83" t="s">
        <v>43</v>
      </c>
      <c r="AF10" s="83" t="s">
        <v>44</v>
      </c>
      <c r="AG10" s="83" t="s">
        <v>45</v>
      </c>
      <c r="AH10" s="83" t="s">
        <v>46</v>
      </c>
      <c r="AI10" s="83" t="s">
        <v>47</v>
      </c>
      <c r="AJ10" s="83" t="s">
        <v>48</v>
      </c>
      <c r="AK10" s="83" t="s">
        <v>49</v>
      </c>
      <c r="AL10" s="83" t="s">
        <v>50</v>
      </c>
      <c r="AM10" s="83" t="s">
        <v>51</v>
      </c>
      <c r="AN10" s="83" t="s">
        <v>52</v>
      </c>
      <c r="AO10" s="83" t="s">
        <v>53</v>
      </c>
      <c r="AP10" s="83" t="s">
        <v>54</v>
      </c>
      <c r="AQ10" s="83" t="s">
        <v>55</v>
      </c>
      <c r="AR10" s="83" t="s">
        <v>56</v>
      </c>
      <c r="AS10" s="83" t="s">
        <v>57</v>
      </c>
      <c r="AT10" s="83" t="s">
        <v>58</v>
      </c>
      <c r="AU10" s="83" t="s">
        <v>59</v>
      </c>
      <c r="AV10" s="84" t="s">
        <v>60</v>
      </c>
      <c r="AW10" s="84" t="s">
        <v>61</v>
      </c>
      <c r="AX10" s="85" t="s">
        <v>62</v>
      </c>
      <c r="AY10" s="85" t="s">
        <v>63</v>
      </c>
      <c r="AZ10" s="85" t="s">
        <v>64</v>
      </c>
      <c r="BA10" s="86" t="s">
        <v>65</v>
      </c>
      <c r="BB10" s="86" t="s">
        <v>66</v>
      </c>
      <c r="BC10" s="86" t="s">
        <v>67</v>
      </c>
      <c r="BD10" s="86" t="s">
        <v>68</v>
      </c>
      <c r="BE10" s="86" t="s">
        <v>69</v>
      </c>
      <c r="BF10" s="86" t="s">
        <v>70</v>
      </c>
      <c r="BG10" s="86" t="s">
        <v>71</v>
      </c>
      <c r="BH10" s="86" t="s">
        <v>72</v>
      </c>
      <c r="BI10" s="86" t="s">
        <v>73</v>
      </c>
      <c r="BJ10" s="86" t="s">
        <v>74</v>
      </c>
      <c r="BK10" s="86" t="s">
        <v>75</v>
      </c>
      <c r="BL10" s="86" t="s">
        <v>76</v>
      </c>
      <c r="BM10" s="86" t="s">
        <v>77</v>
      </c>
      <c r="BN10" s="87" t="s">
        <v>78</v>
      </c>
      <c r="BO10" s="87" t="s">
        <v>79</v>
      </c>
      <c r="BP10" s="87" t="s">
        <v>80</v>
      </c>
      <c r="BQ10" s="88" t="s">
        <v>81</v>
      </c>
      <c r="BR10" s="88" t="s">
        <v>82</v>
      </c>
      <c r="BS10" s="88" t="s">
        <v>83</v>
      </c>
      <c r="BT10" s="88" t="s">
        <v>84</v>
      </c>
      <c r="BU10" s="88" t="s">
        <v>85</v>
      </c>
      <c r="BV10" s="88" t="s">
        <v>86</v>
      </c>
      <c r="BW10" s="88" t="s">
        <v>87</v>
      </c>
      <c r="BX10" s="88" t="s">
        <v>88</v>
      </c>
      <c r="BY10" s="88" t="s">
        <v>89</v>
      </c>
      <c r="BZ10" s="88" t="s">
        <v>90</v>
      </c>
      <c r="CA10" s="88" t="s">
        <v>91</v>
      </c>
      <c r="CB10" s="88" t="s">
        <v>92</v>
      </c>
      <c r="CC10" s="88" t="s">
        <v>93</v>
      </c>
      <c r="CD10" s="40"/>
      <c r="CE10" s="89" t="s">
        <v>94</v>
      </c>
      <c r="CF10" s="89" t="s">
        <v>95</v>
      </c>
      <c r="CG10" s="90" t="s">
        <v>96</v>
      </c>
      <c r="CH10" s="40"/>
      <c r="CI10" s="91" t="s">
        <v>97</v>
      </c>
      <c r="CJ10" s="91" t="s">
        <v>98</v>
      </c>
      <c r="CK10" s="91" t="s">
        <v>99</v>
      </c>
      <c r="CL10" s="91" t="s">
        <v>100</v>
      </c>
      <c r="CM10" s="91" t="s">
        <v>101</v>
      </c>
      <c r="CN10" s="91" t="s">
        <v>102</v>
      </c>
      <c r="CO10" s="91" t="s">
        <v>103</v>
      </c>
      <c r="CP10" s="92" t="s">
        <v>104</v>
      </c>
      <c r="CQ10" s="92" t="s">
        <v>105</v>
      </c>
      <c r="CR10" s="13"/>
      <c r="CS10" s="13"/>
      <c r="CT10" s="13"/>
      <c r="CU10" s="13"/>
    </row>
    <row r="11" spans="1:99" s="49" customFormat="1" ht="14.1" customHeight="1">
      <c r="A11" s="93" t="s">
        <v>106</v>
      </c>
      <c r="B11" s="49">
        <f>AVERAGE(B7:B10)</f>
        <v>102.5</v>
      </c>
      <c r="E11" s="50">
        <f>AVERAGE(E7:E10)</f>
        <v>523.38250000000005</v>
      </c>
      <c r="G11" s="50">
        <f>AVERAGE(G7:G10)</f>
        <v>3738.25950625</v>
      </c>
      <c r="H11" s="50">
        <f>AVERAGE(H7:H10)</f>
        <v>3650.0897630056879</v>
      </c>
      <c r="J11" s="94">
        <f>AVERAGE(J7:J10)</f>
        <v>1.9433974690673708</v>
      </c>
      <c r="K11" s="50" t="s">
        <v>39</v>
      </c>
      <c r="L11" s="50">
        <f>AVERAGE(L7:L10)</f>
        <v>3.4660785951071573</v>
      </c>
      <c r="M11" s="50"/>
      <c r="N11" s="94">
        <f>AVERAGE(N7:N10)</f>
        <v>1.9433974690673708</v>
      </c>
      <c r="O11" s="50">
        <f>AVERAGE(O7:O10)</f>
        <v>3.4660785951071573</v>
      </c>
      <c r="P11" s="95"/>
      <c r="Q11" s="95"/>
      <c r="R11" s="95"/>
      <c r="S11" s="6"/>
      <c r="T11" s="13">
        <v>0</v>
      </c>
      <c r="U11" s="14">
        <v>573.99</v>
      </c>
      <c r="V11" s="15"/>
      <c r="W11" s="15"/>
      <c r="X11" s="96">
        <f>AVERAGE(X7:X10)</f>
        <v>1.0154999999999998</v>
      </c>
      <c r="Y11" s="70" t="s">
        <v>107</v>
      </c>
      <c r="Z11" s="96">
        <f>AVERAGE(Z7:Z10)</f>
        <v>17.643750000000001</v>
      </c>
      <c r="AA11" s="30"/>
      <c r="AB11" s="72">
        <f>J11</f>
        <v>1.9433974690673708</v>
      </c>
      <c r="AC11" s="73">
        <f>AB11/($D$4/$D$2)</f>
        <v>3.4660785951071573</v>
      </c>
      <c r="AD11" s="73">
        <f>AB11/Z11</f>
        <v>0.11014650905093139</v>
      </c>
      <c r="AE11" s="73">
        <f>AC11/Z11</f>
        <v>0.196447954380852</v>
      </c>
      <c r="AF11" s="72">
        <f>N20</f>
        <v>0.20709865457662538</v>
      </c>
      <c r="AG11" s="72">
        <f>AF11/($D$4/$D$2)</f>
        <v>0.36936356310477825</v>
      </c>
      <c r="AH11" s="72">
        <f>AF11/Z18</f>
        <v>3.2456330918284328E-3</v>
      </c>
      <c r="AI11" s="72">
        <f>AG11/Z18</f>
        <v>5.7886354007431343E-3</v>
      </c>
      <c r="AJ11" s="73">
        <f>((AB11-AF11)/AB11)*100</f>
        <v>89.343474102803526</v>
      </c>
      <c r="AK11" s="73">
        <f>((AC11-AG11)/AC11)*100</f>
        <v>89.343474102803526</v>
      </c>
      <c r="AL11" s="73">
        <f>((AD11-AH11)/AD11)*100</f>
        <v>97.053349107661987</v>
      </c>
      <c r="AM11" s="73">
        <f>((AE11-AI11)/AE11)*100</f>
        <v>97.053349107661987</v>
      </c>
      <c r="AN11" s="72">
        <f>N29</f>
        <v>-0.46919636519267505</v>
      </c>
      <c r="AO11" s="72">
        <f>AN11/($D$4/$D$2)</f>
        <v>-0.83681876928493348</v>
      </c>
      <c r="AP11" s="72">
        <f>AN11/Z25</f>
        <v>-1.5859801419438719E-3</v>
      </c>
      <c r="AQ11" s="72">
        <f>AO11/Z25</f>
        <v>-2.8286194202438264E-3</v>
      </c>
      <c r="AR11" s="73">
        <f>((AB11-AN11)/AB11)*100</f>
        <v>124.14309849944595</v>
      </c>
      <c r="AS11" s="73">
        <f>((AC11-AO11)/AC11)*100</f>
        <v>124.14309849944594</v>
      </c>
      <c r="AT11" s="73">
        <f>((AD11-AP11)/AD11)*100</f>
        <v>101.43988234907246</v>
      </c>
      <c r="AU11" s="73">
        <f>((AE11-AQ11)/AE11)*100</f>
        <v>101.43988234907246</v>
      </c>
      <c r="AV11" s="72">
        <f>J11</f>
        <v>1.9433974690673708</v>
      </c>
      <c r="AW11" s="72">
        <f>AV11/($D$4/$D$2)</f>
        <v>3.4660785951071573</v>
      </c>
      <c r="AX11" s="95">
        <f>M20</f>
        <v>1.8057971014492751</v>
      </c>
      <c r="AY11" s="95">
        <f>AX11/($D$4/$D$2)</f>
        <v>3.2206662713436423</v>
      </c>
      <c r="AZ11" s="95">
        <f>AX11/Z11</f>
        <v>0.10234769260782288</v>
      </c>
      <c r="BA11" s="73">
        <f>AY11/Z11</f>
        <v>0.18253864803931374</v>
      </c>
      <c r="BB11" s="72">
        <f>P21</f>
        <v>1.7624637681159419</v>
      </c>
      <c r="BC11" s="73">
        <f>BB11/($D$4/$D$2)</f>
        <v>3.1433806200489594</v>
      </c>
      <c r="BD11" s="73">
        <f>BB11/Z18</f>
        <v>2.7621187306309854E-2</v>
      </c>
      <c r="BE11" s="73">
        <f>BC11/Z18</f>
        <v>4.9262802703859666E-2</v>
      </c>
      <c r="BF11" s="72">
        <f>K20</f>
        <v>1.9616809222663099</v>
      </c>
      <c r="BG11" s="73">
        <f>BF11/($D$4/$D$2)</f>
        <v>3.4986874086855235</v>
      </c>
      <c r="BH11" s="73">
        <f>BF11/Z18</f>
        <v>3.0743302171286378E-2</v>
      </c>
      <c r="BI11" s="73">
        <f>BG11/Z18</f>
        <v>5.4831141490548629E-2</v>
      </c>
      <c r="BJ11" s="72">
        <f>J21</f>
        <v>1.5820688287955096</v>
      </c>
      <c r="BK11" s="73">
        <f>BJ11/($D$4/$D$2)</f>
        <v>2.8216435344571655</v>
      </c>
      <c r="BL11" s="73">
        <f>BJ11/Z18</f>
        <v>2.4794052645035911E-2</v>
      </c>
      <c r="BM11" s="73">
        <f>BK11/Z18</f>
        <v>4.422056554399053E-2</v>
      </c>
      <c r="BN11" s="95">
        <f>M29</f>
        <v>4.5979539641943727</v>
      </c>
      <c r="BO11" s="95">
        <f>BN11/($D$4/$D$2)</f>
        <v>8.2005200018245681</v>
      </c>
      <c r="BP11" s="95">
        <f>BN11/Z25</f>
        <v>1.5542029354361726E-2</v>
      </c>
      <c r="BQ11" s="73">
        <f>BO11/Z25</f>
        <v>2.7719442948298298E-2</v>
      </c>
      <c r="BR11" s="72">
        <f>P30</f>
        <v>4.4679539641943729</v>
      </c>
      <c r="BS11" s="73">
        <f>BR11/($D$4/$D$2)</f>
        <v>7.9686630479405194</v>
      </c>
      <c r="BT11" s="73">
        <f>BR11/Z25</f>
        <v>1.5102602637217324E-2</v>
      </c>
      <c r="BU11" s="73">
        <f>BS11/Z25</f>
        <v>2.6935718793741618E-2</v>
      </c>
      <c r="BV11" s="72">
        <f>K29</f>
        <v>4.2824021002804713</v>
      </c>
      <c r="BW11" s="73">
        <f>BV11/($D$4/$D$2)</f>
        <v>7.637728509828329</v>
      </c>
      <c r="BX11" s="73">
        <f>BV11/Z25</f>
        <v>1.447539920321955E-2</v>
      </c>
      <c r="BY11" s="73">
        <f>BW11/Z25</f>
        <v>2.5817092042415932E-2</v>
      </c>
      <c r="BZ11" s="72">
        <f>J30</f>
        <v>5.3100827810499664</v>
      </c>
      <c r="CA11" s="73">
        <f>BZ11/($D$4/$D$2)</f>
        <v>9.470612449895258</v>
      </c>
      <c r="CB11" s="73">
        <f>BZ11/Z25</f>
        <v>1.794917110955235E-2</v>
      </c>
      <c r="CC11" s="73">
        <f>CA11/Z25</f>
        <v>3.2012616447725996E-2</v>
      </c>
      <c r="CD11" s="13"/>
      <c r="CE11" s="97">
        <f>B11</f>
        <v>102.5</v>
      </c>
      <c r="CF11" s="13">
        <f>Z11</f>
        <v>17.643750000000001</v>
      </c>
      <c r="CG11" s="40">
        <f>((CE11/18)*CF11)/22.5</f>
        <v>4.4653935185185185</v>
      </c>
      <c r="CH11" s="40"/>
      <c r="CI11" s="40">
        <f>X28</f>
        <v>0</v>
      </c>
      <c r="CJ11" s="40">
        <f>X29</f>
        <v>0</v>
      </c>
      <c r="CK11" s="40">
        <f>X30</f>
        <v>0</v>
      </c>
      <c r="CL11" s="40">
        <f>X31</f>
        <v>0</v>
      </c>
      <c r="CM11" s="40">
        <f>X32</f>
        <v>0</v>
      </c>
      <c r="CN11" s="40">
        <f>X33</f>
        <v>0</v>
      </c>
      <c r="CO11" s="13">
        <f>X11</f>
        <v>1.0154999999999998</v>
      </c>
      <c r="CP11" s="13">
        <f>X18</f>
        <v>0.24699999999999997</v>
      </c>
      <c r="CQ11" s="13">
        <f>X25</f>
        <v>7.0800000000000002E-2</v>
      </c>
      <c r="CR11" s="13"/>
      <c r="CS11" s="13"/>
      <c r="CT11" s="13"/>
      <c r="CU11" s="13"/>
    </row>
    <row r="12" spans="1:99" ht="14.1" customHeight="1" thickBot="1">
      <c r="B12" s="98"/>
      <c r="C12" s="65"/>
      <c r="D12" s="99"/>
      <c r="E12" s="13"/>
      <c r="F12" s="13"/>
      <c r="G12" s="13"/>
      <c r="H12" s="13"/>
      <c r="I12" s="13"/>
      <c r="J12" s="6" t="s">
        <v>108</v>
      </c>
      <c r="K12" s="13"/>
      <c r="L12" s="13"/>
      <c r="M12" s="12" t="s">
        <v>39</v>
      </c>
      <c r="N12" s="13"/>
      <c r="O12" s="13"/>
      <c r="P12" s="13"/>
      <c r="Q12" s="30"/>
      <c r="R12" s="30"/>
      <c r="U12" s="14">
        <v>550.19000000000005</v>
      </c>
      <c r="V12" s="15"/>
      <c r="W12" s="15"/>
      <c r="Y12" s="70"/>
      <c r="Z12" s="96"/>
      <c r="AA12" s="30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30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40"/>
      <c r="CG12" s="40"/>
      <c r="CH12" s="40"/>
      <c r="CI12" s="40"/>
      <c r="CJ12" s="40"/>
      <c r="CK12" s="40"/>
      <c r="CL12" s="40"/>
      <c r="CM12" s="40"/>
      <c r="CN12" s="40"/>
    </row>
    <row r="13" spans="1:99" ht="14.1" customHeight="1" thickBot="1">
      <c r="B13" s="98"/>
      <c r="C13" s="65"/>
      <c r="D13" s="99"/>
      <c r="E13" s="13"/>
      <c r="F13" s="13"/>
      <c r="G13" s="13"/>
      <c r="H13" s="13"/>
      <c r="I13" s="13"/>
      <c r="J13" s="6"/>
      <c r="K13" s="13"/>
      <c r="L13" s="13"/>
      <c r="M13" s="100" t="s">
        <v>32</v>
      </c>
      <c r="N13" s="101"/>
      <c r="O13" s="101"/>
      <c r="P13" s="101"/>
      <c r="Q13" s="30"/>
      <c r="R13" s="102" t="s">
        <v>25</v>
      </c>
      <c r="S13" s="103" t="s">
        <v>109</v>
      </c>
      <c r="T13" s="13">
        <v>30</v>
      </c>
      <c r="U13" s="14">
        <v>628.41999999999996</v>
      </c>
      <c r="V13" s="15"/>
      <c r="W13" s="15"/>
      <c r="X13" s="69">
        <v>0.372</v>
      </c>
      <c r="Y13" s="30">
        <v>90</v>
      </c>
      <c r="Z13" s="71">
        <v>70.165000000000006</v>
      </c>
      <c r="AA13" s="40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19"/>
      <c r="AY13" s="74"/>
      <c r="AZ13" s="74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40"/>
      <c r="CG13" s="40"/>
      <c r="CH13" s="40"/>
      <c r="CI13" s="40"/>
      <c r="CJ13" s="40"/>
      <c r="CK13" s="40"/>
      <c r="CL13" s="40"/>
      <c r="CM13" s="40"/>
      <c r="CN13" s="40"/>
    </row>
    <row r="14" spans="1:99" ht="14.1" customHeight="1">
      <c r="A14" s="12">
        <v>90</v>
      </c>
      <c r="B14" s="75">
        <v>102</v>
      </c>
      <c r="C14" s="65"/>
      <c r="D14" s="104">
        <f>AVERAGE(U17:U18)</f>
        <v>566.82999999999993</v>
      </c>
      <c r="E14" s="78">
        <f>D14-$E$5</f>
        <v>531.41</v>
      </c>
      <c r="F14" s="78"/>
      <c r="G14" s="78">
        <f t="shared" ref="G14:G27" si="0">($E14*7.1425)</f>
        <v>3795.5959249999996</v>
      </c>
      <c r="H14" s="78">
        <f t="shared" ref="H14:H27" si="1">($G14/($B14*0.01))</f>
        <v>3721.1724754901957</v>
      </c>
      <c r="I14" s="33">
        <f>$C$15*A14+$C$16</f>
        <v>3668.3726946428574</v>
      </c>
      <c r="J14" s="105" t="s">
        <v>110</v>
      </c>
      <c r="K14" s="106" t="s">
        <v>111</v>
      </c>
      <c r="L14" s="13"/>
      <c r="M14" s="107">
        <f>(((S14/60)*$J$1)/$D$2)</f>
        <v>2.0106564364876385</v>
      </c>
      <c r="N14" s="101"/>
      <c r="O14" s="101"/>
      <c r="P14" s="101"/>
      <c r="Q14" s="30"/>
      <c r="R14" s="108">
        <v>90</v>
      </c>
      <c r="S14" s="109">
        <v>53</v>
      </c>
      <c r="U14" s="14">
        <v>591.26</v>
      </c>
      <c r="V14" s="15"/>
      <c r="W14" s="110"/>
      <c r="X14" s="69">
        <v>0.24199999999999999</v>
      </c>
      <c r="Y14" s="30">
        <v>100</v>
      </c>
      <c r="Z14" s="71">
        <v>63.25</v>
      </c>
      <c r="AA14" s="40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19"/>
      <c r="AY14" s="74"/>
      <c r="AZ14" s="74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40"/>
      <c r="CG14" s="40"/>
      <c r="CH14" s="40"/>
      <c r="CI14" s="40"/>
      <c r="CJ14" s="40"/>
      <c r="CK14" s="40"/>
      <c r="CL14" s="40"/>
      <c r="CM14" s="40"/>
      <c r="CN14" s="40"/>
    </row>
    <row r="15" spans="1:99" s="115" customFormat="1" ht="14.1" customHeight="1">
      <c r="A15" s="12">
        <v>100</v>
      </c>
      <c r="B15" s="75">
        <v>99</v>
      </c>
      <c r="C15" s="65">
        <f>SLOPE(G15:G18,A15:A18)</f>
        <v>0.33263642857142517</v>
      </c>
      <c r="D15" s="104">
        <f>AVERAGE(U19:U20)</f>
        <v>557.73500000000001</v>
      </c>
      <c r="E15" s="66">
        <f>D15-$E$5</f>
        <v>522.31500000000005</v>
      </c>
      <c r="F15" s="111">
        <v>180</v>
      </c>
      <c r="G15" s="112">
        <f t="shared" si="0"/>
        <v>3730.6348875000003</v>
      </c>
      <c r="H15" s="78">
        <f t="shared" si="1"/>
        <v>3768.3180681818185</v>
      </c>
      <c r="I15" s="33">
        <f>$C$15*A15+$C$16</f>
        <v>3671.699058928572</v>
      </c>
      <c r="J15" s="113">
        <f>((($N$2-(130*$D$2*(((B15+B14)*0.01)/2))*((I15-I14)/(A15-A14))))/((I15+I14)/2))/$D$2</f>
        <v>1.9177035423322588</v>
      </c>
      <c r="K15" s="114">
        <f>$N$2/H15/$D$2</f>
        <v>1.8792202841327741</v>
      </c>
      <c r="L15" s="114">
        <f>J15/($D$4/$D$2)</f>
        <v>3.4202530905985191</v>
      </c>
      <c r="M15" s="107">
        <f>(((S15/60)*$J$1)/$D$2)</f>
        <v>0.9863597612958227</v>
      </c>
      <c r="N15" s="19">
        <f>K15-M15</f>
        <v>0.89286052283695139</v>
      </c>
      <c r="O15" s="74">
        <f>N15/($D$4/$D$2)</f>
        <v>1.5924301620638055</v>
      </c>
      <c r="P15" s="74"/>
      <c r="Q15" s="30"/>
      <c r="R15" s="108">
        <v>100</v>
      </c>
      <c r="S15" s="109">
        <v>26</v>
      </c>
      <c r="T15" s="13">
        <v>60</v>
      </c>
      <c r="U15" s="14">
        <v>558.73</v>
      </c>
      <c r="V15" s="15"/>
      <c r="W15" s="110"/>
      <c r="X15" s="69">
        <v>0.215</v>
      </c>
      <c r="Y15" s="30">
        <v>110</v>
      </c>
      <c r="Z15" s="71">
        <v>59.734999999999999</v>
      </c>
      <c r="AA15" s="40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19"/>
      <c r="AY15" s="74"/>
      <c r="AZ15" s="74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40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40"/>
      <c r="CH15" s="40"/>
      <c r="CI15" s="40"/>
      <c r="CJ15" s="40"/>
      <c r="CK15" s="40"/>
      <c r="CL15" s="40"/>
      <c r="CM15" s="40"/>
      <c r="CN15" s="40"/>
      <c r="CO15" s="13"/>
      <c r="CP15" s="13"/>
      <c r="CQ15" s="13"/>
      <c r="CR15" s="13"/>
      <c r="CS15" s="13"/>
      <c r="CT15" s="13"/>
      <c r="CU15" s="13"/>
    </row>
    <row r="16" spans="1:99" ht="14.1" customHeight="1">
      <c r="A16" s="12">
        <v>110</v>
      </c>
      <c r="B16" s="75">
        <v>102</v>
      </c>
      <c r="C16" s="65">
        <f>INTERCEPT(G15:G18,A15:A18)</f>
        <v>3638.4354160714292</v>
      </c>
      <c r="D16" s="104">
        <f>AVERAGE(U21:U22)</f>
        <v>540.17499999999995</v>
      </c>
      <c r="E16" s="66">
        <f>D16-$E$5</f>
        <v>504.75499999999994</v>
      </c>
      <c r="F16" s="116">
        <v>210</v>
      </c>
      <c r="G16" s="66">
        <f t="shared" si="0"/>
        <v>3605.2125874999997</v>
      </c>
      <c r="H16" s="78">
        <f t="shared" si="1"/>
        <v>3534.5221446078426</v>
      </c>
      <c r="I16" s="33">
        <f>$C$15*A16+$C$16</f>
        <v>3675.0254232142861</v>
      </c>
      <c r="J16" s="113">
        <f>((($N$2-(130*$D$2*(((B16+B15)*0.01)/2))*((I16-I15)/(A16-A15))))/((I16+I15)/2))/$D$2</f>
        <v>1.9159669914137374</v>
      </c>
      <c r="K16" s="67">
        <f>$N$2/H16/$D$2</f>
        <v>2.0035239449821018</v>
      </c>
      <c r="L16" s="67">
        <f>J16/($D$4/$D$2)</f>
        <v>3.4171559259351891</v>
      </c>
      <c r="M16" s="107">
        <f>(((S16/60)*$J$1)/$D$2)</f>
        <v>2.0106564364876385</v>
      </c>
      <c r="N16" s="19">
        <f>K16-M16</f>
        <v>-7.1324915055366311E-3</v>
      </c>
      <c r="O16" s="67">
        <f>N16/($D$4/$D$2)</f>
        <v>-1.2720905800596739E-2</v>
      </c>
      <c r="P16" s="67"/>
      <c r="Q16" s="30"/>
      <c r="R16" s="108">
        <v>110</v>
      </c>
      <c r="S16" s="109">
        <v>53</v>
      </c>
      <c r="U16" s="14">
        <v>568.49</v>
      </c>
      <c r="V16" s="15"/>
      <c r="W16" s="110"/>
      <c r="X16" s="69">
        <v>0.20399999999999999</v>
      </c>
      <c r="Y16" s="30">
        <v>115</v>
      </c>
      <c r="Z16" s="71">
        <v>62.655000000000001</v>
      </c>
      <c r="AA16" s="40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19"/>
      <c r="AY16" s="74"/>
      <c r="AZ16" s="74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40"/>
    </row>
    <row r="17" spans="1:67" ht="14.1" customHeight="1">
      <c r="A17" s="12">
        <v>115</v>
      </c>
      <c r="B17" s="75">
        <v>103</v>
      </c>
      <c r="C17" s="65"/>
      <c r="D17" s="104">
        <f>AVERAGE(U23:U24)</f>
        <v>536.72500000000002</v>
      </c>
      <c r="E17" s="66">
        <f>D17-$E$5</f>
        <v>501.30500000000001</v>
      </c>
      <c r="F17" s="116">
        <v>220</v>
      </c>
      <c r="G17" s="66">
        <f t="shared" si="0"/>
        <v>3580.5709625</v>
      </c>
      <c r="H17" s="78">
        <f t="shared" si="1"/>
        <v>3476.2824878640777</v>
      </c>
      <c r="I17" s="33">
        <f>$C$15*A17+$C$16</f>
        <v>3676.6886053571429</v>
      </c>
      <c r="J17" s="113">
        <f>((($N$2-(130*$D$2*(((B17+B16)*0.01)/2))*((I17-I16)/(A17-A16))))/((I17+I16)/2))/$D$2</f>
        <v>1.914431360995585</v>
      </c>
      <c r="K17" s="67">
        <f>$N$2/H17/$D$2</f>
        <v>2.0370898439678786</v>
      </c>
      <c r="L17" s="67">
        <f>J17/($D$4/$D$2)</f>
        <v>3.4144171060040773</v>
      </c>
      <c r="M17" s="107">
        <f>(((S17/60)*$J$1)/$D$2)</f>
        <v>2.0106564364876385</v>
      </c>
      <c r="N17" s="19">
        <f>K17-M17</f>
        <v>2.6433407480240145E-2</v>
      </c>
      <c r="O17" s="67">
        <f>N17/($D$4/$D$2)</f>
        <v>4.7144379531879298E-2</v>
      </c>
      <c r="P17" s="67"/>
      <c r="Q17" s="30"/>
      <c r="R17" s="108">
        <v>115</v>
      </c>
      <c r="S17" s="117">
        <v>53</v>
      </c>
      <c r="T17" s="40">
        <v>90</v>
      </c>
      <c r="U17" s="14">
        <v>573.24</v>
      </c>
      <c r="V17" s="15"/>
      <c r="W17" s="110"/>
      <c r="X17" s="69">
        <v>0.20200000000000001</v>
      </c>
      <c r="Y17" s="30">
        <v>120</v>
      </c>
      <c r="Z17" s="71">
        <v>63.237000000000002</v>
      </c>
      <c r="AA17" s="40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19"/>
      <c r="AY17" s="74"/>
      <c r="AZ17" s="74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40"/>
    </row>
    <row r="18" spans="1:67" ht="14.1" customHeight="1">
      <c r="A18" s="12">
        <v>120</v>
      </c>
      <c r="B18" s="198">
        <v>103</v>
      </c>
      <c r="C18" s="65"/>
      <c r="D18" s="104">
        <f>AVERAGE(U25:U26)</f>
        <v>565.39499999999998</v>
      </c>
      <c r="E18" s="66">
        <f>D18-$E$5</f>
        <v>529.97500000000002</v>
      </c>
      <c r="F18" s="116">
        <v>225</v>
      </c>
      <c r="G18" s="66">
        <f t="shared" si="0"/>
        <v>3785.3464375000003</v>
      </c>
      <c r="H18" s="78">
        <f t="shared" si="1"/>
        <v>3675.0936286407768</v>
      </c>
      <c r="I18" s="33">
        <f>$C$15*A18+$C$16</f>
        <v>3678.3517875000002</v>
      </c>
      <c r="J18" s="113">
        <f>((($N$2-(130*$D$2*(((B18+B17)*0.01)/2))*((I18-I17)/(A18-A17))))/((I18+I17)/2))/$D$2</f>
        <v>1.91350675377379</v>
      </c>
      <c r="K18" s="67">
        <f>$N$2/H18/$D$2</f>
        <v>1.9268896159824851</v>
      </c>
      <c r="L18" s="67">
        <f>J18/($D$4/$D$2)</f>
        <v>3.4127680551272728</v>
      </c>
      <c r="M18" s="107">
        <f>(((S18/60)*$J$1)/$D$2)</f>
        <v>2.0106564364876385</v>
      </c>
      <c r="N18" s="19">
        <f>K18-M18</f>
        <v>-8.3766820505153383E-2</v>
      </c>
      <c r="O18" s="67">
        <f>N18/($D$4/$D$2)</f>
        <v>-0.14939938337597491</v>
      </c>
      <c r="P18" s="67"/>
      <c r="Q18" s="30"/>
      <c r="R18" s="108">
        <v>120</v>
      </c>
      <c r="S18" s="117">
        <v>53</v>
      </c>
      <c r="T18" s="30"/>
      <c r="U18" s="14">
        <v>560.41999999999996</v>
      </c>
      <c r="V18" s="15"/>
      <c r="W18" s="110"/>
      <c r="X18" s="96">
        <f>AVERAGE(X13:X17)</f>
        <v>0.24699999999999997</v>
      </c>
      <c r="Y18" s="30" t="s">
        <v>107</v>
      </c>
      <c r="Z18" s="96">
        <f>AVERAGE(Z13:Z17)</f>
        <v>63.808400000000006</v>
      </c>
      <c r="AA18" s="30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5"/>
      <c r="AY18" s="95"/>
      <c r="AZ18" s="95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2"/>
      <c r="BO18" s="40"/>
    </row>
    <row r="19" spans="1:67" ht="14.1" customHeight="1" thickBot="1">
      <c r="A19" s="63"/>
      <c r="B19" s="98"/>
      <c r="C19" s="65"/>
      <c r="D19" s="99"/>
      <c r="E19" s="66"/>
      <c r="F19" s="63"/>
      <c r="G19" s="66"/>
      <c r="H19" s="66"/>
      <c r="I19" s="33"/>
      <c r="J19" s="113"/>
      <c r="K19" s="67"/>
      <c r="L19" s="67"/>
      <c r="M19" s="107"/>
      <c r="O19" s="67"/>
      <c r="P19" s="67"/>
      <c r="Q19" s="30"/>
      <c r="R19" s="108"/>
      <c r="S19" s="117"/>
      <c r="T19" s="41">
        <v>100</v>
      </c>
      <c r="U19" s="14">
        <v>556.63</v>
      </c>
      <c r="V19" s="15"/>
      <c r="W19" s="110"/>
      <c r="Y19" s="30"/>
      <c r="Z19" s="96"/>
      <c r="AA19" s="30"/>
      <c r="AB19" s="96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30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40"/>
    </row>
    <row r="20" spans="1:67" ht="14.1" customHeight="1" thickBot="1">
      <c r="A20" s="119" t="s">
        <v>112</v>
      </c>
      <c r="B20" s="120">
        <f>AVERAGE(B14:B19)</f>
        <v>101.8</v>
      </c>
      <c r="C20" s="121"/>
      <c r="D20" s="122">
        <f>AVERAGE(D14:D18)</f>
        <v>553.37200000000007</v>
      </c>
      <c r="E20" s="122">
        <f>AVERAGE(E14:E18)</f>
        <v>517.952</v>
      </c>
      <c r="F20" s="122"/>
      <c r="G20" s="122">
        <f>AVERAGE(G14:G18)</f>
        <v>3699.4721600000003</v>
      </c>
      <c r="H20" s="122">
        <f>AVERAGE(H14:H18)</f>
        <v>3635.0777609569427</v>
      </c>
      <c r="I20" s="122"/>
      <c r="J20" s="122">
        <f t="shared" ref="J20:O20" si="2">AVERAGE(J14:J18)</f>
        <v>1.9154021621288428</v>
      </c>
      <c r="K20" s="123">
        <f t="shared" si="2"/>
        <v>1.9616809222663099</v>
      </c>
      <c r="L20" s="122">
        <f t="shared" si="2"/>
        <v>3.4161485444162647</v>
      </c>
      <c r="M20" s="122">
        <f t="shared" si="2"/>
        <v>1.8057971014492751</v>
      </c>
      <c r="N20" s="123">
        <f t="shared" si="2"/>
        <v>0.20709865457662538</v>
      </c>
      <c r="O20" s="122">
        <f t="shared" si="2"/>
        <v>0.36936356310477825</v>
      </c>
      <c r="P20" s="124"/>
      <c r="Q20" s="30"/>
      <c r="R20" s="108"/>
      <c r="S20" s="117"/>
      <c r="T20" s="41"/>
      <c r="U20" s="14">
        <v>558.84</v>
      </c>
      <c r="V20" s="15"/>
      <c r="W20" s="110"/>
      <c r="X20" s="69">
        <v>6.0999999999999999E-2</v>
      </c>
      <c r="Y20" s="70">
        <v>210</v>
      </c>
      <c r="Z20" s="71">
        <v>301.63</v>
      </c>
      <c r="AA20" s="40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4"/>
      <c r="AY20" s="74"/>
      <c r="AZ20" s="74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40"/>
    </row>
    <row r="21" spans="1:67" ht="14.1" customHeight="1" thickBot="1">
      <c r="A21" s="70"/>
      <c r="B21" s="118"/>
      <c r="C21" s="36"/>
      <c r="D21" s="99"/>
      <c r="E21" s="33"/>
      <c r="F21" s="125" t="s">
        <v>113</v>
      </c>
      <c r="G21" s="33"/>
      <c r="H21" s="33"/>
      <c r="I21" s="126" t="s">
        <v>114</v>
      </c>
      <c r="J21" s="127">
        <f>J20-((B18-B15)*0.25*$D$2*10)/(30*$D$2)</f>
        <v>1.5820688287955096</v>
      </c>
      <c r="K21" s="74"/>
      <c r="L21" s="128" t="s">
        <v>33</v>
      </c>
      <c r="M21" s="129">
        <f>J21-M20</f>
        <v>-0.22372827265376549</v>
      </c>
      <c r="N21" s="19"/>
      <c r="O21" s="74"/>
      <c r="P21" s="130">
        <f>$M$20-(((B18-B14)*1.3)/(A18-A14))</f>
        <v>1.7624637681159419</v>
      </c>
      <c r="Q21" s="30"/>
      <c r="R21" s="131"/>
      <c r="S21" s="117"/>
      <c r="T21" s="41">
        <v>110</v>
      </c>
      <c r="U21" s="14">
        <v>566.39</v>
      </c>
      <c r="V21" s="15"/>
      <c r="W21" s="110"/>
      <c r="X21" s="69">
        <v>8.1000000000000003E-2</v>
      </c>
      <c r="Y21" s="70">
        <v>220</v>
      </c>
      <c r="Z21" s="71">
        <v>293.2</v>
      </c>
      <c r="AA21" s="40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4"/>
      <c r="AY21" s="74"/>
      <c r="AZ21" s="74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40"/>
    </row>
    <row r="22" spans="1:67" ht="14.1" customHeight="1" thickBot="1">
      <c r="A22" s="63"/>
      <c r="B22" s="98"/>
      <c r="C22" s="65"/>
      <c r="D22" s="99"/>
      <c r="E22" s="66"/>
      <c r="F22" s="63"/>
      <c r="G22" s="66"/>
      <c r="H22" s="66"/>
      <c r="I22" s="33"/>
      <c r="J22" s="132"/>
      <c r="K22" s="67"/>
      <c r="L22" s="133"/>
      <c r="M22" s="134"/>
      <c r="N22" s="101"/>
      <c r="O22" s="133"/>
      <c r="P22" s="133"/>
      <c r="Q22" s="30"/>
      <c r="R22" s="102" t="s">
        <v>25</v>
      </c>
      <c r="S22" s="103" t="s">
        <v>109</v>
      </c>
      <c r="T22" s="30"/>
      <c r="U22" s="14">
        <v>513.96</v>
      </c>
      <c r="V22" s="15"/>
      <c r="W22" s="110"/>
      <c r="X22" s="69">
        <v>7.0000000000000007E-2</v>
      </c>
      <c r="Y22" s="70">
        <v>230</v>
      </c>
      <c r="Z22" s="71">
        <v>298.87</v>
      </c>
      <c r="AA22" s="40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4"/>
      <c r="AY22" s="74"/>
      <c r="AZ22" s="74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40"/>
    </row>
    <row r="23" spans="1:67" ht="14.1" customHeight="1">
      <c r="A23" s="63">
        <v>210</v>
      </c>
      <c r="B23" s="75">
        <v>96</v>
      </c>
      <c r="C23" s="65"/>
      <c r="D23" s="104">
        <f>AVERAGE(U31:U32)</f>
        <v>299.58500000000004</v>
      </c>
      <c r="E23" s="78">
        <f>D23-$E$5</f>
        <v>264.16500000000002</v>
      </c>
      <c r="F23" s="78"/>
      <c r="G23" s="78">
        <f t="shared" si="0"/>
        <v>1886.7985125000002</v>
      </c>
      <c r="H23" s="78">
        <f t="shared" si="1"/>
        <v>1965.4151171875003</v>
      </c>
      <c r="I23" s="33">
        <f>$C$24*A23+$C$25</f>
        <v>1826.8208992857139</v>
      </c>
      <c r="J23" s="105" t="s">
        <v>110</v>
      </c>
      <c r="K23" s="106" t="s">
        <v>111</v>
      </c>
      <c r="L23" s="67"/>
      <c r="M23" s="19">
        <f>(((S23/60)*$J$1)/$D$2)</f>
        <v>3.9833759590792837</v>
      </c>
      <c r="N23" s="101"/>
      <c r="O23" s="133"/>
      <c r="P23" s="133"/>
      <c r="Q23" s="30"/>
      <c r="R23" s="131">
        <v>210</v>
      </c>
      <c r="S23" s="117">
        <v>105</v>
      </c>
      <c r="T23" s="13">
        <v>115</v>
      </c>
      <c r="U23" s="14">
        <v>521.63</v>
      </c>
      <c r="V23" s="15"/>
      <c r="W23" s="110"/>
      <c r="X23" s="69">
        <v>7.1999999999999995E-2</v>
      </c>
      <c r="Y23" s="70">
        <v>235</v>
      </c>
      <c r="Z23" s="71">
        <v>319.5</v>
      </c>
      <c r="AA23" s="40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4"/>
      <c r="AY23" s="74"/>
      <c r="AZ23" s="74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40"/>
    </row>
    <row r="24" spans="1:67" ht="14.1" customHeight="1">
      <c r="A24" s="63">
        <v>220</v>
      </c>
      <c r="B24" s="75">
        <v>103</v>
      </c>
      <c r="C24" s="65">
        <f>SLOPE(G24:G27,A24:A27)</f>
        <v>-7.9471536428571437</v>
      </c>
      <c r="D24" s="104">
        <f>AVERAGE(U33:U34)</f>
        <v>268.01499999999999</v>
      </c>
      <c r="E24" s="66">
        <f>D24-$E$5</f>
        <v>232.59499999999997</v>
      </c>
      <c r="F24" s="111">
        <v>180</v>
      </c>
      <c r="G24" s="112">
        <f t="shared" si="0"/>
        <v>1661.3097874999999</v>
      </c>
      <c r="H24" s="112">
        <f t="shared" si="1"/>
        <v>1612.9221237864076</v>
      </c>
      <c r="I24" s="33">
        <f>$C$24*A24+$C$25</f>
        <v>1747.3493628571425</v>
      </c>
      <c r="J24" s="113">
        <f>((($N$2-(130*$D$2*(((B24+B23)*0.01)/2))*((I24-I23)/(A24-A23))))/((I24+I23)/2))/$D$2</f>
        <v>4.5378163208335414</v>
      </c>
      <c r="K24" s="114">
        <f>$N$2/H24/$D$2</f>
        <v>4.3904784033634323</v>
      </c>
      <c r="L24" s="114">
        <f>J24/($D$4/$D$2)</f>
        <v>8.0932636110291245</v>
      </c>
      <c r="M24" s="107">
        <f>(((S24/60)*$J$1)/$D$2)</f>
        <v>5.0076726342711</v>
      </c>
      <c r="N24" s="19">
        <f>K24-M24</f>
        <v>-0.61719423090766767</v>
      </c>
      <c r="O24" s="74">
        <f>N24/($D$4/$D$2)</f>
        <v>-1.100775187177385</v>
      </c>
      <c r="P24" s="74"/>
      <c r="Q24" s="30"/>
      <c r="R24" s="131">
        <v>220</v>
      </c>
      <c r="S24" s="117">
        <v>132</v>
      </c>
      <c r="U24" s="14">
        <v>551.82000000000005</v>
      </c>
      <c r="V24" s="15"/>
      <c r="W24" s="110"/>
      <c r="X24" s="69">
        <v>7.0000000000000007E-2</v>
      </c>
      <c r="Y24" s="70">
        <v>240</v>
      </c>
      <c r="Z24" s="71">
        <v>266</v>
      </c>
      <c r="AA24" s="40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4"/>
      <c r="AY24" s="74"/>
      <c r="AZ24" s="74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40"/>
    </row>
    <row r="25" spans="1:67" ht="14.1" customHeight="1">
      <c r="A25" s="63">
        <v>230</v>
      </c>
      <c r="B25" s="75">
        <v>97</v>
      </c>
      <c r="C25" s="65">
        <f>INTERCEPT(G24:G27,A24:A27)</f>
        <v>3495.7231642857141</v>
      </c>
      <c r="D25" s="104">
        <f>AVERAGE(U35:U36)</f>
        <v>283.38499999999999</v>
      </c>
      <c r="E25" s="66">
        <f>D25-$E$5</f>
        <v>247.96499999999997</v>
      </c>
      <c r="F25" s="111">
        <v>180</v>
      </c>
      <c r="G25" s="112">
        <f t="shared" si="0"/>
        <v>1771.0900124999998</v>
      </c>
      <c r="H25" s="112">
        <f t="shared" si="1"/>
        <v>1825.8659922680411</v>
      </c>
      <c r="I25" s="33">
        <f>$C$24*A25+$C$25</f>
        <v>1667.8778264285711</v>
      </c>
      <c r="J25" s="113">
        <f>((($N$2-(130*$D$2*(((B25+B24)*0.01)/2))*((I25-I24)/(A25-A24))))/((I25+I24)/2))/$D$2</f>
        <v>4.7520292353141445</v>
      </c>
      <c r="K25" s="114">
        <f>$N$2/H25/$D$2</f>
        <v>3.878433456112985</v>
      </c>
      <c r="L25" s="114">
        <f>J25/($D$4/$D$2)</f>
        <v>8.4753155635991</v>
      </c>
      <c r="M25" s="107">
        <f>(((S25/60)*$J$1)/$D$2)</f>
        <v>3.9833759590792837</v>
      </c>
      <c r="N25" s="19">
        <f>K25-M25</f>
        <v>-0.1049425029662987</v>
      </c>
      <c r="O25" s="114">
        <f>N25/($D$4/$D$2)</f>
        <v>-0.18716653131333669</v>
      </c>
      <c r="P25" s="74"/>
      <c r="Q25" s="30"/>
      <c r="R25" s="131">
        <v>230</v>
      </c>
      <c r="S25" s="117">
        <v>105</v>
      </c>
      <c r="T25" s="13">
        <v>120</v>
      </c>
      <c r="U25" s="14">
        <v>557.48</v>
      </c>
      <c r="V25" s="15"/>
      <c r="W25" s="110"/>
      <c r="X25" s="96">
        <f>AVERAGE(X20:X24)</f>
        <v>7.0800000000000002E-2</v>
      </c>
      <c r="Y25" s="57" t="s">
        <v>107</v>
      </c>
      <c r="Z25" s="96">
        <f>AVERAGE(Z20:Z24)</f>
        <v>295.83999999999997</v>
      </c>
      <c r="AA25" s="30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5"/>
      <c r="AY25" s="95"/>
      <c r="AZ25" s="95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40"/>
    </row>
    <row r="26" spans="1:67" ht="14.1" customHeight="1">
      <c r="A26" s="63">
        <v>235</v>
      </c>
      <c r="B26" s="75">
        <v>99</v>
      </c>
      <c r="C26" s="65"/>
      <c r="D26" s="104">
        <f>AVERAGE(U37:U38)</f>
        <v>282.65499999999997</v>
      </c>
      <c r="E26" s="66">
        <f>D26-$E$5</f>
        <v>247.23499999999996</v>
      </c>
      <c r="F26" s="111">
        <v>180</v>
      </c>
      <c r="G26" s="112">
        <f t="shared" si="0"/>
        <v>1765.8759874999996</v>
      </c>
      <c r="H26" s="112">
        <f t="shared" si="1"/>
        <v>1783.7131186868683</v>
      </c>
      <c r="I26" s="33">
        <f>$C$24*A26+$C$25</f>
        <v>1628.1420582142853</v>
      </c>
      <c r="J26" s="113">
        <f>((($N$2-(130*$D$2*(((B26+B25)*0.01)/2))*((I26-I25)/(A26-A25))))/((I26+I25)/2))/$D$2</f>
        <v>4.911358188464531</v>
      </c>
      <c r="K26" s="114">
        <f>$N$2/H26/$D$2</f>
        <v>3.9700889546658447</v>
      </c>
      <c r="L26" s="114">
        <f>J26/($D$4/$D$2)</f>
        <v>8.7594811462374302</v>
      </c>
      <c r="M26" s="107">
        <f>(((S26/60)*$J$1)/$D$2)</f>
        <v>5.0076726342711</v>
      </c>
      <c r="N26" s="19">
        <f>K26-M26</f>
        <v>-1.0375836796052553</v>
      </c>
      <c r="O26" s="114">
        <f>N26/($D$4/$D$2)</f>
        <v>-1.8505460873313639</v>
      </c>
      <c r="P26" s="74"/>
      <c r="Q26" s="30"/>
      <c r="R26" s="131">
        <v>235</v>
      </c>
      <c r="S26" s="117">
        <v>132</v>
      </c>
      <c r="U26" s="14">
        <v>573.30999999999995</v>
      </c>
      <c r="V26" s="15"/>
      <c r="W26" s="11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</row>
    <row r="27" spans="1:67" ht="14.1" customHeight="1">
      <c r="A27" s="63">
        <v>240</v>
      </c>
      <c r="B27" s="118">
        <v>99</v>
      </c>
      <c r="C27" s="65"/>
      <c r="D27" s="104">
        <f>AVERAGE(U39:U40)</f>
        <v>236.12</v>
      </c>
      <c r="E27" s="66">
        <f>D27-$E$5</f>
        <v>200.7</v>
      </c>
      <c r="F27" s="111">
        <v>180</v>
      </c>
      <c r="G27" s="112">
        <f t="shared" si="0"/>
        <v>1433.4997499999999</v>
      </c>
      <c r="H27" s="112">
        <f t="shared" si="1"/>
        <v>1447.9795454545454</v>
      </c>
      <c r="I27" s="33">
        <f>$C$24*A27+$C$25</f>
        <v>1588.4062899999997</v>
      </c>
      <c r="J27" s="113">
        <f>((($N$2-(130*$D$2*(((B27+B26)*0.01)/2))*((I27-I26)/(A27-A26))))/((I27+I26)/2))/$D$2</f>
        <v>5.039127379587649</v>
      </c>
      <c r="K27" s="114">
        <f>$N$2/H27/$D$2</f>
        <v>4.8906075869796215</v>
      </c>
      <c r="L27" s="114">
        <f>J27/($D$4/$D$2)</f>
        <v>8.9873594189607768</v>
      </c>
      <c r="M27" s="107">
        <f>(((S27/60)*$J$1)/$D$2)</f>
        <v>5.0076726342711</v>
      </c>
      <c r="N27" s="19">
        <f>K27-M27</f>
        <v>-0.11706504729147849</v>
      </c>
      <c r="O27" s="114">
        <f>N27/($D$4/$D$2)</f>
        <v>-0.20878727131764857</v>
      </c>
      <c r="P27" s="74"/>
      <c r="Q27" s="30"/>
      <c r="R27" s="131">
        <v>240</v>
      </c>
      <c r="S27" s="117">
        <v>132</v>
      </c>
      <c r="T27" s="13">
        <v>150</v>
      </c>
      <c r="U27" s="14">
        <v>431.32</v>
      </c>
      <c r="V27" s="15"/>
      <c r="W27" s="11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</row>
    <row r="28" spans="1:67" ht="14.1" customHeight="1" thickBot="1">
      <c r="A28" s="63"/>
      <c r="B28" s="118"/>
      <c r="C28" s="65"/>
      <c r="D28" s="99"/>
      <c r="E28" s="66"/>
      <c r="F28" s="135"/>
      <c r="G28" s="112"/>
      <c r="H28" s="112"/>
      <c r="I28" s="33"/>
      <c r="J28" s="113"/>
      <c r="K28" s="114"/>
      <c r="L28" s="114"/>
      <c r="M28" s="107"/>
      <c r="N28" s="107"/>
      <c r="O28" s="114"/>
      <c r="P28" s="74"/>
      <c r="Q28" s="30"/>
      <c r="R28" s="108"/>
      <c r="S28" s="117"/>
      <c r="U28" s="14">
        <v>434.19</v>
      </c>
      <c r="V28" s="15"/>
      <c r="W28" s="110"/>
      <c r="X28" s="69"/>
      <c r="Y28" s="13" t="s">
        <v>115</v>
      </c>
    </row>
    <row r="29" spans="1:67" ht="14.1" customHeight="1" thickBot="1">
      <c r="A29" s="119" t="s">
        <v>112</v>
      </c>
      <c r="B29" s="122">
        <f>AVERAGE(B23:B28)</f>
        <v>98.8</v>
      </c>
      <c r="C29" s="121"/>
      <c r="D29" s="122">
        <f>AVERAGE(D23:D28)</f>
        <v>273.95199999999994</v>
      </c>
      <c r="E29" s="122">
        <f>AVERAGE(E23:E28)</f>
        <v>238.53199999999998</v>
      </c>
      <c r="F29" s="122">
        <f>AVERAGE(F24:F28)</f>
        <v>180</v>
      </c>
      <c r="G29" s="122">
        <f>AVERAGE(G23:G28)</f>
        <v>1703.7148099999999</v>
      </c>
      <c r="H29" s="122">
        <f>AVERAGE(H23:H28)</f>
        <v>1727.1791794766723</v>
      </c>
      <c r="I29" s="122"/>
      <c r="J29" s="122">
        <f t="shared" ref="J29:O29" si="3">AVERAGE(J23:J28)</f>
        <v>4.8100827810499664</v>
      </c>
      <c r="K29" s="123">
        <f t="shared" si="3"/>
        <v>4.2824021002804713</v>
      </c>
      <c r="L29" s="122">
        <f t="shared" si="3"/>
        <v>8.5788549349566079</v>
      </c>
      <c r="M29" s="122">
        <f t="shared" si="3"/>
        <v>4.5979539641943727</v>
      </c>
      <c r="N29" s="123">
        <f t="shared" si="3"/>
        <v>-0.46919636519267505</v>
      </c>
      <c r="O29" s="122">
        <f t="shared" si="3"/>
        <v>-0.83681876928493348</v>
      </c>
      <c r="P29" s="122"/>
      <c r="Q29" s="136"/>
      <c r="R29" s="137"/>
      <c r="S29" s="138"/>
      <c r="T29" s="13">
        <v>180</v>
      </c>
      <c r="U29" s="14">
        <v>420.46</v>
      </c>
      <c r="V29" s="15"/>
      <c r="W29" s="110"/>
      <c r="X29" s="69"/>
      <c r="Y29" s="13" t="s">
        <v>116</v>
      </c>
    </row>
    <row r="30" spans="1:67" ht="14.1" customHeight="1">
      <c r="A30" s="70"/>
      <c r="B30" s="139"/>
      <c r="C30" s="36"/>
      <c r="D30" s="99"/>
      <c r="E30" s="33"/>
      <c r="F30" s="125" t="s">
        <v>117</v>
      </c>
      <c r="G30" s="33"/>
      <c r="H30" s="33"/>
      <c r="I30" s="140" t="s">
        <v>114</v>
      </c>
      <c r="J30" s="141">
        <f>J29-((B27-B24)*0.25*$D$2*10)/(20*$D$2)</f>
        <v>5.3100827810499664</v>
      </c>
      <c r="K30" s="74"/>
      <c r="L30" s="142" t="s">
        <v>33</v>
      </c>
      <c r="M30" s="143">
        <f>J30-M29</f>
        <v>0.7121288168555937</v>
      </c>
      <c r="N30" s="19">
        <f>AVERAGE(J24:J25)-M29</f>
        <v>4.6968813879470162E-2</v>
      </c>
      <c r="O30" s="74"/>
      <c r="P30" s="130">
        <f>$M$29-(((B27-B23)*1.3)/(A27-A23))</f>
        <v>4.4679539641943729</v>
      </c>
      <c r="Q30" s="30"/>
      <c r="R30" s="63"/>
      <c r="S30" s="144"/>
      <c r="U30" s="14">
        <v>379.55</v>
      </c>
      <c r="V30" s="15"/>
      <c r="W30" s="110"/>
      <c r="X30" s="69"/>
      <c r="Y30" s="13" t="s">
        <v>118</v>
      </c>
    </row>
    <row r="31" spans="1:67" ht="14.1" customHeight="1">
      <c r="A31" s="145"/>
      <c r="B31" s="139"/>
      <c r="C31" s="146"/>
      <c r="D31" s="147"/>
      <c r="E31" s="148"/>
      <c r="F31" s="145"/>
      <c r="G31" s="148"/>
      <c r="H31" s="148"/>
      <c r="I31" s="148"/>
      <c r="J31" s="149"/>
      <c r="K31" s="150"/>
      <c r="L31" s="133"/>
      <c r="M31" s="134"/>
      <c r="N31" s="101"/>
      <c r="O31" s="150"/>
      <c r="P31" s="150"/>
      <c r="Q31" s="96"/>
      <c r="R31" s="151"/>
      <c r="S31" s="101" t="s">
        <v>32</v>
      </c>
      <c r="T31" s="13">
        <v>210</v>
      </c>
      <c r="U31" s="14">
        <v>306.04000000000002</v>
      </c>
      <c r="V31" s="15"/>
      <c r="W31" s="110"/>
      <c r="X31" s="69"/>
      <c r="Y31" s="13" t="s">
        <v>119</v>
      </c>
    </row>
    <row r="32" spans="1:67" ht="14.1" customHeight="1">
      <c r="A32" s="145"/>
      <c r="B32" s="148"/>
      <c r="C32" s="146"/>
      <c r="D32" s="147"/>
      <c r="E32" s="148"/>
      <c r="F32" s="148"/>
      <c r="G32" s="148"/>
      <c r="H32" s="148"/>
      <c r="I32" s="148"/>
      <c r="J32" s="152"/>
      <c r="K32" s="153"/>
      <c r="L32" s="58"/>
      <c r="M32" s="124"/>
      <c r="N32" s="101"/>
      <c r="O32" s="150"/>
      <c r="P32" s="150"/>
      <c r="Q32" s="96"/>
      <c r="R32" s="145"/>
      <c r="S32" s="58"/>
      <c r="U32" s="14">
        <v>293.13</v>
      </c>
      <c r="V32" s="15"/>
      <c r="W32" s="110"/>
      <c r="X32" s="69"/>
      <c r="Y32" s="13" t="s">
        <v>120</v>
      </c>
    </row>
    <row r="33" spans="1:99" ht="14.1" customHeight="1">
      <c r="A33" s="145"/>
      <c r="B33" s="148"/>
      <c r="C33" s="146"/>
      <c r="D33" s="147"/>
      <c r="E33" s="148"/>
      <c r="F33" s="145"/>
      <c r="G33" s="148"/>
      <c r="H33" s="148"/>
      <c r="I33" s="148"/>
      <c r="J33" s="149"/>
      <c r="K33" s="150"/>
      <c r="L33" s="150"/>
      <c r="M33" s="124"/>
      <c r="N33" s="124"/>
      <c r="O33" s="150"/>
      <c r="P33" s="150"/>
      <c r="Q33" s="96"/>
      <c r="R33" s="145"/>
      <c r="S33" s="58"/>
      <c r="T33" s="13">
        <v>220</v>
      </c>
      <c r="U33" s="14">
        <v>284.89</v>
      </c>
      <c r="V33" s="15"/>
      <c r="W33" s="110"/>
      <c r="X33" s="69"/>
      <c r="Y33" s="20" t="s">
        <v>121</v>
      </c>
    </row>
    <row r="34" spans="1:99" ht="14.1" customHeight="1">
      <c r="A34" s="145"/>
      <c r="B34" s="148"/>
      <c r="C34" s="146"/>
      <c r="D34" s="147"/>
      <c r="E34" s="148"/>
      <c r="F34" s="145"/>
      <c r="G34" s="148"/>
      <c r="H34" s="148"/>
      <c r="I34" s="148"/>
      <c r="J34" s="149"/>
      <c r="K34" s="150"/>
      <c r="L34" s="150"/>
      <c r="M34" s="124"/>
      <c r="N34" s="124"/>
      <c r="O34" s="150"/>
      <c r="P34" s="150"/>
      <c r="Q34" s="96"/>
      <c r="R34" s="145"/>
      <c r="S34" s="58"/>
      <c r="U34" s="14">
        <v>251.14</v>
      </c>
      <c r="V34" s="15"/>
      <c r="W34" s="110"/>
    </row>
    <row r="35" spans="1:99" ht="14.1" customHeight="1">
      <c r="A35" s="145"/>
      <c r="B35" s="148"/>
      <c r="C35" s="146"/>
      <c r="D35" s="147"/>
      <c r="E35" s="148"/>
      <c r="F35" s="145"/>
      <c r="G35" s="148"/>
      <c r="H35" s="148"/>
      <c r="I35" s="148"/>
      <c r="J35" s="149"/>
      <c r="K35" s="150"/>
      <c r="L35" s="150"/>
      <c r="M35" s="124"/>
      <c r="N35" s="124"/>
      <c r="O35" s="150"/>
      <c r="P35" s="150"/>
      <c r="Q35" s="96"/>
      <c r="R35" s="145"/>
      <c r="S35" s="58"/>
      <c r="T35" s="13">
        <v>230</v>
      </c>
      <c r="U35" s="14">
        <v>275.43</v>
      </c>
      <c r="V35" s="15"/>
      <c r="W35" s="110"/>
    </row>
    <row r="36" spans="1:99" ht="14.1" customHeight="1">
      <c r="A36" s="145"/>
      <c r="B36" s="139"/>
      <c r="C36" s="146"/>
      <c r="D36" s="147"/>
      <c r="E36" s="148"/>
      <c r="F36" s="145"/>
      <c r="G36" s="148"/>
      <c r="H36" s="148"/>
      <c r="I36" s="148"/>
      <c r="J36" s="149"/>
      <c r="K36" s="150"/>
      <c r="L36" s="150"/>
      <c r="M36" s="124"/>
      <c r="N36" s="124"/>
      <c r="O36" s="150"/>
      <c r="P36" s="150"/>
      <c r="Q36" s="96"/>
      <c r="R36" s="145"/>
      <c r="S36" s="58"/>
      <c r="U36" s="14">
        <v>291.33999999999997</v>
      </c>
      <c r="V36" s="15"/>
      <c r="W36" s="110"/>
      <c r="X36"/>
    </row>
    <row r="37" spans="1:99" ht="14.1" customHeight="1">
      <c r="A37" s="145"/>
      <c r="B37" s="139"/>
      <c r="C37" s="146"/>
      <c r="D37" s="147"/>
      <c r="E37" s="148"/>
      <c r="F37" s="145"/>
      <c r="G37" s="148"/>
      <c r="H37" s="148"/>
      <c r="I37" s="148"/>
      <c r="J37" s="149"/>
      <c r="K37" s="150"/>
      <c r="L37" s="150"/>
      <c r="M37" s="124"/>
      <c r="N37" s="124"/>
      <c r="O37" s="150"/>
      <c r="P37" s="150"/>
      <c r="Q37" s="96"/>
      <c r="R37" s="96"/>
      <c r="S37" s="58"/>
      <c r="T37" s="13">
        <v>235</v>
      </c>
      <c r="U37" s="14">
        <v>290.74</v>
      </c>
      <c r="V37" s="15"/>
      <c r="W37" s="15"/>
      <c r="X37" s="6"/>
    </row>
    <row r="38" spans="1:99" s="156" customFormat="1" ht="14.1" customHeight="1">
      <c r="A38" s="154"/>
      <c r="B38" s="139"/>
      <c r="C38" s="155"/>
      <c r="D38" s="139"/>
      <c r="E38" s="139"/>
      <c r="F38" s="139"/>
      <c r="G38" s="139"/>
      <c r="H38" s="139"/>
      <c r="I38" s="139"/>
      <c r="J38" s="124"/>
      <c r="K38" s="124"/>
      <c r="L38" s="124"/>
      <c r="M38" s="124"/>
      <c r="N38" s="124"/>
      <c r="O38" s="124"/>
      <c r="P38" s="124"/>
      <c r="Q38" s="155"/>
      <c r="R38" s="145"/>
      <c r="S38" s="58"/>
      <c r="T38" s="13"/>
      <c r="U38" s="14">
        <v>274.57</v>
      </c>
      <c r="V38" s="15"/>
      <c r="W38" s="15"/>
      <c r="X38" s="6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</row>
    <row r="39" spans="1:99" s="3" customFormat="1" ht="14.1" customHeight="1">
      <c r="A39" s="157"/>
      <c r="B39" s="158"/>
      <c r="C39" s="159"/>
      <c r="D39" s="160"/>
      <c r="E39" s="160"/>
      <c r="F39" s="161"/>
      <c r="G39" s="160"/>
      <c r="H39" s="148"/>
      <c r="I39" s="162"/>
      <c r="J39" s="163"/>
      <c r="K39" s="150"/>
      <c r="L39" s="155"/>
      <c r="M39" s="134"/>
      <c r="N39" s="155"/>
      <c r="O39" s="155"/>
      <c r="P39" s="155"/>
      <c r="Q39" s="58"/>
      <c r="R39" s="58"/>
      <c r="S39" s="58"/>
      <c r="T39" s="13">
        <v>240</v>
      </c>
      <c r="U39" s="14">
        <v>227.09</v>
      </c>
      <c r="V39" s="15"/>
      <c r="W39" s="15"/>
      <c r="X39" s="6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</row>
    <row r="40" spans="1:99" ht="14.1" customHeight="1">
      <c r="A40" s="164"/>
      <c r="B40" s="165"/>
      <c r="C40" s="164"/>
      <c r="D40" s="148"/>
      <c r="E40" s="164"/>
      <c r="F40" s="164"/>
      <c r="G40" s="96"/>
      <c r="H40" s="101"/>
      <c r="I40" s="58"/>
      <c r="J40" s="155"/>
      <c r="K40" s="166"/>
      <c r="L40" s="167"/>
      <c r="M40" s="168"/>
      <c r="N40" s="134"/>
      <c r="O40" s="169"/>
      <c r="P40" s="169"/>
      <c r="Q40" s="58"/>
      <c r="R40" s="58"/>
      <c r="S40" s="58"/>
      <c r="U40" s="14">
        <v>245.15</v>
      </c>
      <c r="V40" s="15"/>
      <c r="W40" s="15"/>
    </row>
    <row r="41" spans="1:99" ht="14.1" customHeight="1">
      <c r="A41" s="164"/>
      <c r="B41" s="170"/>
      <c r="C41" s="164"/>
      <c r="D41" s="171"/>
      <c r="E41" s="164"/>
      <c r="F41" s="164"/>
      <c r="G41" s="124"/>
      <c r="H41" s="58"/>
      <c r="I41" s="58"/>
      <c r="J41" s="170"/>
      <c r="K41" s="170"/>
      <c r="L41" s="96"/>
      <c r="M41" s="172"/>
      <c r="N41" s="160"/>
      <c r="O41" s="58"/>
      <c r="P41" s="58"/>
      <c r="Q41" s="58"/>
      <c r="R41" s="58"/>
      <c r="S41" s="58"/>
      <c r="U41" s="173"/>
      <c r="V41" s="174"/>
      <c r="W41" s="175"/>
    </row>
    <row r="42" spans="1:99" ht="14.1" customHeight="1">
      <c r="A42" s="3"/>
      <c r="B42" s="3"/>
      <c r="C42" s="3"/>
      <c r="D42" s="33"/>
      <c r="E42" s="3"/>
      <c r="F42" s="3"/>
      <c r="G42" s="19"/>
      <c r="H42" s="40"/>
      <c r="I42" s="40"/>
      <c r="J42" s="30"/>
      <c r="K42" s="30"/>
      <c r="L42" s="30"/>
      <c r="M42" s="30"/>
      <c r="N42" s="33"/>
      <c r="O42" s="33"/>
      <c r="P42" s="33"/>
      <c r="Q42" s="40"/>
      <c r="R42" s="40"/>
      <c r="U42" s="173"/>
      <c r="V42" s="174"/>
      <c r="W42" s="175"/>
    </row>
    <row r="43" spans="1:99" ht="14.1" customHeight="1">
      <c r="A43" s="30"/>
      <c r="B43" s="176"/>
      <c r="C43" s="3"/>
      <c r="D43" s="33"/>
      <c r="E43" s="177"/>
      <c r="F43" s="177"/>
      <c r="G43" s="33"/>
      <c r="H43" s="174"/>
      <c r="I43" s="40"/>
      <c r="J43" s="30"/>
      <c r="K43" s="30"/>
      <c r="L43" s="30"/>
      <c r="M43" s="33"/>
      <c r="N43" s="178"/>
      <c r="O43" s="33"/>
      <c r="P43" s="33"/>
      <c r="Q43" s="40"/>
      <c r="R43" s="40"/>
      <c r="U43" s="173"/>
      <c r="V43" s="174"/>
      <c r="W43" s="175"/>
    </row>
    <row r="44" spans="1:99" ht="14.1" customHeight="1">
      <c r="A44" s="3"/>
      <c r="B44" s="30"/>
      <c r="C44" s="3"/>
      <c r="D44" s="41"/>
      <c r="E44" s="42"/>
      <c r="F44" s="42"/>
      <c r="G44" s="19"/>
      <c r="H44" s="19"/>
      <c r="I44" s="30"/>
      <c r="J44" s="179"/>
      <c r="K44" s="179"/>
      <c r="L44" s="180"/>
      <c r="M44" s="39"/>
      <c r="N44" s="179"/>
      <c r="O44" s="180"/>
      <c r="P44" s="180"/>
      <c r="Q44" s="46"/>
      <c r="R44" s="46"/>
      <c r="U44" s="173"/>
      <c r="V44" s="174"/>
      <c r="W44" s="175"/>
    </row>
    <row r="45" spans="1:99" s="1" customFormat="1" ht="14.1" customHeight="1">
      <c r="A45" s="3"/>
      <c r="B45" s="181"/>
      <c r="C45" s="181"/>
      <c r="D45" s="25"/>
      <c r="E45" s="181"/>
      <c r="F45" s="181"/>
      <c r="G45" s="181"/>
      <c r="H45" s="95"/>
      <c r="I45" s="95"/>
      <c r="J45" s="182"/>
      <c r="K45" s="182"/>
      <c r="L45" s="182"/>
      <c r="M45" s="182"/>
      <c r="N45" s="182"/>
      <c r="O45" s="54"/>
      <c r="P45" s="54"/>
      <c r="Q45" s="55"/>
      <c r="R45" s="55"/>
      <c r="S45" s="13"/>
      <c r="T45" s="13"/>
      <c r="U45" s="173"/>
      <c r="V45" s="40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</row>
    <row r="46" spans="1:99" ht="14.1" customHeight="1">
      <c r="A46" s="70"/>
      <c r="B46" s="33"/>
      <c r="C46" s="36"/>
      <c r="D46" s="33"/>
      <c r="E46" s="33"/>
      <c r="F46" s="33"/>
      <c r="G46" s="33"/>
      <c r="H46" s="33"/>
      <c r="I46" s="33"/>
      <c r="J46" s="74"/>
      <c r="K46" s="74"/>
      <c r="L46" s="74"/>
      <c r="M46" s="30"/>
      <c r="N46" s="19"/>
      <c r="O46" s="74"/>
      <c r="P46" s="74"/>
      <c r="Q46" s="30"/>
      <c r="R46" s="30"/>
      <c r="U46" s="173"/>
    </row>
    <row r="47" spans="1:99" ht="14.1" customHeight="1">
      <c r="A47" s="70"/>
      <c r="B47" s="33"/>
      <c r="C47" s="36"/>
      <c r="D47" s="33"/>
      <c r="E47" s="33"/>
      <c r="F47" s="33"/>
      <c r="G47" s="33"/>
      <c r="H47" s="33"/>
      <c r="I47" s="33"/>
      <c r="J47" s="74"/>
      <c r="K47" s="74"/>
      <c r="L47" s="74"/>
      <c r="M47" s="30"/>
      <c r="N47" s="19"/>
      <c r="O47" s="74"/>
      <c r="P47" s="74"/>
      <c r="Q47" s="30"/>
      <c r="R47" s="30"/>
      <c r="T47" s="40"/>
      <c r="U47" s="173"/>
    </row>
    <row r="48" spans="1:99" s="80" customFormat="1" ht="14.1" customHeight="1">
      <c r="A48" s="183"/>
      <c r="B48" s="25"/>
      <c r="C48" s="184"/>
      <c r="D48" s="25"/>
      <c r="E48" s="25"/>
      <c r="F48" s="25"/>
      <c r="G48" s="25"/>
      <c r="H48" s="25"/>
      <c r="I48" s="25"/>
      <c r="J48" s="95"/>
      <c r="K48" s="95"/>
      <c r="L48" s="95"/>
      <c r="M48" s="95"/>
      <c r="N48" s="95"/>
      <c r="O48" s="95"/>
      <c r="P48" s="95"/>
      <c r="Q48" s="95"/>
      <c r="R48" s="95"/>
      <c r="S48" s="13"/>
      <c r="T48" s="40"/>
      <c r="U48" s="17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</row>
    <row r="49" spans="1:99" ht="14.1" customHeight="1">
      <c r="A49" s="30"/>
      <c r="B49" s="176"/>
      <c r="C49" s="185"/>
      <c r="D49" s="33"/>
      <c r="E49" s="40"/>
      <c r="F49" s="40"/>
      <c r="G49" s="40"/>
      <c r="H49" s="40"/>
      <c r="I49" s="40"/>
      <c r="J49" s="40"/>
      <c r="K49" s="40"/>
      <c r="L49" s="40"/>
      <c r="M49" s="30"/>
      <c r="N49" s="40"/>
      <c r="O49" s="40"/>
      <c r="P49" s="40"/>
      <c r="Q49" s="30"/>
      <c r="R49" s="30"/>
      <c r="T49" s="40"/>
      <c r="U49" s="173"/>
    </row>
    <row r="50" spans="1:99" ht="14.1" customHeight="1">
      <c r="A50" s="30"/>
      <c r="B50" s="176"/>
      <c r="C50" s="185"/>
      <c r="D50" s="33"/>
      <c r="E50" s="40"/>
      <c r="F50" s="40"/>
      <c r="G50" s="40"/>
      <c r="H50" s="40"/>
      <c r="I50" s="40"/>
      <c r="J50" s="40"/>
      <c r="K50" s="40"/>
      <c r="L50" s="40"/>
      <c r="M50" s="30"/>
      <c r="N50" s="40"/>
      <c r="O50" s="40"/>
      <c r="P50" s="40"/>
      <c r="Q50" s="30"/>
      <c r="R50" s="30"/>
      <c r="T50" s="40"/>
      <c r="U50" s="173"/>
    </row>
    <row r="51" spans="1:99" ht="14.1" customHeight="1">
      <c r="A51" s="30"/>
      <c r="B51" s="176"/>
      <c r="C51" s="185"/>
      <c r="D51" s="33"/>
      <c r="E51" s="40"/>
      <c r="F51" s="40"/>
      <c r="G51" s="40"/>
      <c r="H51" s="40"/>
      <c r="I51" s="40"/>
      <c r="J51" s="40"/>
      <c r="K51" s="40"/>
      <c r="L51" s="40"/>
      <c r="M51" s="19"/>
      <c r="N51" s="40"/>
      <c r="O51" s="40"/>
      <c r="P51" s="40"/>
      <c r="Q51" s="30"/>
      <c r="R51" s="30"/>
      <c r="T51" s="40"/>
      <c r="U51" s="173"/>
    </row>
    <row r="52" spans="1:99" ht="14.1" customHeight="1">
      <c r="A52" s="30"/>
      <c r="B52" s="176"/>
      <c r="C52" s="185"/>
      <c r="D52" s="33"/>
      <c r="E52" s="40"/>
      <c r="F52" s="40"/>
      <c r="G52" s="40"/>
      <c r="H52" s="40"/>
      <c r="I52" s="40"/>
      <c r="J52" s="40"/>
      <c r="K52" s="40"/>
      <c r="L52" s="40"/>
      <c r="M52" s="19"/>
      <c r="N52" s="40"/>
      <c r="O52" s="40"/>
      <c r="P52" s="40"/>
      <c r="Q52" s="30"/>
      <c r="R52" s="30"/>
      <c r="U52" s="173"/>
    </row>
    <row r="53" spans="1:99" ht="14.1" customHeight="1">
      <c r="A53" s="30"/>
      <c r="B53" s="176"/>
      <c r="C53" s="186"/>
      <c r="D53" s="33"/>
      <c r="E53" s="33"/>
      <c r="F53" s="33"/>
      <c r="G53" s="33"/>
      <c r="H53" s="33"/>
      <c r="I53" s="33"/>
      <c r="J53" s="187"/>
      <c r="K53" s="188"/>
      <c r="L53" s="40"/>
      <c r="M53" s="19"/>
      <c r="N53" s="40"/>
      <c r="O53" s="40"/>
      <c r="P53" s="40"/>
      <c r="Q53" s="30"/>
      <c r="R53" s="30"/>
      <c r="U53" s="173"/>
    </row>
    <row r="54" spans="1:99" ht="14.1" customHeight="1">
      <c r="A54" s="70"/>
      <c r="B54" s="189"/>
      <c r="C54" s="36"/>
      <c r="D54" s="33"/>
      <c r="E54" s="33"/>
      <c r="F54" s="33"/>
      <c r="G54" s="33"/>
      <c r="H54" s="33"/>
      <c r="I54" s="33"/>
      <c r="J54" s="132"/>
      <c r="K54" s="74"/>
      <c r="L54" s="74"/>
      <c r="M54" s="19"/>
      <c r="N54" s="19"/>
      <c r="O54" s="74"/>
      <c r="P54" s="74"/>
      <c r="Q54" s="30"/>
      <c r="R54" s="30"/>
      <c r="U54" s="173"/>
    </row>
    <row r="55" spans="1:99" ht="14.1" customHeight="1">
      <c r="A55" s="70"/>
      <c r="B55" s="189"/>
      <c r="C55" s="36"/>
      <c r="D55" s="33"/>
      <c r="E55" s="33"/>
      <c r="F55" s="33"/>
      <c r="G55" s="33"/>
      <c r="H55" s="33"/>
      <c r="I55" s="33"/>
      <c r="J55" s="132"/>
      <c r="K55" s="74"/>
      <c r="L55" s="74"/>
      <c r="M55" s="19"/>
      <c r="N55" s="19"/>
      <c r="O55" s="74"/>
      <c r="P55" s="74"/>
      <c r="Q55" s="30"/>
      <c r="R55" s="30"/>
      <c r="U55" s="173"/>
    </row>
    <row r="56" spans="1:99" s="30" customFormat="1" ht="14.1" customHeight="1">
      <c r="A56" s="70"/>
      <c r="B56" s="189"/>
      <c r="C56" s="36"/>
      <c r="D56" s="33"/>
      <c r="E56" s="33"/>
      <c r="F56" s="33"/>
      <c r="G56" s="33"/>
      <c r="H56" s="33"/>
      <c r="I56" s="33"/>
      <c r="J56" s="132"/>
      <c r="K56" s="74"/>
      <c r="L56" s="74"/>
      <c r="M56" s="19"/>
      <c r="N56" s="19"/>
      <c r="O56" s="74"/>
      <c r="P56" s="74"/>
      <c r="S56" s="13"/>
      <c r="T56" s="13"/>
      <c r="U56" s="17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</row>
    <row r="57" spans="1:99" ht="14.1" customHeight="1">
      <c r="A57" s="70"/>
      <c r="B57" s="189"/>
      <c r="C57" s="36"/>
      <c r="D57" s="33"/>
      <c r="E57" s="33"/>
      <c r="F57" s="33"/>
      <c r="G57" s="33"/>
      <c r="H57" s="33"/>
      <c r="I57" s="33"/>
      <c r="J57" s="132"/>
      <c r="K57" s="74"/>
      <c r="L57" s="74"/>
      <c r="M57" s="19"/>
      <c r="N57" s="19"/>
      <c r="O57" s="74"/>
      <c r="P57" s="74"/>
      <c r="Q57" s="30"/>
      <c r="R57" s="30"/>
      <c r="U57" s="173"/>
    </row>
    <row r="58" spans="1:99" ht="14.1" customHeight="1">
      <c r="A58" s="183"/>
      <c r="B58" s="25"/>
      <c r="C58" s="184"/>
      <c r="D58" s="25"/>
      <c r="E58" s="25"/>
      <c r="F58" s="25"/>
      <c r="G58" s="25"/>
      <c r="H58" s="25"/>
      <c r="I58" s="25"/>
      <c r="J58" s="95"/>
      <c r="K58" s="95"/>
      <c r="L58" s="95"/>
      <c r="M58" s="95"/>
      <c r="N58" s="95"/>
      <c r="O58" s="95"/>
      <c r="P58" s="95"/>
      <c r="Q58" s="95"/>
      <c r="R58" s="95"/>
      <c r="U58" s="173"/>
    </row>
    <row r="59" spans="1:99" s="115" customFormat="1" ht="14.1" customHeight="1">
      <c r="A59" s="40"/>
      <c r="B59" s="40"/>
      <c r="C59" s="40"/>
      <c r="D59" s="19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13"/>
      <c r="T59" s="13"/>
      <c r="U59" s="17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</row>
    <row r="60" spans="1:99" s="30" customFormat="1" ht="14.1" customHeight="1">
      <c r="A60" s="191"/>
      <c r="B60" s="40"/>
      <c r="C60" s="40"/>
      <c r="D60" s="19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13"/>
      <c r="T60" s="13"/>
      <c r="U60" s="17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</row>
    <row r="61" spans="1:99" ht="14.1" customHeight="1">
      <c r="A61" s="40"/>
      <c r="B61" s="40"/>
      <c r="C61" s="40"/>
      <c r="D61" s="19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U61" s="173"/>
    </row>
    <row r="62" spans="1:99" ht="14.1" customHeight="1">
      <c r="A62" s="40"/>
      <c r="B62" s="40"/>
      <c r="C62" s="40"/>
      <c r="D62" s="19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U62" s="173"/>
    </row>
    <row r="63" spans="1:99" ht="14.1" customHeight="1">
      <c r="A63" s="40"/>
      <c r="B63" s="40"/>
      <c r="C63" s="40"/>
      <c r="D63" s="19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U63" s="173"/>
    </row>
    <row r="64" spans="1:99" s="156" customFormat="1" ht="14.1" customHeight="1">
      <c r="A64" s="30"/>
      <c r="B64" s="189"/>
      <c r="C64" s="36"/>
      <c r="D64" s="33"/>
      <c r="E64" s="189"/>
      <c r="F64" s="189"/>
      <c r="G64" s="19"/>
      <c r="H64" s="30"/>
      <c r="I64" s="30"/>
      <c r="J64" s="30"/>
      <c r="K64" s="30"/>
      <c r="L64" s="30"/>
      <c r="M64" s="30"/>
      <c r="N64" s="19"/>
      <c r="O64" s="30"/>
      <c r="P64" s="30"/>
      <c r="Q64" s="40"/>
      <c r="R64" s="40"/>
      <c r="S64" s="13"/>
      <c r="T64" s="13"/>
      <c r="U64" s="17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</row>
    <row r="65" spans="1:21" s="13" customFormat="1" ht="14.1" customHeight="1">
      <c r="A65" s="30"/>
      <c r="B65" s="189"/>
      <c r="C65" s="36"/>
      <c r="D65" s="33"/>
      <c r="E65" s="189"/>
      <c r="F65" s="189"/>
      <c r="G65" s="19"/>
      <c r="H65" s="30"/>
      <c r="I65" s="30"/>
      <c r="J65" s="30"/>
      <c r="K65" s="30"/>
      <c r="L65" s="30"/>
      <c r="M65" s="30"/>
      <c r="N65" s="19"/>
      <c r="O65" s="30"/>
      <c r="P65" s="30"/>
      <c r="Q65" s="40"/>
      <c r="R65" s="40"/>
      <c r="U65" s="173"/>
    </row>
    <row r="66" spans="1:21" s="13" customFormat="1" ht="14.1" customHeight="1">
      <c r="A66" s="12"/>
      <c r="B66" s="192"/>
      <c r="C66" s="65"/>
      <c r="D66" s="66"/>
      <c r="E66" s="192"/>
      <c r="F66" s="192"/>
      <c r="G66" s="68"/>
      <c r="H66" s="12"/>
      <c r="I66" s="12"/>
      <c r="J66" s="12"/>
      <c r="K66" s="12"/>
      <c r="L66" s="12"/>
      <c r="M66" s="12"/>
      <c r="N66" s="68"/>
      <c r="O66" s="12"/>
      <c r="P66" s="12"/>
      <c r="U66" s="173"/>
    </row>
    <row r="67" spans="1:21" ht="14.1" customHeight="1">
      <c r="C67" s="65"/>
      <c r="U67" s="173"/>
    </row>
    <row r="68" spans="1:21" ht="14.1" customHeight="1">
      <c r="A68" s="13"/>
      <c r="B68" s="13"/>
      <c r="C68" s="13"/>
      <c r="D68" s="97"/>
      <c r="E68" s="13"/>
      <c r="F68" s="13"/>
      <c r="G68" s="13"/>
      <c r="H68" s="13"/>
      <c r="I68" s="13"/>
      <c r="J68" s="13"/>
      <c r="M68" s="13"/>
      <c r="N68" s="13"/>
      <c r="O68" s="13"/>
      <c r="P68" s="13"/>
      <c r="U68" s="173"/>
    </row>
    <row r="69" spans="1:21" ht="14.1" customHeight="1">
      <c r="A69" s="13"/>
      <c r="B69" s="13"/>
      <c r="C69" s="13"/>
      <c r="D69" s="97"/>
      <c r="E69" s="13"/>
      <c r="F69" s="13"/>
      <c r="G69" s="13"/>
      <c r="H69" s="13"/>
      <c r="I69" s="13"/>
      <c r="J69" s="13"/>
      <c r="M69" s="13"/>
      <c r="N69" s="13"/>
      <c r="O69" s="13"/>
      <c r="P69" s="13"/>
      <c r="U69" s="173"/>
    </row>
    <row r="70" spans="1:21" ht="14.1" customHeight="1">
      <c r="C70" s="65"/>
      <c r="U70" s="173"/>
    </row>
    <row r="71" spans="1:21" ht="14.1" customHeight="1">
      <c r="C71" s="65"/>
      <c r="Q71" s="13"/>
      <c r="R71" s="13"/>
    </row>
    <row r="72" spans="1:21" ht="14.1" customHeight="1">
      <c r="C72" s="65"/>
      <c r="Q72" s="13"/>
      <c r="R72" s="13"/>
    </row>
    <row r="73" spans="1:21" ht="14.1" customHeight="1">
      <c r="C73" s="65"/>
    </row>
    <row r="74" spans="1:21" ht="14.1" customHeight="1">
      <c r="C74" s="65"/>
    </row>
  </sheetData>
  <pageMargins left="0.75" right="0.5" top="1" bottom="0.5" header="0.5" footer="0.5"/>
  <pageSetup scale="70" orientation="landscape" r:id="rId1"/>
  <headerFooter alignWithMargins="0">
    <oddHeader>&amp;R&amp;D</oddHead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U74"/>
  <sheetViews>
    <sheetView topLeftCell="P1" zoomScale="87" zoomScaleNormal="87" workbookViewId="0">
      <selection activeCell="AB11" sqref="AB11:CQ11"/>
    </sheetView>
  </sheetViews>
  <sheetFormatPr defaultColWidth="13.7109375" defaultRowHeight="14.1" customHeight="1"/>
  <cols>
    <col min="1" max="1" width="6.28515625" style="12" customWidth="1"/>
    <col min="2" max="2" width="16.5703125" style="192" customWidth="1"/>
    <col min="3" max="3" width="8.28515625" style="12" customWidth="1"/>
    <col min="4" max="4" width="11.140625" style="66" customWidth="1"/>
    <col min="5" max="5" width="12.85546875" style="192" customWidth="1"/>
    <col min="6" max="6" width="9.28515625" style="192" customWidth="1"/>
    <col min="7" max="7" width="9.140625" style="68" customWidth="1"/>
    <col min="8" max="8" width="10.85546875" style="12" customWidth="1"/>
    <col min="9" max="9" width="13.140625" style="12" customWidth="1"/>
    <col min="10" max="10" width="12.28515625" style="12" customWidth="1"/>
    <col min="11" max="11" width="10.140625" style="12" customWidth="1"/>
    <col min="12" max="12" width="14.42578125" style="12" customWidth="1"/>
    <col min="13" max="13" width="8.85546875" style="12" customWidth="1"/>
    <col min="14" max="14" width="17.140625" style="68" customWidth="1"/>
    <col min="15" max="15" width="15.7109375" style="12" customWidth="1"/>
    <col min="16" max="16" width="10.85546875" style="12" customWidth="1"/>
    <col min="17" max="17" width="6.140625" style="12" customWidth="1"/>
    <col min="18" max="18" width="7.28515625" style="12" customWidth="1"/>
    <col min="19" max="19" width="12" style="13" customWidth="1"/>
    <col min="20" max="20" width="10.42578125" style="13" customWidth="1"/>
    <col min="21" max="21" width="13.7109375" style="13" customWidth="1"/>
    <col min="22" max="22" width="2.5703125" style="13" customWidth="1"/>
    <col min="23" max="29" width="13.7109375" style="13" customWidth="1"/>
    <col min="30" max="31" width="25" style="13" customWidth="1"/>
    <col min="32" max="34" width="13.7109375" style="13" customWidth="1"/>
    <col min="35" max="35" width="19.85546875" style="13" customWidth="1"/>
    <col min="36" max="36" width="19.5703125" style="13" customWidth="1"/>
    <col min="37" max="37" width="27.42578125" style="13" customWidth="1"/>
    <col min="38" max="38" width="31.42578125" style="13" customWidth="1"/>
    <col min="39" max="39" width="31.28515625" style="13" customWidth="1"/>
    <col min="40" max="45" width="27.42578125" style="13" customWidth="1"/>
    <col min="46" max="46" width="31.28515625" style="13" customWidth="1"/>
    <col min="47" max="47" width="35.42578125" style="13" customWidth="1"/>
    <col min="48" max="50" width="13.7109375" style="13" customWidth="1"/>
    <col min="51" max="52" width="17.28515625" style="13" customWidth="1"/>
    <col min="53" max="60" width="17.5703125" style="13" customWidth="1"/>
    <col min="61" max="65" width="20.42578125" style="13" customWidth="1"/>
    <col min="66" max="68" width="13.7109375" style="13" customWidth="1"/>
    <col min="69" max="69" width="18.7109375" style="13" customWidth="1"/>
    <col min="70" max="72" width="13.7109375" style="13" customWidth="1"/>
    <col min="73" max="73" width="17.28515625" style="13" customWidth="1"/>
    <col min="74" max="74" width="16.85546875" style="13" customWidth="1"/>
    <col min="75" max="75" width="13.7109375" style="13" customWidth="1"/>
    <col min="76" max="76" width="17" style="13" customWidth="1"/>
    <col min="77" max="81" width="17.85546875" style="13" customWidth="1"/>
    <col min="82" max="92" width="13.7109375" style="13" customWidth="1"/>
    <col min="93" max="93" width="26.140625" style="13" customWidth="1"/>
    <col min="94" max="94" width="25.7109375" style="13" customWidth="1"/>
    <col min="95" max="95" width="22.85546875" style="13" customWidth="1"/>
    <col min="96" max="99" width="13.7109375" style="13" customWidth="1"/>
    <col min="100" max="16384" width="13.7109375" style="12"/>
  </cols>
  <sheetData>
    <row r="1" spans="1:99" ht="14.1" customHeight="1">
      <c r="A1" s="1" t="s">
        <v>0</v>
      </c>
      <c r="B1" s="2" t="s">
        <v>126</v>
      </c>
      <c r="C1" s="3" t="s">
        <v>1</v>
      </c>
      <c r="D1" s="4" t="s">
        <v>164</v>
      </c>
      <c r="E1" s="1" t="s">
        <v>2</v>
      </c>
      <c r="F1" s="1"/>
      <c r="G1" s="5">
        <v>56</v>
      </c>
      <c r="H1" s="6"/>
      <c r="I1" s="6" t="s">
        <v>3</v>
      </c>
      <c r="J1" s="5">
        <v>178</v>
      </c>
      <c r="K1" s="7"/>
      <c r="L1" s="7"/>
      <c r="M1" s="8" t="s">
        <v>4</v>
      </c>
      <c r="N1" s="9">
        <f>((AVERAGE(W7:W8))*20)</f>
        <v>11323317.000000002</v>
      </c>
      <c r="O1" s="10">
        <f>(O3*20)</f>
        <v>11742356.829059998</v>
      </c>
      <c r="P1" s="10"/>
      <c r="Q1" s="11" t="s">
        <v>5</v>
      </c>
      <c r="S1" s="13">
        <v>-120</v>
      </c>
      <c r="T1" s="13" t="s">
        <v>6</v>
      </c>
      <c r="U1" s="14">
        <v>31.83</v>
      </c>
      <c r="V1" s="15"/>
      <c r="W1" s="15" t="s">
        <v>7</v>
      </c>
    </row>
    <row r="2" spans="1:99" ht="14.1" customHeight="1" thickBot="1">
      <c r="A2" s="16" t="s">
        <v>8</v>
      </c>
      <c r="B2" s="17">
        <v>42187</v>
      </c>
      <c r="C2" s="3" t="s">
        <v>9</v>
      </c>
      <c r="D2" s="18">
        <v>69.099999999999994</v>
      </c>
      <c r="E2" s="3" t="s">
        <v>10</v>
      </c>
      <c r="F2" s="3"/>
      <c r="G2" s="19">
        <f>D2/(D3/100*D3/100)</f>
        <v>29.790530749992772</v>
      </c>
      <c r="H2" s="13"/>
      <c r="I2" s="20" t="s">
        <v>11</v>
      </c>
      <c r="J2" s="21"/>
      <c r="K2" s="22"/>
      <c r="L2" s="23"/>
      <c r="M2" s="24" t="s">
        <v>12</v>
      </c>
      <c r="N2" s="25">
        <f>(O1*0.068)</f>
        <v>798480.2643760799</v>
      </c>
      <c r="O2" s="13"/>
      <c r="P2" s="13"/>
      <c r="Q2" s="11"/>
      <c r="R2" s="26"/>
      <c r="T2" s="13" t="s">
        <v>6</v>
      </c>
      <c r="U2" s="14">
        <v>36.17</v>
      </c>
      <c r="V2" s="15"/>
      <c r="W2" s="27">
        <v>200974.2</v>
      </c>
    </row>
    <row r="3" spans="1:99" ht="14.1" customHeight="1" thickTop="1" thickBot="1">
      <c r="A3" s="16" t="s">
        <v>13</v>
      </c>
      <c r="B3" s="28" t="s">
        <v>167</v>
      </c>
      <c r="C3" s="3" t="s">
        <v>15</v>
      </c>
      <c r="D3" s="29">
        <v>152.30000000000001</v>
      </c>
      <c r="E3" s="3" t="s">
        <v>16</v>
      </c>
      <c r="F3" s="3"/>
      <c r="G3" s="19">
        <f>SQRT(((D2*D3)/3600))</f>
        <v>1.7097701274992756</v>
      </c>
      <c r="H3" s="13"/>
      <c r="I3" s="20"/>
      <c r="J3" s="30"/>
      <c r="K3" s="30"/>
      <c r="L3" s="30"/>
      <c r="M3" s="31" t="s">
        <v>17</v>
      </c>
      <c r="N3" s="32">
        <f>($O$1/$N$1)*100</f>
        <v>103.70068089641926</v>
      </c>
      <c r="O3" s="33">
        <f>((AVERAGE(W2:W5))*2.85714)</f>
        <v>587117.84145299986</v>
      </c>
      <c r="P3" s="33"/>
      <c r="Q3" s="34" t="s">
        <v>18</v>
      </c>
      <c r="R3" s="13"/>
      <c r="T3" s="13">
        <v>-30</v>
      </c>
      <c r="U3" s="14">
        <v>532.82000000000005</v>
      </c>
      <c r="V3" s="15"/>
      <c r="W3" s="27">
        <v>194623.4</v>
      </c>
    </row>
    <row r="4" spans="1:99" ht="14.1" customHeight="1" thickTop="1">
      <c r="B4" s="35"/>
      <c r="C4" s="3" t="s">
        <v>19</v>
      </c>
      <c r="D4" s="19">
        <v>40.14</v>
      </c>
      <c r="E4" s="37" t="s">
        <v>20</v>
      </c>
      <c r="F4" s="37"/>
      <c r="G4" s="38">
        <v>0.41099999999999998</v>
      </c>
      <c r="H4" s="13"/>
      <c r="I4" s="20"/>
      <c r="J4" s="30"/>
      <c r="K4" s="30"/>
      <c r="L4" s="30"/>
      <c r="M4" s="33"/>
      <c r="N4" s="39"/>
      <c r="O4" s="30"/>
      <c r="P4" s="30"/>
      <c r="Q4" s="30"/>
      <c r="R4" s="30"/>
      <c r="U4" s="14">
        <v>503.84</v>
      </c>
      <c r="V4" s="15"/>
      <c r="W4" s="27">
        <v>216313.3</v>
      </c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</row>
    <row r="5" spans="1:99" ht="14.1" customHeight="1" thickBot="1">
      <c r="A5" s="16"/>
      <c r="B5" s="30"/>
      <c r="C5" s="3"/>
      <c r="D5" s="41" t="s">
        <v>21</v>
      </c>
      <c r="E5" s="42">
        <f>AVERAGE(U1:U2)</f>
        <v>34</v>
      </c>
      <c r="F5" s="42"/>
      <c r="G5" s="19"/>
      <c r="H5" s="30"/>
      <c r="I5" s="30"/>
      <c r="J5" s="43" t="s">
        <v>22</v>
      </c>
      <c r="K5" s="43"/>
      <c r="L5" s="44" t="s">
        <v>23</v>
      </c>
      <c r="M5" s="45"/>
      <c r="N5" s="43" t="s">
        <v>22</v>
      </c>
      <c r="O5" s="44" t="s">
        <v>23</v>
      </c>
      <c r="P5" s="44" t="s">
        <v>24</v>
      </c>
      <c r="Q5" s="46"/>
      <c r="R5" s="46"/>
      <c r="T5" s="13">
        <v>-20</v>
      </c>
      <c r="U5" s="14">
        <v>497.32</v>
      </c>
      <c r="V5" s="15"/>
      <c r="W5" s="27">
        <v>210054.9</v>
      </c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</row>
    <row r="6" spans="1:99" s="1" customFormat="1" ht="14.1" customHeight="1">
      <c r="A6" s="47" t="s">
        <v>25</v>
      </c>
      <c r="B6" s="48" t="s">
        <v>26</v>
      </c>
      <c r="C6" s="48"/>
      <c r="D6" s="49" t="s">
        <v>27</v>
      </c>
      <c r="E6" s="48" t="s">
        <v>28</v>
      </c>
      <c r="F6" s="48"/>
      <c r="G6" s="48" t="s">
        <v>29</v>
      </c>
      <c r="H6" s="50" t="s">
        <v>30</v>
      </c>
      <c r="I6" s="50"/>
      <c r="J6" s="51" t="s">
        <v>31</v>
      </c>
      <c r="K6" s="52"/>
      <c r="L6" s="52" t="s">
        <v>31</v>
      </c>
      <c r="M6" s="52" t="s">
        <v>32</v>
      </c>
      <c r="N6" s="52" t="s">
        <v>33</v>
      </c>
      <c r="O6" s="53" t="s">
        <v>34</v>
      </c>
      <c r="P6" s="54"/>
      <c r="Q6" s="55"/>
      <c r="R6" s="55"/>
      <c r="S6" s="13"/>
      <c r="T6" s="13"/>
      <c r="U6" s="14">
        <v>533.94000000000005</v>
      </c>
      <c r="V6" s="15"/>
      <c r="W6" s="56" t="s">
        <v>35</v>
      </c>
      <c r="X6" s="13" t="s">
        <v>36</v>
      </c>
      <c r="Y6" s="57" t="s">
        <v>37</v>
      </c>
      <c r="Z6" s="58" t="s">
        <v>38</v>
      </c>
      <c r="AA6" s="40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60"/>
      <c r="AY6" s="60"/>
      <c r="AZ6" s="60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60"/>
      <c r="BO6" s="60"/>
      <c r="BP6" s="60"/>
      <c r="BQ6" s="59"/>
      <c r="BR6" s="59"/>
      <c r="BS6" s="59"/>
      <c r="BT6" s="59"/>
      <c r="BU6" s="59"/>
      <c r="BV6" s="59"/>
      <c r="BW6" s="59"/>
      <c r="BX6" s="59"/>
      <c r="BY6" s="59"/>
      <c r="BZ6" s="61"/>
      <c r="CA6" s="61"/>
      <c r="CB6" s="61"/>
      <c r="CC6" s="61"/>
      <c r="CD6" s="40"/>
      <c r="CE6" s="61"/>
      <c r="CF6" s="61"/>
      <c r="CG6" s="33"/>
      <c r="CH6" s="40"/>
      <c r="CI6" s="30"/>
      <c r="CJ6" s="30"/>
      <c r="CK6" s="30"/>
      <c r="CL6" s="30"/>
      <c r="CM6" s="30"/>
      <c r="CN6" s="30"/>
      <c r="CO6" s="30"/>
      <c r="CP6" s="62"/>
      <c r="CQ6" s="62"/>
      <c r="CR6" s="13"/>
      <c r="CS6" s="13"/>
      <c r="CT6" s="13"/>
      <c r="CU6" s="13"/>
    </row>
    <row r="7" spans="1:99" ht="14.1" customHeight="1">
      <c r="A7" s="63">
        <v>-30</v>
      </c>
      <c r="B7" s="64">
        <v>95</v>
      </c>
      <c r="C7" s="65"/>
      <c r="D7" s="42">
        <f>AVERAGE(U3:U4)</f>
        <v>518.33000000000004</v>
      </c>
      <c r="E7" s="66">
        <f>D7-$E$5</f>
        <v>484.33000000000004</v>
      </c>
      <c r="F7" s="66"/>
      <c r="G7" s="66">
        <f>($E7*7.1425)</f>
        <v>3459.3270250000005</v>
      </c>
      <c r="H7" s="66">
        <f>($G7/($B7*0.01))</f>
        <v>3641.3968684210531</v>
      </c>
      <c r="I7" s="66"/>
      <c r="J7" s="67">
        <f>$N$2/$H7/$D$2</f>
        <v>3.1733510960352644</v>
      </c>
      <c r="K7" s="67"/>
      <c r="L7" s="67">
        <f>J7/($D$4/$D$2)</f>
        <v>5.4628440641763021</v>
      </c>
      <c r="N7" s="68">
        <f>J7-M7</f>
        <v>3.1733510960352644</v>
      </c>
      <c r="O7" s="67">
        <f>N7/($D$4/$D$2)</f>
        <v>5.4628440641763021</v>
      </c>
      <c r="P7" s="67"/>
      <c r="Q7" s="30"/>
      <c r="R7" s="30"/>
      <c r="T7" s="13">
        <v>-10</v>
      </c>
      <c r="U7" s="14">
        <v>502.76</v>
      </c>
      <c r="V7" s="15"/>
      <c r="W7" s="27">
        <v>563902.80000000005</v>
      </c>
      <c r="X7" s="69">
        <v>0.54300000000000004</v>
      </c>
      <c r="Y7" s="70">
        <v>-30</v>
      </c>
      <c r="Z7" s="71">
        <v>14.164</v>
      </c>
      <c r="AA7" s="40"/>
      <c r="AB7" s="72"/>
      <c r="AC7" s="72"/>
      <c r="AD7" s="72"/>
      <c r="AE7" s="72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19"/>
      <c r="AY7" s="74"/>
      <c r="AZ7" s="74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</row>
    <row r="8" spans="1:99" ht="14.1" customHeight="1">
      <c r="A8" s="63">
        <v>-20</v>
      </c>
      <c r="B8" s="195">
        <v>97</v>
      </c>
      <c r="C8" s="65"/>
      <c r="D8" s="66">
        <f>AVERAGE(U5:U6)</f>
        <v>515.63</v>
      </c>
      <c r="E8" s="66">
        <f>D8-$E$5</f>
        <v>481.63</v>
      </c>
      <c r="F8" s="66"/>
      <c r="G8" s="66">
        <f>($E8*7.1425)</f>
        <v>3440.0422749999998</v>
      </c>
      <c r="H8" s="66">
        <f>($G8/($B8*0.01))</f>
        <v>3546.4353350515462</v>
      </c>
      <c r="I8" s="66"/>
      <c r="J8" s="67">
        <f>$N$2/H8/$D$2</f>
        <v>3.2583226963971623</v>
      </c>
      <c r="K8" s="67"/>
      <c r="L8" s="67">
        <f>J8/($D$4/$D$2)</f>
        <v>5.6091205361495744</v>
      </c>
      <c r="N8" s="68">
        <f>J8-M8</f>
        <v>3.2583226963971623</v>
      </c>
      <c r="O8" s="67">
        <f>N8/($D$4/$D$2)</f>
        <v>5.6091205361495744</v>
      </c>
      <c r="P8" s="67"/>
      <c r="Q8" s="30"/>
      <c r="R8" s="30"/>
      <c r="U8" s="14">
        <v>516.41999999999996</v>
      </c>
      <c r="V8" s="15"/>
      <c r="W8" s="27">
        <v>568428.9</v>
      </c>
      <c r="X8" s="69">
        <v>0.6</v>
      </c>
      <c r="Y8" s="70">
        <v>-20</v>
      </c>
      <c r="Z8" s="71">
        <v>18.266999999999999</v>
      </c>
      <c r="AA8" s="40"/>
      <c r="AB8" s="72"/>
      <c r="AC8" s="72"/>
      <c r="AD8" s="72"/>
      <c r="AE8" s="72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19"/>
      <c r="AY8" s="74"/>
      <c r="AZ8" s="74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</row>
    <row r="9" spans="1:99" ht="14.1" customHeight="1" thickBot="1">
      <c r="A9" s="63">
        <v>-10</v>
      </c>
      <c r="B9" s="195">
        <v>97</v>
      </c>
      <c r="C9" s="65"/>
      <c r="D9" s="66">
        <f>AVERAGE(U7:U8)</f>
        <v>509.59</v>
      </c>
      <c r="E9" s="66">
        <f>D9-$E$5</f>
        <v>475.59</v>
      </c>
      <c r="F9" s="66"/>
      <c r="G9" s="66">
        <f>($E9*7.1425)</f>
        <v>3396.9015749999999</v>
      </c>
      <c r="H9" s="66">
        <f>($G9/($B9*0.01))</f>
        <v>3501.9603865979379</v>
      </c>
      <c r="I9" s="66"/>
      <c r="J9" s="67">
        <f>$N$2/H9/$D$2</f>
        <v>3.2997034425992244</v>
      </c>
      <c r="K9" s="67"/>
      <c r="L9" s="67">
        <f>J9/($D$4/$D$2)</f>
        <v>5.680356449516851</v>
      </c>
      <c r="N9" s="68">
        <f>J9-M9</f>
        <v>3.2997034425992244</v>
      </c>
      <c r="O9" s="67">
        <f>N9/($D$4/$D$2)</f>
        <v>5.680356449516851</v>
      </c>
      <c r="P9" s="67"/>
      <c r="Q9" s="30"/>
      <c r="R9" s="30"/>
      <c r="T9" s="13">
        <v>-5</v>
      </c>
      <c r="U9" s="14">
        <v>624.75</v>
      </c>
      <c r="V9" s="15"/>
      <c r="W9" s="76">
        <v>567544.5</v>
      </c>
      <c r="X9" s="69">
        <v>0.63500000000000001</v>
      </c>
      <c r="Y9" s="70">
        <v>-10</v>
      </c>
      <c r="Z9" s="71">
        <v>16.489999999999998</v>
      </c>
      <c r="AA9" s="40"/>
      <c r="AB9" s="72"/>
      <c r="AC9" s="72"/>
      <c r="AD9" s="72"/>
      <c r="AE9" s="72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19"/>
      <c r="AY9" s="74"/>
      <c r="AZ9" s="74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</row>
    <row r="10" spans="1:99" s="80" customFormat="1" ht="14.1" customHeight="1">
      <c r="A10" s="77">
        <v>0</v>
      </c>
      <c r="B10" s="75">
        <v>98</v>
      </c>
      <c r="C10" s="65"/>
      <c r="D10" s="66">
        <f>AVERAGE(U11:U12)</f>
        <v>548.89</v>
      </c>
      <c r="E10" s="66">
        <f>D10-$E$5</f>
        <v>514.89</v>
      </c>
      <c r="F10" s="66"/>
      <c r="G10" s="78">
        <f>($E10*7.1425)</f>
        <v>3677.6018249999997</v>
      </c>
      <c r="H10" s="78">
        <f>($G10/($B10*0.01))</f>
        <v>3752.6549234693875</v>
      </c>
      <c r="I10" s="78"/>
      <c r="J10" s="79">
        <f>$N$2/H10/$D$2</f>
        <v>3.0792681392671599</v>
      </c>
      <c r="K10" s="79"/>
      <c r="L10" s="67">
        <f>J10/($D$4/$D$2)</f>
        <v>5.3008826214090865</v>
      </c>
      <c r="N10" s="81">
        <f>J10-M10</f>
        <v>3.0792681392671599</v>
      </c>
      <c r="O10" s="67">
        <f>N10/($D$4/$D$2)</f>
        <v>5.3008826214090865</v>
      </c>
      <c r="P10" s="67"/>
      <c r="Q10" s="30"/>
      <c r="R10" s="30"/>
      <c r="S10" s="13"/>
      <c r="T10" s="13" t="s">
        <v>39</v>
      </c>
      <c r="U10" s="14">
        <v>537.76</v>
      </c>
      <c r="V10" s="15"/>
      <c r="W10" s="15"/>
      <c r="X10" s="69">
        <v>0.60199999999999998</v>
      </c>
      <c r="Y10" s="70">
        <v>0</v>
      </c>
      <c r="Z10" s="82">
        <v>17.768000000000001</v>
      </c>
      <c r="AA10" s="30"/>
      <c r="AB10" s="83" t="s">
        <v>40</v>
      </c>
      <c r="AC10" s="83" t="s">
        <v>41</v>
      </c>
      <c r="AD10" s="83" t="s">
        <v>42</v>
      </c>
      <c r="AE10" s="83" t="s">
        <v>43</v>
      </c>
      <c r="AF10" s="83" t="s">
        <v>44</v>
      </c>
      <c r="AG10" s="83" t="s">
        <v>45</v>
      </c>
      <c r="AH10" s="83" t="s">
        <v>46</v>
      </c>
      <c r="AI10" s="83" t="s">
        <v>47</v>
      </c>
      <c r="AJ10" s="83" t="s">
        <v>48</v>
      </c>
      <c r="AK10" s="83" t="s">
        <v>49</v>
      </c>
      <c r="AL10" s="83" t="s">
        <v>50</v>
      </c>
      <c r="AM10" s="83" t="s">
        <v>51</v>
      </c>
      <c r="AN10" s="83" t="s">
        <v>52</v>
      </c>
      <c r="AO10" s="83" t="s">
        <v>53</v>
      </c>
      <c r="AP10" s="83" t="s">
        <v>54</v>
      </c>
      <c r="AQ10" s="83" t="s">
        <v>55</v>
      </c>
      <c r="AR10" s="83" t="s">
        <v>56</v>
      </c>
      <c r="AS10" s="83" t="s">
        <v>57</v>
      </c>
      <c r="AT10" s="83" t="s">
        <v>58</v>
      </c>
      <c r="AU10" s="83" t="s">
        <v>59</v>
      </c>
      <c r="AV10" s="84" t="s">
        <v>60</v>
      </c>
      <c r="AW10" s="84" t="s">
        <v>61</v>
      </c>
      <c r="AX10" s="85" t="s">
        <v>62</v>
      </c>
      <c r="AY10" s="85" t="s">
        <v>63</v>
      </c>
      <c r="AZ10" s="85" t="s">
        <v>64</v>
      </c>
      <c r="BA10" s="86" t="s">
        <v>65</v>
      </c>
      <c r="BB10" s="86" t="s">
        <v>66</v>
      </c>
      <c r="BC10" s="86" t="s">
        <v>67</v>
      </c>
      <c r="BD10" s="86" t="s">
        <v>68</v>
      </c>
      <c r="BE10" s="86" t="s">
        <v>69</v>
      </c>
      <c r="BF10" s="86" t="s">
        <v>70</v>
      </c>
      <c r="BG10" s="86" t="s">
        <v>71</v>
      </c>
      <c r="BH10" s="86" t="s">
        <v>72</v>
      </c>
      <c r="BI10" s="86" t="s">
        <v>73</v>
      </c>
      <c r="BJ10" s="86" t="s">
        <v>74</v>
      </c>
      <c r="BK10" s="86" t="s">
        <v>75</v>
      </c>
      <c r="BL10" s="86" t="s">
        <v>76</v>
      </c>
      <c r="BM10" s="86" t="s">
        <v>77</v>
      </c>
      <c r="BN10" s="87" t="s">
        <v>78</v>
      </c>
      <c r="BO10" s="87" t="s">
        <v>79</v>
      </c>
      <c r="BP10" s="87" t="s">
        <v>80</v>
      </c>
      <c r="BQ10" s="88" t="s">
        <v>81</v>
      </c>
      <c r="BR10" s="88" t="s">
        <v>82</v>
      </c>
      <c r="BS10" s="88" t="s">
        <v>83</v>
      </c>
      <c r="BT10" s="88" t="s">
        <v>84</v>
      </c>
      <c r="BU10" s="88" t="s">
        <v>85</v>
      </c>
      <c r="BV10" s="88" t="s">
        <v>86</v>
      </c>
      <c r="BW10" s="88" t="s">
        <v>87</v>
      </c>
      <c r="BX10" s="88" t="s">
        <v>88</v>
      </c>
      <c r="BY10" s="88" t="s">
        <v>89</v>
      </c>
      <c r="BZ10" s="88" t="s">
        <v>90</v>
      </c>
      <c r="CA10" s="88" t="s">
        <v>91</v>
      </c>
      <c r="CB10" s="88" t="s">
        <v>92</v>
      </c>
      <c r="CC10" s="88" t="s">
        <v>93</v>
      </c>
      <c r="CD10" s="40"/>
      <c r="CE10" s="89" t="s">
        <v>94</v>
      </c>
      <c r="CF10" s="89" t="s">
        <v>95</v>
      </c>
      <c r="CG10" s="90" t="s">
        <v>96</v>
      </c>
      <c r="CH10" s="40"/>
      <c r="CI10" s="91" t="s">
        <v>97</v>
      </c>
      <c r="CJ10" s="91" t="s">
        <v>98</v>
      </c>
      <c r="CK10" s="91" t="s">
        <v>99</v>
      </c>
      <c r="CL10" s="91" t="s">
        <v>100</v>
      </c>
      <c r="CM10" s="91" t="s">
        <v>101</v>
      </c>
      <c r="CN10" s="91" t="s">
        <v>102</v>
      </c>
      <c r="CO10" s="91" t="s">
        <v>103</v>
      </c>
      <c r="CP10" s="92" t="s">
        <v>104</v>
      </c>
      <c r="CQ10" s="92" t="s">
        <v>105</v>
      </c>
      <c r="CR10" s="13"/>
      <c r="CS10" s="13"/>
      <c r="CT10" s="13"/>
      <c r="CU10" s="13"/>
    </row>
    <row r="11" spans="1:99" s="49" customFormat="1" ht="14.1" customHeight="1">
      <c r="A11" s="93" t="s">
        <v>106</v>
      </c>
      <c r="B11" s="49">
        <f>AVERAGE(B7:B10)</f>
        <v>96.75</v>
      </c>
      <c r="E11" s="50">
        <f>AVERAGE(E7:E10)</f>
        <v>489.11</v>
      </c>
      <c r="G11" s="50">
        <f>AVERAGE(G7:G10)</f>
        <v>3493.468175</v>
      </c>
      <c r="H11" s="50">
        <f>AVERAGE(H7:H10)</f>
        <v>3610.6118783849815</v>
      </c>
      <c r="J11" s="94">
        <f>AVERAGE(J7:J10)</f>
        <v>3.2026613435747029</v>
      </c>
      <c r="K11" s="50" t="s">
        <v>39</v>
      </c>
      <c r="L11" s="50">
        <f>AVERAGE(L7:L10)</f>
        <v>5.5133009178129537</v>
      </c>
      <c r="M11" s="50"/>
      <c r="N11" s="94">
        <f>AVERAGE(N7:N10)</f>
        <v>3.2026613435747029</v>
      </c>
      <c r="O11" s="50">
        <f>AVERAGE(O7:O10)</f>
        <v>5.5133009178129537</v>
      </c>
      <c r="P11" s="95"/>
      <c r="Q11" s="95"/>
      <c r="R11" s="95"/>
      <c r="S11" s="6"/>
      <c r="T11" s="13">
        <v>0</v>
      </c>
      <c r="U11" s="14">
        <v>549.99</v>
      </c>
      <c r="V11" s="15"/>
      <c r="W11" s="15"/>
      <c r="X11" s="96">
        <f>AVERAGE(X7:X10)</f>
        <v>0.59499999999999997</v>
      </c>
      <c r="Y11" s="70" t="s">
        <v>107</v>
      </c>
      <c r="Z11" s="96">
        <f>AVERAGE(Z7:Z10)</f>
        <v>16.672249999999998</v>
      </c>
      <c r="AA11" s="30"/>
      <c r="AB11" s="72">
        <f>J11</f>
        <v>3.2026613435747029</v>
      </c>
      <c r="AC11" s="73">
        <f>AB11/($D$4/$D$2)</f>
        <v>5.5133009178129537</v>
      </c>
      <c r="AD11" s="73">
        <f>AB11/Z11</f>
        <v>0.19209532867937459</v>
      </c>
      <c r="AE11" s="73">
        <f>AC11/Z11</f>
        <v>0.33068727483170862</v>
      </c>
      <c r="AF11" s="72">
        <f>N20</f>
        <v>1.8660893757113355</v>
      </c>
      <c r="AG11" s="72">
        <f>AF11/($D$4/$D$2)</f>
        <v>3.2124259058707842</v>
      </c>
      <c r="AH11" s="72">
        <f>AF11/Z18</f>
        <v>3.7557800734039422E-2</v>
      </c>
      <c r="AI11" s="72">
        <f>AG11/Z18</f>
        <v>6.4654808936774388E-2</v>
      </c>
      <c r="AJ11" s="73">
        <f>((AB11-AF11)/AB11)*100</f>
        <v>41.733165779293131</v>
      </c>
      <c r="AK11" s="73">
        <f>((AC11-AG11)/AC11)*100</f>
        <v>41.733165779293124</v>
      </c>
      <c r="AL11" s="73">
        <f>((AD11-AH11)/AD11)*100</f>
        <v>80.448352912981562</v>
      </c>
      <c r="AM11" s="73">
        <f>((AE11-AI11)/AE11)*100</f>
        <v>80.448352912981562</v>
      </c>
      <c r="AN11" s="72">
        <f>N29</f>
        <v>2.9453558673986633</v>
      </c>
      <c r="AO11" s="72">
        <f>AN11/($D$4/$D$2)</f>
        <v>5.0703560148791134</v>
      </c>
      <c r="AP11" s="72">
        <f>AN11/Z25</f>
        <v>1.1534673729180033E-2</v>
      </c>
      <c r="AQ11" s="72">
        <f>AO11/Z25</f>
        <v>1.9856650590093179E-2</v>
      </c>
      <c r="AR11" s="73">
        <f>((AB11-AN11)/AB11)*100</f>
        <v>8.0341143996462616</v>
      </c>
      <c r="AS11" s="73">
        <f>((AC11-AO11)/AC11)*100</f>
        <v>8.0341143996462687</v>
      </c>
      <c r="AT11" s="73">
        <f>((AD11-AP11)/AD11)*100</f>
        <v>93.995338768267231</v>
      </c>
      <c r="AU11" s="73">
        <f>((AE11-AQ11)/AE11)*100</f>
        <v>93.995338768267246</v>
      </c>
      <c r="AV11" s="72">
        <f>J11</f>
        <v>3.2026613435747029</v>
      </c>
      <c r="AW11" s="72">
        <f>AV11/($D$4/$D$2)</f>
        <v>5.5133009178129537</v>
      </c>
      <c r="AX11" s="95">
        <f>M20</f>
        <v>1.6056922334780512</v>
      </c>
      <c r="AY11" s="95">
        <f>AX11/($D$4/$D$2)</f>
        <v>2.7641587776116925</v>
      </c>
      <c r="AZ11" s="95">
        <f>AX11/Z11</f>
        <v>9.6309270403098043E-2</v>
      </c>
      <c r="BA11" s="73">
        <f>AY11/Z11</f>
        <v>0.16579398567150161</v>
      </c>
      <c r="BB11" s="72">
        <f>P21</f>
        <v>2.1690255668113845</v>
      </c>
      <c r="BC11" s="73">
        <f>BB11/($D$4/$D$2)</f>
        <v>3.7339229363893041</v>
      </c>
      <c r="BD11" s="73">
        <f>BB11/Z18</f>
        <v>4.3654838340358507E-2</v>
      </c>
      <c r="BE11" s="73">
        <f>BC11/Z18</f>
        <v>7.515070576279953E-2</v>
      </c>
      <c r="BF11" s="72">
        <f>K20</f>
        <v>3.3687425353833085</v>
      </c>
      <c r="BG11" s="73">
        <f>BF11/($D$4/$D$2)</f>
        <v>5.7992055105876084</v>
      </c>
      <c r="BH11" s="73">
        <f>BF11/Z18</f>
        <v>6.7800911636389252E-2</v>
      </c>
      <c r="BI11" s="73">
        <f>BG11/Z18</f>
        <v>0.11671756338003231</v>
      </c>
      <c r="BJ11" s="72">
        <f>J21</f>
        <v>4.2340296156571231</v>
      </c>
      <c r="BK11" s="73">
        <f>BJ11/($D$4/$D$2)</f>
        <v>7.2887754469832382</v>
      </c>
      <c r="BL11" s="73">
        <f>BJ11/Z18</f>
        <v>8.521609022411078E-2</v>
      </c>
      <c r="BM11" s="73">
        <f>BK11/Z18</f>
        <v>0.14669735511923404</v>
      </c>
      <c r="BN11" s="95">
        <f>M29</f>
        <v>5.7014954172696575</v>
      </c>
      <c r="BO11" s="95">
        <f>BN11/($D$4/$D$2)</f>
        <v>9.8149809001826931</v>
      </c>
      <c r="BP11" s="95">
        <f>BN11/Z25</f>
        <v>2.232833394923656E-2</v>
      </c>
      <c r="BQ11" s="73">
        <f>BO11/Z25</f>
        <v>3.8437665069562685E-2</v>
      </c>
      <c r="BR11" s="72">
        <f>P30</f>
        <v>5.181495417269657</v>
      </c>
      <c r="BS11" s="73">
        <f>BR11/($D$4/$D$2)</f>
        <v>8.9198139843879751</v>
      </c>
      <c r="BT11" s="73">
        <f>BR11/Z25</f>
        <v>2.0291897399899967E-2</v>
      </c>
      <c r="BU11" s="73">
        <f>BS11/Z25</f>
        <v>3.4931990790560231E-2</v>
      </c>
      <c r="BV11" s="72">
        <f>K29</f>
        <v>8.8271696638289576</v>
      </c>
      <c r="BW11" s="73">
        <f>BV11/($D$4/$D$2)</f>
        <v>15.195750467627827</v>
      </c>
      <c r="BX11" s="73">
        <f>BV11/Z25</f>
        <v>3.4569174866570157E-2</v>
      </c>
      <c r="BY11" s="73">
        <f>BW11/Z25</f>
        <v>5.9509964705530591E-2</v>
      </c>
      <c r="BZ11" s="72">
        <f>J30</f>
        <v>7.8894818063612391</v>
      </c>
      <c r="CA11" s="73">
        <f>BZ11/($D$4/$D$2)</f>
        <v>13.581544415036413</v>
      </c>
      <c r="CB11" s="73">
        <f>BZ11/Z25</f>
        <v>3.0896979049615577E-2</v>
      </c>
      <c r="CC11" s="73">
        <f>CA11/Z25</f>
        <v>5.3188372006189248E-2</v>
      </c>
      <c r="CD11" s="13"/>
      <c r="CE11" s="97">
        <f>B11</f>
        <v>96.75</v>
      </c>
      <c r="CF11" s="13">
        <f>Z11</f>
        <v>16.672249999999998</v>
      </c>
      <c r="CG11" s="40">
        <f>((CE11/18)*CF11)/22.5</f>
        <v>3.9828152777777772</v>
      </c>
      <c r="CH11" s="40"/>
      <c r="CI11" s="40">
        <f>X28</f>
        <v>0</v>
      </c>
      <c r="CJ11" s="40">
        <f>X29</f>
        <v>0</v>
      </c>
      <c r="CK11" s="40">
        <f>X30</f>
        <v>0</v>
      </c>
      <c r="CL11" s="40">
        <f>X31</f>
        <v>0</v>
      </c>
      <c r="CM11" s="40">
        <f>X32</f>
        <v>0</v>
      </c>
      <c r="CN11" s="40">
        <f>X33</f>
        <v>0</v>
      </c>
      <c r="CO11" s="13">
        <f>X11</f>
        <v>0.59499999999999997</v>
      </c>
      <c r="CP11" s="13">
        <f>X18</f>
        <v>9.7000000000000003E-2</v>
      </c>
      <c r="CQ11" s="13">
        <f>X25</f>
        <v>4.5999999999999999E-2</v>
      </c>
      <c r="CR11" s="13"/>
      <c r="CS11" s="13"/>
      <c r="CT11" s="13"/>
      <c r="CU11" s="13"/>
    </row>
    <row r="12" spans="1:99" ht="14.1" customHeight="1" thickBot="1">
      <c r="B12" s="98"/>
      <c r="C12" s="65"/>
      <c r="D12" s="99"/>
      <c r="E12" s="13"/>
      <c r="F12" s="13"/>
      <c r="G12" s="13"/>
      <c r="H12" s="13"/>
      <c r="I12" s="13"/>
      <c r="J12" s="6" t="s">
        <v>108</v>
      </c>
      <c r="K12" s="13"/>
      <c r="L12" s="13"/>
      <c r="M12" s="12" t="s">
        <v>39</v>
      </c>
      <c r="N12" s="13"/>
      <c r="O12" s="13"/>
      <c r="P12" s="13"/>
      <c r="Q12" s="30"/>
      <c r="R12" s="30"/>
      <c r="U12" s="14">
        <v>547.79</v>
      </c>
      <c r="V12" s="15"/>
      <c r="W12" s="15"/>
      <c r="Y12" s="70"/>
      <c r="Z12" s="96"/>
      <c r="AA12" s="30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30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40"/>
      <c r="CG12" s="40"/>
      <c r="CH12" s="40"/>
      <c r="CI12" s="40"/>
      <c r="CJ12" s="40"/>
      <c r="CK12" s="40"/>
      <c r="CL12" s="40"/>
      <c r="CM12" s="40"/>
      <c r="CN12" s="40"/>
    </row>
    <row r="13" spans="1:99" ht="14.1" customHeight="1" thickBot="1">
      <c r="B13" s="98"/>
      <c r="C13" s="65"/>
      <c r="D13" s="99"/>
      <c r="E13" s="13"/>
      <c r="F13" s="13"/>
      <c r="G13" s="13"/>
      <c r="H13" s="13"/>
      <c r="I13" s="13"/>
      <c r="J13" s="6"/>
      <c r="K13" s="13"/>
      <c r="L13" s="13"/>
      <c r="M13" s="100" t="s">
        <v>32</v>
      </c>
      <c r="N13" s="101"/>
      <c r="O13" s="101"/>
      <c r="P13" s="101"/>
      <c r="Q13" s="30"/>
      <c r="R13" s="102" t="s">
        <v>25</v>
      </c>
      <c r="S13" s="103" t="s">
        <v>109</v>
      </c>
      <c r="T13" s="13">
        <v>30</v>
      </c>
      <c r="U13" s="196">
        <v>548.89</v>
      </c>
      <c r="V13" s="15"/>
      <c r="W13" s="15"/>
      <c r="X13" s="69">
        <v>0.125</v>
      </c>
      <c r="Y13" s="30">
        <v>90</v>
      </c>
      <c r="Z13" s="71">
        <v>56.478999999999999</v>
      </c>
      <c r="AA13" s="40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19"/>
      <c r="AY13" s="74"/>
      <c r="AZ13" s="74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40"/>
      <c r="CG13" s="40"/>
      <c r="CH13" s="40"/>
      <c r="CI13" s="40"/>
      <c r="CJ13" s="40"/>
      <c r="CK13" s="40"/>
      <c r="CL13" s="40"/>
      <c r="CM13" s="40"/>
      <c r="CN13" s="40"/>
    </row>
    <row r="14" spans="1:99" ht="14.1" customHeight="1">
      <c r="A14" s="12">
        <v>90</v>
      </c>
      <c r="B14" s="75">
        <v>108</v>
      </c>
      <c r="C14" s="65"/>
      <c r="D14" s="104">
        <f>AVERAGE(U17:U18)</f>
        <v>542.71</v>
      </c>
      <c r="E14" s="78">
        <f>D14-$E$5</f>
        <v>508.71000000000004</v>
      </c>
      <c r="F14" s="78"/>
      <c r="G14" s="78">
        <f t="shared" ref="G14:G27" si="0">($E14*7.1425)</f>
        <v>3633.4611750000004</v>
      </c>
      <c r="H14" s="78">
        <f t="shared" ref="H14:H27" si="1">($G14/($B14*0.01))</f>
        <v>3364.3159027777779</v>
      </c>
      <c r="I14" s="33">
        <f>$C$15*A14+$C$16</f>
        <v>3483.8860010714284</v>
      </c>
      <c r="J14" s="105" t="s">
        <v>110</v>
      </c>
      <c r="K14" s="106" t="s">
        <v>111</v>
      </c>
      <c r="L14" s="13"/>
      <c r="M14" s="107">
        <f>(((S14/60)*$J$1)/$D$2)</f>
        <v>2.017848528702364</v>
      </c>
      <c r="N14" s="101"/>
      <c r="O14" s="101"/>
      <c r="P14" s="101"/>
      <c r="Q14" s="30"/>
      <c r="R14" s="108">
        <v>90</v>
      </c>
      <c r="S14" s="109">
        <v>47</v>
      </c>
      <c r="U14" s="196">
        <v>600.46500000000003</v>
      </c>
      <c r="V14" s="15"/>
      <c r="W14" s="110"/>
      <c r="X14" s="69">
        <v>0.10199999999999999</v>
      </c>
      <c r="Y14" s="30">
        <v>100</v>
      </c>
      <c r="Z14" s="71">
        <v>52.537999999999997</v>
      </c>
      <c r="AA14" s="40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19"/>
      <c r="AY14" s="74"/>
      <c r="AZ14" s="74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40"/>
      <c r="CG14" s="40"/>
      <c r="CH14" s="40"/>
      <c r="CI14" s="40"/>
      <c r="CJ14" s="40"/>
      <c r="CK14" s="40"/>
      <c r="CL14" s="40"/>
      <c r="CM14" s="40"/>
      <c r="CN14" s="40"/>
    </row>
    <row r="15" spans="1:99" s="115" customFormat="1" ht="14.1" customHeight="1">
      <c r="A15" s="12">
        <v>100</v>
      </c>
      <c r="B15" s="75">
        <v>103</v>
      </c>
      <c r="C15" s="65">
        <f>SLOPE(G15:G18,A15:A18)</f>
        <v>-4.5177332857142884</v>
      </c>
      <c r="D15" s="104">
        <f>AVERAGE(U19:U20)</f>
        <v>512.375</v>
      </c>
      <c r="E15" s="66">
        <f>D15-$E$5</f>
        <v>478.375</v>
      </c>
      <c r="F15" s="111">
        <v>180</v>
      </c>
      <c r="G15" s="112">
        <f t="shared" si="0"/>
        <v>3416.7934375</v>
      </c>
      <c r="H15" s="78">
        <f t="shared" si="1"/>
        <v>3317.2751820388348</v>
      </c>
      <c r="I15" s="33">
        <f>$C$15*A15+$C$16</f>
        <v>3438.7086682142854</v>
      </c>
      <c r="J15" s="113">
        <f>((($N$2-(130*$D$2*(((B15+B14)*0.01)/2))*((I15-I14)/(A15-A14))))/((I15+I14)/2))/$D$2</f>
        <v>3.5174781842009208</v>
      </c>
      <c r="K15" s="114">
        <f>$N$2/H15/$D$2</f>
        <v>3.4834103622362824</v>
      </c>
      <c r="L15" s="114">
        <f>J15/($D$4/$D$2)</f>
        <v>6.055250187550663</v>
      </c>
      <c r="M15" s="107">
        <f>(((S15/60)*$J$1)/$D$2)</f>
        <v>1.5026531596719732</v>
      </c>
      <c r="N15" s="19">
        <f>K15-M15</f>
        <v>1.9807572025643092</v>
      </c>
      <c r="O15" s="74">
        <f>N15/($D$4/$D$2)</f>
        <v>3.4098236845339751</v>
      </c>
      <c r="P15" s="74"/>
      <c r="Q15" s="30"/>
      <c r="R15" s="108">
        <v>100</v>
      </c>
      <c r="S15" s="109">
        <v>35</v>
      </c>
      <c r="T15" s="13">
        <v>60</v>
      </c>
      <c r="U15" s="14">
        <v>590.71</v>
      </c>
      <c r="V15" s="15"/>
      <c r="W15" s="110"/>
      <c r="X15" s="69">
        <v>0.09</v>
      </c>
      <c r="Y15" s="30">
        <v>110</v>
      </c>
      <c r="Z15" s="71">
        <v>50.392000000000003</v>
      </c>
      <c r="AA15" s="40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19"/>
      <c r="AY15" s="74"/>
      <c r="AZ15" s="74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40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40"/>
      <c r="CH15" s="40"/>
      <c r="CI15" s="40"/>
      <c r="CJ15" s="40"/>
      <c r="CK15" s="40"/>
      <c r="CL15" s="40"/>
      <c r="CM15" s="40"/>
      <c r="CN15" s="40"/>
      <c r="CO15" s="13"/>
      <c r="CP15" s="13"/>
      <c r="CQ15" s="13"/>
      <c r="CR15" s="13"/>
      <c r="CS15" s="13"/>
      <c r="CT15" s="13"/>
      <c r="CU15" s="13"/>
    </row>
    <row r="16" spans="1:99" ht="14.1" customHeight="1">
      <c r="A16" s="12">
        <v>110</v>
      </c>
      <c r="B16" s="75">
        <v>99</v>
      </c>
      <c r="C16" s="65">
        <f>INTERCEPT(G15:G18,A15:A18)</f>
        <v>3890.4819967857143</v>
      </c>
      <c r="D16" s="104">
        <f>AVERAGE(U21:U22)</f>
        <v>520.67499999999995</v>
      </c>
      <c r="E16" s="66">
        <f>D16-$E$5</f>
        <v>486.67499999999995</v>
      </c>
      <c r="F16" s="116">
        <v>210</v>
      </c>
      <c r="G16" s="66">
        <f t="shared" si="0"/>
        <v>3476.0761874999998</v>
      </c>
      <c r="H16" s="78">
        <f t="shared" si="1"/>
        <v>3511.1880681818179</v>
      </c>
      <c r="I16" s="33">
        <f>$C$15*A16+$C$16</f>
        <v>3393.5313353571428</v>
      </c>
      <c r="J16" s="113">
        <f>((($N$2-(130*$D$2*(((B16+B15)*0.01)/2))*((I16-I15)/(A16-A15))))/((I16+I15)/2))/$D$2</f>
        <v>3.5562594749502789</v>
      </c>
      <c r="K16" s="67">
        <f>$N$2/H16/$D$2</f>
        <v>3.2910315594365254</v>
      </c>
      <c r="L16" s="67">
        <f>J16/($D$4/$D$2)</f>
        <v>6.1220112037634351</v>
      </c>
      <c r="M16" s="107">
        <f>(((S16/60)*$J$1)/$D$2)</f>
        <v>1.5026531596719732</v>
      </c>
      <c r="N16" s="19">
        <f>K16-M16</f>
        <v>1.7883783997645522</v>
      </c>
      <c r="O16" s="67">
        <f>N16/($D$4/$D$2)</f>
        <v>3.0786484161367849</v>
      </c>
      <c r="P16" s="67"/>
      <c r="Q16" s="30"/>
      <c r="R16" s="108">
        <v>110</v>
      </c>
      <c r="S16" s="109">
        <v>35</v>
      </c>
      <c r="U16" s="14">
        <v>610.22</v>
      </c>
      <c r="V16" s="15"/>
      <c r="W16" s="110"/>
      <c r="X16" s="69">
        <v>7.8E-2</v>
      </c>
      <c r="Y16" s="30">
        <v>115</v>
      </c>
      <c r="Z16" s="71">
        <v>45.743000000000002</v>
      </c>
      <c r="AA16" s="40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19"/>
      <c r="AY16" s="74"/>
      <c r="AZ16" s="74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40"/>
    </row>
    <row r="17" spans="1:67" ht="14.1" customHeight="1">
      <c r="A17" s="12">
        <v>115</v>
      </c>
      <c r="B17" s="75">
        <v>98</v>
      </c>
      <c r="C17" s="65"/>
      <c r="D17" s="104">
        <f>AVERAGE(U23:U24)</f>
        <v>495.11500000000001</v>
      </c>
      <c r="E17" s="66">
        <f>D17-$E$5</f>
        <v>461.11500000000001</v>
      </c>
      <c r="F17" s="116">
        <v>220</v>
      </c>
      <c r="G17" s="66">
        <f t="shared" si="0"/>
        <v>3293.5138875000002</v>
      </c>
      <c r="H17" s="78">
        <f t="shared" si="1"/>
        <v>3360.7284566326534</v>
      </c>
      <c r="I17" s="33">
        <f>$C$15*A17+$C$16</f>
        <v>3370.942668928571</v>
      </c>
      <c r="J17" s="113">
        <f>((($N$2-(130*$D$2*(((B17+B16)*0.01)/2))*((I17-I16)/(A17-A16))))/((I17+I16)/2))/$D$2</f>
        <v>3.5875447176089246</v>
      </c>
      <c r="K17" s="67">
        <f>$N$2/H17/$D$2</f>
        <v>3.4383708450761041</v>
      </c>
      <c r="L17" s="67">
        <f>J17/($D$4/$D$2)</f>
        <v>6.1758679618031058</v>
      </c>
      <c r="M17" s="107">
        <f>(((S17/60)*$J$1)/$D$2)</f>
        <v>1.5026531596719732</v>
      </c>
      <c r="N17" s="19">
        <f>K17-M17</f>
        <v>1.9357176854041309</v>
      </c>
      <c r="O17" s="67">
        <f>N17/($D$4/$D$2)</f>
        <v>3.3322892890240521</v>
      </c>
      <c r="P17" s="67"/>
      <c r="Q17" s="30"/>
      <c r="R17" s="108">
        <v>115</v>
      </c>
      <c r="S17" s="117">
        <v>35</v>
      </c>
      <c r="T17" s="40">
        <v>90</v>
      </c>
      <c r="U17" s="14">
        <v>555.19000000000005</v>
      </c>
      <c r="V17" s="15"/>
      <c r="W17" s="110"/>
      <c r="X17" s="69">
        <v>0.09</v>
      </c>
      <c r="Y17" s="30">
        <v>120</v>
      </c>
      <c r="Z17" s="71">
        <v>43.277000000000001</v>
      </c>
      <c r="AA17" s="40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19"/>
      <c r="AY17" s="74"/>
      <c r="AZ17" s="74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40"/>
    </row>
    <row r="18" spans="1:67" ht="14.1" customHeight="1">
      <c r="A18" s="12">
        <v>120</v>
      </c>
      <c r="B18" s="118">
        <v>95</v>
      </c>
      <c r="C18" s="65"/>
      <c r="D18" s="104">
        <f>AVERAGE(U25:U26)</f>
        <v>505.14499999999998</v>
      </c>
      <c r="E18" s="66">
        <f>D18-$E$5</f>
        <v>471.14499999999998</v>
      </c>
      <c r="F18" s="116">
        <v>225</v>
      </c>
      <c r="G18" s="66">
        <f t="shared" si="0"/>
        <v>3365.1531624999998</v>
      </c>
      <c r="H18" s="78">
        <f t="shared" si="1"/>
        <v>3542.2664868421048</v>
      </c>
      <c r="I18" s="33">
        <f>$C$15*A18+$C$16</f>
        <v>3348.3540024999998</v>
      </c>
      <c r="J18" s="113">
        <f>((($N$2-(130*$D$2*(((B18+B17)*0.01)/2))*((I18-I17)/(A18-A17))))/((I18+I17)/2))/$D$2</f>
        <v>3.6081694192017033</v>
      </c>
      <c r="K18" s="67">
        <f>$N$2/H18/$D$2</f>
        <v>3.2621573747843233</v>
      </c>
      <c r="L18" s="67">
        <f>J18/($D$4/$D$2)</f>
        <v>6.2113728666377099</v>
      </c>
      <c r="M18" s="107">
        <f>(((S18/60)*$J$1)/$D$2)</f>
        <v>1.5026531596719732</v>
      </c>
      <c r="N18" s="19">
        <f>K18-M18</f>
        <v>1.7595042151123501</v>
      </c>
      <c r="O18" s="67">
        <f>N18/($D$4/$D$2)</f>
        <v>3.0289422337883254</v>
      </c>
      <c r="P18" s="67"/>
      <c r="Q18" s="30"/>
      <c r="R18" s="108">
        <v>120</v>
      </c>
      <c r="S18" s="117">
        <v>35</v>
      </c>
      <c r="T18" s="30"/>
      <c r="U18" s="14">
        <v>530.23</v>
      </c>
      <c r="V18" s="15"/>
      <c r="W18" s="110"/>
      <c r="X18" s="96">
        <f>AVERAGE(X13:X17)</f>
        <v>9.7000000000000003E-2</v>
      </c>
      <c r="Y18" s="30" t="s">
        <v>107</v>
      </c>
      <c r="Z18" s="96">
        <f>AVERAGE(Z13:Z17)</f>
        <v>49.685799999999993</v>
      </c>
      <c r="AA18" s="30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5"/>
      <c r="AY18" s="95"/>
      <c r="AZ18" s="95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2"/>
      <c r="BO18" s="40"/>
    </row>
    <row r="19" spans="1:67" ht="14.1" customHeight="1" thickBot="1">
      <c r="A19" s="63"/>
      <c r="B19" s="98"/>
      <c r="C19" s="65"/>
      <c r="D19" s="99"/>
      <c r="E19" s="66"/>
      <c r="F19" s="63"/>
      <c r="G19" s="66"/>
      <c r="H19" s="66"/>
      <c r="I19" s="33"/>
      <c r="J19" s="113"/>
      <c r="K19" s="67"/>
      <c r="L19" s="67"/>
      <c r="M19" s="107"/>
      <c r="O19" s="67"/>
      <c r="P19" s="67"/>
      <c r="Q19" s="30"/>
      <c r="R19" s="108"/>
      <c r="S19" s="117"/>
      <c r="T19" s="41">
        <v>100</v>
      </c>
      <c r="U19" s="14">
        <v>493.92</v>
      </c>
      <c r="V19" s="15"/>
      <c r="W19" s="110"/>
      <c r="Y19" s="30"/>
      <c r="Z19" s="96"/>
      <c r="AA19" s="30"/>
      <c r="AB19" s="96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30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40"/>
    </row>
    <row r="20" spans="1:67" ht="14.1" customHeight="1" thickBot="1">
      <c r="A20" s="119" t="s">
        <v>112</v>
      </c>
      <c r="B20" s="120">
        <f>AVERAGE(B14:B19)</f>
        <v>100.6</v>
      </c>
      <c r="C20" s="121"/>
      <c r="D20" s="122">
        <f>AVERAGE(D14:D18)</f>
        <v>515.20399999999995</v>
      </c>
      <c r="E20" s="122">
        <f>AVERAGE(E14:E18)</f>
        <v>481.20400000000001</v>
      </c>
      <c r="F20" s="122"/>
      <c r="G20" s="122">
        <f>AVERAGE(G14:G18)</f>
        <v>3436.9995699999999</v>
      </c>
      <c r="H20" s="122">
        <f>AVERAGE(H14:H18)</f>
        <v>3419.1548192946379</v>
      </c>
      <c r="I20" s="122"/>
      <c r="J20" s="122">
        <f t="shared" ref="J20:O20" si="2">AVERAGE(J14:J18)</f>
        <v>3.5673629489904566</v>
      </c>
      <c r="K20" s="123">
        <f t="shared" si="2"/>
        <v>3.3687425353833085</v>
      </c>
      <c r="L20" s="122">
        <f t="shared" si="2"/>
        <v>6.1411255549387285</v>
      </c>
      <c r="M20" s="122">
        <f t="shared" si="2"/>
        <v>1.6056922334780512</v>
      </c>
      <c r="N20" s="123">
        <f t="shared" si="2"/>
        <v>1.8660893757113355</v>
      </c>
      <c r="O20" s="122">
        <f t="shared" si="2"/>
        <v>3.2124259058707842</v>
      </c>
      <c r="P20" s="124"/>
      <c r="Q20" s="30"/>
      <c r="R20" s="108"/>
      <c r="S20" s="117"/>
      <c r="T20" s="41"/>
      <c r="U20" s="14">
        <v>530.83000000000004</v>
      </c>
      <c r="V20" s="15"/>
      <c r="W20" s="110"/>
      <c r="X20" s="69">
        <v>0.04</v>
      </c>
      <c r="Y20" s="70">
        <v>210</v>
      </c>
      <c r="Z20" s="71">
        <v>261.89999999999998</v>
      </c>
      <c r="AA20" s="40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4"/>
      <c r="AY20" s="74"/>
      <c r="AZ20" s="74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40"/>
    </row>
    <row r="21" spans="1:67" ht="14.1" customHeight="1" thickBot="1">
      <c r="A21" s="70"/>
      <c r="B21" s="118"/>
      <c r="C21" s="36"/>
      <c r="D21" s="99"/>
      <c r="E21" s="33"/>
      <c r="F21" s="125" t="s">
        <v>113</v>
      </c>
      <c r="G21" s="33"/>
      <c r="H21" s="33"/>
      <c r="I21" s="126" t="s">
        <v>114</v>
      </c>
      <c r="J21" s="127">
        <f>J20-((B18-B15)*0.25*$D$2*10)/(30*$D$2)</f>
        <v>4.2340296156571231</v>
      </c>
      <c r="K21" s="74"/>
      <c r="L21" s="128" t="s">
        <v>33</v>
      </c>
      <c r="M21" s="129">
        <f>J21-M20</f>
        <v>2.6283373821790716</v>
      </c>
      <c r="N21" s="19"/>
      <c r="O21" s="74"/>
      <c r="P21" s="130">
        <f>$M$20-(((B18-B14)*1.3)/(A18-A14))</f>
        <v>2.1690255668113845</v>
      </c>
      <c r="Q21" s="30"/>
      <c r="R21" s="131"/>
      <c r="S21" s="117"/>
      <c r="T21" s="41">
        <v>110</v>
      </c>
      <c r="U21" s="14">
        <v>512.70000000000005</v>
      </c>
      <c r="V21" s="15"/>
      <c r="W21" s="110"/>
      <c r="X21" s="69">
        <v>0.05</v>
      </c>
      <c r="Y21" s="70">
        <v>220</v>
      </c>
      <c r="Z21" s="71">
        <v>260.13</v>
      </c>
      <c r="AA21" s="40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4"/>
      <c r="AY21" s="74"/>
      <c r="AZ21" s="74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40"/>
    </row>
    <row r="22" spans="1:67" ht="14.1" customHeight="1" thickBot="1">
      <c r="A22" s="63"/>
      <c r="B22" s="98"/>
      <c r="C22" s="65"/>
      <c r="D22" s="99"/>
      <c r="E22" s="66"/>
      <c r="F22" s="63"/>
      <c r="G22" s="66"/>
      <c r="H22" s="66"/>
      <c r="I22" s="33"/>
      <c r="J22" s="132"/>
      <c r="K22" s="67"/>
      <c r="L22" s="133"/>
      <c r="M22" s="134"/>
      <c r="N22" s="101"/>
      <c r="O22" s="133"/>
      <c r="P22" s="133"/>
      <c r="Q22" s="30"/>
      <c r="R22" s="102" t="s">
        <v>25</v>
      </c>
      <c r="S22" s="103" t="s">
        <v>109</v>
      </c>
      <c r="T22" s="30"/>
      <c r="U22" s="14">
        <v>528.65</v>
      </c>
      <c r="V22" s="15"/>
      <c r="W22" s="110"/>
      <c r="X22" s="69">
        <v>4.7E-2</v>
      </c>
      <c r="Y22" s="70">
        <v>230</v>
      </c>
      <c r="Z22" s="71">
        <v>239.5</v>
      </c>
      <c r="AA22" s="40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4"/>
      <c r="AY22" s="74"/>
      <c r="AZ22" s="74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40"/>
    </row>
    <row r="23" spans="1:67" ht="14.1" customHeight="1">
      <c r="A23" s="63">
        <v>210</v>
      </c>
      <c r="B23" s="75">
        <v>89</v>
      </c>
      <c r="C23" s="65"/>
      <c r="D23" s="104">
        <f>AVERAGE(U31:U32)</f>
        <v>200.54</v>
      </c>
      <c r="E23" s="78">
        <f>D23-$E$5</f>
        <v>166.54</v>
      </c>
      <c r="F23" s="78"/>
      <c r="G23" s="78">
        <f t="shared" si="0"/>
        <v>1189.5119499999998</v>
      </c>
      <c r="H23" s="78">
        <f t="shared" si="1"/>
        <v>1336.5302808988763</v>
      </c>
      <c r="I23" s="33">
        <f>$C$24*A23+$C$25</f>
        <v>1238.3646092857146</v>
      </c>
      <c r="J23" s="105" t="s">
        <v>110</v>
      </c>
      <c r="K23" s="106" t="s">
        <v>111</v>
      </c>
      <c r="L23" s="67"/>
      <c r="M23" s="19">
        <f>(((S23/60)*$J$1)/$D$2)</f>
        <v>4.9802219006271109</v>
      </c>
      <c r="N23" s="101"/>
      <c r="O23" s="133"/>
      <c r="P23" s="133"/>
      <c r="Q23" s="30"/>
      <c r="R23" s="131">
        <v>210</v>
      </c>
      <c r="S23" s="117">
        <v>116</v>
      </c>
      <c r="T23" s="13">
        <v>115</v>
      </c>
      <c r="U23" s="14">
        <v>515.9</v>
      </c>
      <c r="V23" s="15"/>
      <c r="W23" s="110"/>
      <c r="X23" s="69">
        <v>4.7E-2</v>
      </c>
      <c r="Y23" s="70">
        <v>235</v>
      </c>
      <c r="Z23" s="71">
        <v>253.73</v>
      </c>
      <c r="AA23" s="40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4"/>
      <c r="AY23" s="74"/>
      <c r="AZ23" s="74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40"/>
    </row>
    <row r="24" spans="1:67" ht="14.1" customHeight="1">
      <c r="A24" s="63">
        <v>220</v>
      </c>
      <c r="B24" s="75">
        <v>92</v>
      </c>
      <c r="C24" s="65">
        <f>SLOPE(G24:G27,A24:A27)</f>
        <v>1.3966648571428506</v>
      </c>
      <c r="D24" s="104">
        <f>AVERAGE(U33:U34)</f>
        <v>214.54500000000002</v>
      </c>
      <c r="E24" s="66">
        <f>D24-$E$5</f>
        <v>180.54500000000002</v>
      </c>
      <c r="F24" s="111">
        <v>180</v>
      </c>
      <c r="G24" s="112">
        <f t="shared" si="0"/>
        <v>1289.5426625000002</v>
      </c>
      <c r="H24" s="112">
        <f t="shared" si="1"/>
        <v>1401.6768070652176</v>
      </c>
      <c r="I24" s="33">
        <f>$C$24*A24+$C$25</f>
        <v>1252.3312578571431</v>
      </c>
      <c r="J24" s="113">
        <f>((($N$2-(130*$D$2*(((B24+B23)*0.01)/2))*((I24-I23)/(A24-A23))))/((I24+I23)/2))/$D$2</f>
        <v>9.1469322074457189</v>
      </c>
      <c r="K24" s="114">
        <f>$N$2/H24/$D$2</f>
        <v>8.2440050982206738</v>
      </c>
      <c r="L24" s="114">
        <f>J24/($D$4/$D$2)</f>
        <v>15.746213640620308</v>
      </c>
      <c r="M24" s="107">
        <f>(((S24/60)*$J$1)/$D$2)</f>
        <v>5.4954172696575014</v>
      </c>
      <c r="N24" s="19">
        <f>K24-M24</f>
        <v>2.7485878285631724</v>
      </c>
      <c r="O24" s="74">
        <f>N24/($D$4/$D$2)</f>
        <v>4.7316247870880721</v>
      </c>
      <c r="P24" s="74"/>
      <c r="Q24" s="30"/>
      <c r="R24" s="131">
        <v>220</v>
      </c>
      <c r="S24" s="117">
        <v>128</v>
      </c>
      <c r="U24" s="14">
        <v>474.33</v>
      </c>
      <c r="V24" s="15"/>
      <c r="W24" s="110"/>
      <c r="X24" s="69"/>
      <c r="Y24" s="70">
        <v>240</v>
      </c>
      <c r="Z24" s="71">
        <v>261.48</v>
      </c>
      <c r="AA24" s="40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4"/>
      <c r="AY24" s="74"/>
      <c r="AZ24" s="74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40"/>
    </row>
    <row r="25" spans="1:67" ht="14.1" customHeight="1">
      <c r="A25" s="63">
        <v>230</v>
      </c>
      <c r="B25" s="75">
        <v>98</v>
      </c>
      <c r="C25" s="65">
        <f>INTERCEPT(G24:G27,A24:A27)</f>
        <v>945.06498928571591</v>
      </c>
      <c r="D25" s="104">
        <f>AVERAGE(U35:U36)</f>
        <v>203.19499999999999</v>
      </c>
      <c r="E25" s="66">
        <f>D25-$E$5</f>
        <v>169.19499999999999</v>
      </c>
      <c r="F25" s="111">
        <v>180</v>
      </c>
      <c r="G25" s="112">
        <f t="shared" si="0"/>
        <v>1208.4752874999999</v>
      </c>
      <c r="H25" s="112">
        <f t="shared" si="1"/>
        <v>1233.1380484693877</v>
      </c>
      <c r="I25" s="33">
        <f>$C$24*A25+$C$25</f>
        <v>1266.2979064285714</v>
      </c>
      <c r="J25" s="113">
        <f>((($N$2-(130*$D$2*(((B25+B24)*0.01)/2))*((I25-I24)/(A25-A24))))/((I25+I24)/2))/$D$2</f>
        <v>9.0389985116164588</v>
      </c>
      <c r="K25" s="114">
        <f>$N$2/H25/$D$2</f>
        <v>9.3707519266365331</v>
      </c>
      <c r="L25" s="114">
        <f>J25/($D$4/$D$2)</f>
        <v>15.560408499070684</v>
      </c>
      <c r="M25" s="107">
        <f>(((S25/60)*$J$1)/$D$2)</f>
        <v>6.0106126386878929</v>
      </c>
      <c r="N25" s="19">
        <f>K25-M25</f>
        <v>3.3601392879486403</v>
      </c>
      <c r="O25" s="114">
        <f>N25/($D$4/$D$2)</f>
        <v>5.7843952366031646</v>
      </c>
      <c r="P25" s="74"/>
      <c r="Q25" s="30"/>
      <c r="R25" s="131">
        <v>230</v>
      </c>
      <c r="S25" s="117">
        <v>140</v>
      </c>
      <c r="T25" s="13">
        <v>120</v>
      </c>
      <c r="U25" s="14">
        <v>524.79999999999995</v>
      </c>
      <c r="V25" s="15"/>
      <c r="W25" s="110"/>
      <c r="X25" s="96">
        <f>AVERAGE(X20:X24)</f>
        <v>4.5999999999999999E-2</v>
      </c>
      <c r="Y25" s="57" t="s">
        <v>107</v>
      </c>
      <c r="Z25" s="96">
        <f>AVERAGE(Z20:Z24)</f>
        <v>255.34800000000001</v>
      </c>
      <c r="AA25" s="30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5"/>
      <c r="AY25" s="95"/>
      <c r="AZ25" s="95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40"/>
    </row>
    <row r="26" spans="1:67" ht="14.1" customHeight="1">
      <c r="A26" s="63">
        <v>235</v>
      </c>
      <c r="B26" s="75">
        <v>96</v>
      </c>
      <c r="C26" s="65"/>
      <c r="D26" s="104">
        <f>AVERAGE(U37:U38)</f>
        <v>207.62</v>
      </c>
      <c r="E26" s="66">
        <f>D26-$E$5</f>
        <v>173.62</v>
      </c>
      <c r="F26" s="111">
        <v>180</v>
      </c>
      <c r="G26" s="112">
        <f t="shared" si="0"/>
        <v>1240.0808500000001</v>
      </c>
      <c r="H26" s="112">
        <f t="shared" si="1"/>
        <v>1291.7508854166667</v>
      </c>
      <c r="I26" s="33">
        <f>$C$24*A26+$C$25</f>
        <v>1273.2812307142858</v>
      </c>
      <c r="J26" s="113">
        <f>((($N$2-(130*$D$2*(((B26+B25)*0.01)/2))*((I26-I25)/(A26-A25))))/((I26+I25)/2))/$D$2</f>
        <v>8.961572520886163</v>
      </c>
      <c r="K26" s="114">
        <f>$N$2/H26/$D$2</f>
        <v>8.9455566657312673</v>
      </c>
      <c r="L26" s="114">
        <f>J26/($D$4/$D$2)</f>
        <v>15.42712160421609</v>
      </c>
      <c r="M26" s="107">
        <f>(((S26/60)*$J$1)/$D$2)</f>
        <v>6.0106126386878929</v>
      </c>
      <c r="N26" s="19">
        <f>K26-M26</f>
        <v>2.9349440270433744</v>
      </c>
      <c r="O26" s="114">
        <f>N26/($D$4/$D$2)</f>
        <v>5.0524322936895159</v>
      </c>
      <c r="P26" s="74"/>
      <c r="Q26" s="30"/>
      <c r="R26" s="131">
        <v>235</v>
      </c>
      <c r="S26" s="117">
        <v>140</v>
      </c>
      <c r="U26" s="14">
        <v>485.49</v>
      </c>
      <c r="V26" s="15"/>
      <c r="W26" s="11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</row>
    <row r="27" spans="1:67" ht="14.1" customHeight="1">
      <c r="A27" s="63">
        <v>240</v>
      </c>
      <c r="B27" s="118">
        <v>101</v>
      </c>
      <c r="C27" s="65"/>
      <c r="D27" s="104">
        <f>AVERAGE(U39:U40)</f>
        <v>220.78</v>
      </c>
      <c r="E27" s="66">
        <f>D27-$E$5</f>
        <v>186.78</v>
      </c>
      <c r="F27" s="111">
        <v>180</v>
      </c>
      <c r="G27" s="112">
        <f t="shared" si="0"/>
        <v>1334.0761500000001</v>
      </c>
      <c r="H27" s="112">
        <f t="shared" si="1"/>
        <v>1320.8674752475249</v>
      </c>
      <c r="I27" s="33">
        <f>$C$24*A27+$C$25</f>
        <v>1280.264555</v>
      </c>
      <c r="J27" s="113">
        <f>((($N$2-(130*$D$2*(((B27+B26)*0.01)/2))*((I27-I26)/(A27-A26))))/((I27+I26)/2))/$D$2</f>
        <v>8.9104239854966174</v>
      </c>
      <c r="K27" s="114">
        <f>$N$2/H27/$D$2</f>
        <v>8.748364964727358</v>
      </c>
      <c r="L27" s="114">
        <f>J27/($D$4/$D$2)</f>
        <v>15.339070687539019</v>
      </c>
      <c r="M27" s="107">
        <f>(((S27/60)*$J$1)/$D$2)</f>
        <v>6.0106126386878929</v>
      </c>
      <c r="N27" s="19">
        <f>K27-M27</f>
        <v>2.7377523260394652</v>
      </c>
      <c r="O27" s="114">
        <f>N27/($D$4/$D$2)</f>
        <v>4.7129717421357009</v>
      </c>
      <c r="P27" s="74"/>
      <c r="Q27" s="30"/>
      <c r="R27" s="131">
        <v>240</v>
      </c>
      <c r="S27" s="117">
        <v>140</v>
      </c>
      <c r="T27" s="13">
        <v>150</v>
      </c>
      <c r="U27" s="14">
        <v>407.54</v>
      </c>
      <c r="V27" s="15"/>
      <c r="W27" s="11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</row>
    <row r="28" spans="1:67" ht="14.1" customHeight="1" thickBot="1">
      <c r="A28" s="63"/>
      <c r="B28" s="118"/>
      <c r="C28" s="65"/>
      <c r="D28" s="99"/>
      <c r="E28" s="66"/>
      <c r="F28" s="135"/>
      <c r="G28" s="112"/>
      <c r="H28" s="112"/>
      <c r="I28" s="33"/>
      <c r="J28" s="113"/>
      <c r="K28" s="114"/>
      <c r="L28" s="114"/>
      <c r="M28" s="107"/>
      <c r="N28" s="107"/>
      <c r="O28" s="114"/>
      <c r="P28" s="74"/>
      <c r="Q28" s="30"/>
      <c r="R28" s="108"/>
      <c r="S28" s="117"/>
      <c r="U28" s="14">
        <v>390.15</v>
      </c>
      <c r="V28" s="15"/>
      <c r="W28" s="110"/>
      <c r="X28" s="69"/>
      <c r="Y28" s="13" t="s">
        <v>115</v>
      </c>
    </row>
    <row r="29" spans="1:67" ht="14.1" customHeight="1" thickBot="1">
      <c r="A29" s="119" t="s">
        <v>112</v>
      </c>
      <c r="B29" s="122">
        <f>AVERAGE(B23:B28)</f>
        <v>95.2</v>
      </c>
      <c r="C29" s="121"/>
      <c r="D29" s="122">
        <f>AVERAGE(D23:D28)</f>
        <v>209.33600000000001</v>
      </c>
      <c r="E29" s="122">
        <f>AVERAGE(E23:E28)</f>
        <v>175.33599999999998</v>
      </c>
      <c r="F29" s="122">
        <f>AVERAGE(F24:F28)</f>
        <v>180</v>
      </c>
      <c r="G29" s="122">
        <f>AVERAGE(G23:G28)</f>
        <v>1252.3373799999999</v>
      </c>
      <c r="H29" s="122">
        <f>AVERAGE(H23:H28)</f>
        <v>1316.7926994195345</v>
      </c>
      <c r="I29" s="122"/>
      <c r="J29" s="122">
        <f t="shared" ref="J29:O29" si="3">AVERAGE(J23:J28)</f>
        <v>9.0144818063612391</v>
      </c>
      <c r="K29" s="123">
        <f t="shared" si="3"/>
        <v>8.8271696638289576</v>
      </c>
      <c r="L29" s="122">
        <f t="shared" si="3"/>
        <v>15.518203607861526</v>
      </c>
      <c r="M29" s="122">
        <f t="shared" si="3"/>
        <v>5.7014954172696575</v>
      </c>
      <c r="N29" s="123">
        <f t="shared" si="3"/>
        <v>2.9453558673986633</v>
      </c>
      <c r="O29" s="122">
        <f t="shared" si="3"/>
        <v>5.0703560148791134</v>
      </c>
      <c r="P29" s="122"/>
      <c r="Q29" s="136"/>
      <c r="R29" s="137"/>
      <c r="S29" s="138"/>
      <c r="T29" s="13">
        <v>180</v>
      </c>
      <c r="U29" s="14">
        <v>267.94</v>
      </c>
      <c r="V29" s="15"/>
      <c r="W29" s="110"/>
      <c r="X29" s="69"/>
      <c r="Y29" s="13" t="s">
        <v>116</v>
      </c>
    </row>
    <row r="30" spans="1:67" ht="14.1" customHeight="1">
      <c r="A30" s="70"/>
      <c r="B30" s="139"/>
      <c r="C30" s="36"/>
      <c r="D30" s="99"/>
      <c r="E30" s="33"/>
      <c r="F30" s="125" t="s">
        <v>117</v>
      </c>
      <c r="G30" s="33"/>
      <c r="H30" s="33"/>
      <c r="I30" s="140" t="s">
        <v>114</v>
      </c>
      <c r="J30" s="141">
        <f>J29-((B27-B24)*0.25*$D$2*10)/(20*$D$2)</f>
        <v>7.8894818063612391</v>
      </c>
      <c r="K30" s="74"/>
      <c r="L30" s="142" t="s">
        <v>33</v>
      </c>
      <c r="M30" s="143">
        <f>J30-M29</f>
        <v>2.1879863890915816</v>
      </c>
      <c r="N30" s="19">
        <f>AVERAGE(J24:J25)-M29</f>
        <v>3.3914699422614314</v>
      </c>
      <c r="O30" s="74"/>
      <c r="P30" s="130">
        <f>$M$29-(((B27-B23)*1.3)/(A27-A23))</f>
        <v>5.181495417269657</v>
      </c>
      <c r="Q30" s="30"/>
      <c r="R30" s="63"/>
      <c r="S30" s="144"/>
      <c r="U30" s="14">
        <v>252.56</v>
      </c>
      <c r="V30" s="15"/>
      <c r="W30" s="110"/>
      <c r="X30" s="69"/>
      <c r="Y30" s="13" t="s">
        <v>118</v>
      </c>
    </row>
    <row r="31" spans="1:67" ht="14.1" customHeight="1">
      <c r="A31" s="145"/>
      <c r="B31" s="139"/>
      <c r="C31" s="146"/>
      <c r="D31" s="147"/>
      <c r="E31" s="148"/>
      <c r="F31" s="145"/>
      <c r="G31" s="148"/>
      <c r="H31" s="148"/>
      <c r="I31" s="148"/>
      <c r="J31" s="149"/>
      <c r="K31" s="150"/>
      <c r="L31" s="133"/>
      <c r="M31" s="134"/>
      <c r="N31" s="101"/>
      <c r="O31" s="150"/>
      <c r="P31" s="150"/>
      <c r="Q31" s="96"/>
      <c r="R31" s="151"/>
      <c r="S31" s="101" t="s">
        <v>32</v>
      </c>
      <c r="T31" s="13">
        <v>210</v>
      </c>
      <c r="U31" s="14">
        <v>203.42</v>
      </c>
      <c r="V31" s="15"/>
      <c r="W31" s="110"/>
      <c r="X31" s="69"/>
      <c r="Y31" s="13" t="s">
        <v>119</v>
      </c>
    </row>
    <row r="32" spans="1:67" ht="14.1" customHeight="1">
      <c r="A32" s="145"/>
      <c r="B32" s="148"/>
      <c r="C32" s="146"/>
      <c r="D32" s="147"/>
      <c r="E32" s="148"/>
      <c r="F32" s="148"/>
      <c r="G32" s="148"/>
      <c r="H32" s="148"/>
      <c r="I32" s="148"/>
      <c r="J32" s="152"/>
      <c r="K32" s="153"/>
      <c r="L32" s="58"/>
      <c r="M32" s="124"/>
      <c r="N32" s="101"/>
      <c r="O32" s="150"/>
      <c r="P32" s="150"/>
      <c r="Q32" s="96"/>
      <c r="R32" s="145"/>
      <c r="S32" s="58"/>
      <c r="U32" s="14">
        <v>197.66</v>
      </c>
      <c r="V32" s="15"/>
      <c r="W32" s="110"/>
      <c r="X32" s="69"/>
      <c r="Y32" s="13" t="s">
        <v>120</v>
      </c>
    </row>
    <row r="33" spans="1:99" ht="14.1" customHeight="1">
      <c r="A33" s="145"/>
      <c r="B33" s="148"/>
      <c r="C33" s="146"/>
      <c r="D33" s="147"/>
      <c r="E33" s="148"/>
      <c r="F33" s="145"/>
      <c r="G33" s="148"/>
      <c r="H33" s="148"/>
      <c r="I33" s="148"/>
      <c r="J33" s="149"/>
      <c r="K33" s="150"/>
      <c r="L33" s="150"/>
      <c r="M33" s="124"/>
      <c r="N33" s="124"/>
      <c r="O33" s="150"/>
      <c r="P33" s="150"/>
      <c r="Q33" s="96"/>
      <c r="R33" s="145"/>
      <c r="S33" s="58"/>
      <c r="T33" s="13">
        <v>220</v>
      </c>
      <c r="U33" s="14">
        <v>216.05</v>
      </c>
      <c r="V33" s="15"/>
      <c r="W33" s="110"/>
      <c r="X33" s="69"/>
      <c r="Y33" s="20" t="s">
        <v>121</v>
      </c>
    </row>
    <row r="34" spans="1:99" ht="14.1" customHeight="1">
      <c r="A34" s="145"/>
      <c r="B34" s="148"/>
      <c r="C34" s="146"/>
      <c r="D34" s="147"/>
      <c r="E34" s="148"/>
      <c r="F34" s="145"/>
      <c r="G34" s="148"/>
      <c r="H34" s="148"/>
      <c r="I34" s="148"/>
      <c r="J34" s="149"/>
      <c r="K34" s="150"/>
      <c r="L34" s="150"/>
      <c r="M34" s="124"/>
      <c r="N34" s="124"/>
      <c r="O34" s="150"/>
      <c r="P34" s="150"/>
      <c r="Q34" s="96"/>
      <c r="R34" s="145"/>
      <c r="S34" s="58"/>
      <c r="U34" s="14">
        <v>213.04</v>
      </c>
      <c r="V34" s="15"/>
      <c r="W34" s="110"/>
    </row>
    <row r="35" spans="1:99" ht="14.1" customHeight="1">
      <c r="A35" s="145"/>
      <c r="B35" s="148"/>
      <c r="C35" s="146"/>
      <c r="D35" s="147"/>
      <c r="E35" s="148"/>
      <c r="F35" s="145"/>
      <c r="G35" s="148"/>
      <c r="H35" s="148"/>
      <c r="I35" s="148"/>
      <c r="J35" s="149"/>
      <c r="K35" s="150"/>
      <c r="L35" s="150"/>
      <c r="M35" s="124"/>
      <c r="N35" s="124"/>
      <c r="O35" s="150"/>
      <c r="P35" s="150"/>
      <c r="Q35" s="96"/>
      <c r="R35" s="145"/>
      <c r="S35" s="58"/>
      <c r="T35" s="13">
        <v>230</v>
      </c>
      <c r="U35" s="14">
        <v>205.64</v>
      </c>
      <c r="V35" s="15"/>
      <c r="W35" s="110"/>
    </row>
    <row r="36" spans="1:99" ht="14.1" customHeight="1">
      <c r="A36" s="145"/>
      <c r="B36" s="139"/>
      <c r="C36" s="146"/>
      <c r="D36" s="147"/>
      <c r="E36" s="148"/>
      <c r="F36" s="145"/>
      <c r="G36" s="148"/>
      <c r="H36" s="148"/>
      <c r="I36" s="148"/>
      <c r="J36" s="149"/>
      <c r="K36" s="150"/>
      <c r="L36" s="150"/>
      <c r="M36" s="124"/>
      <c r="N36" s="124"/>
      <c r="O36" s="150"/>
      <c r="P36" s="150"/>
      <c r="Q36" s="96"/>
      <c r="R36" s="145"/>
      <c r="S36" s="58"/>
      <c r="U36" s="14">
        <v>200.75</v>
      </c>
      <c r="V36" s="15"/>
      <c r="W36" s="110"/>
      <c r="X36"/>
    </row>
    <row r="37" spans="1:99" ht="14.1" customHeight="1">
      <c r="A37" s="145"/>
      <c r="B37" s="139"/>
      <c r="C37" s="146"/>
      <c r="D37" s="147"/>
      <c r="E37" s="148"/>
      <c r="F37" s="145"/>
      <c r="G37" s="148"/>
      <c r="H37" s="148"/>
      <c r="I37" s="148"/>
      <c r="J37" s="149"/>
      <c r="K37" s="150"/>
      <c r="L37" s="150"/>
      <c r="M37" s="124"/>
      <c r="N37" s="124"/>
      <c r="O37" s="150"/>
      <c r="P37" s="150"/>
      <c r="Q37" s="96"/>
      <c r="R37" s="96"/>
      <c r="S37" s="58"/>
      <c r="T37" s="13">
        <v>235</v>
      </c>
      <c r="U37" s="14">
        <v>200.73</v>
      </c>
      <c r="V37" s="15"/>
      <c r="W37" s="15"/>
      <c r="X37" s="6"/>
    </row>
    <row r="38" spans="1:99" s="156" customFormat="1" ht="14.1" customHeight="1">
      <c r="A38" s="154"/>
      <c r="B38" s="139"/>
      <c r="C38" s="155"/>
      <c r="D38" s="139"/>
      <c r="E38" s="139"/>
      <c r="F38" s="139"/>
      <c r="G38" s="139"/>
      <c r="H38" s="139"/>
      <c r="I38" s="139"/>
      <c r="J38" s="124"/>
      <c r="K38" s="124"/>
      <c r="L38" s="124"/>
      <c r="M38" s="124"/>
      <c r="N38" s="124"/>
      <c r="O38" s="124"/>
      <c r="P38" s="124"/>
      <c r="Q38" s="155"/>
      <c r="R38" s="145"/>
      <c r="S38" s="58"/>
      <c r="T38" s="13"/>
      <c r="U38" s="14">
        <v>214.51</v>
      </c>
      <c r="V38" s="15"/>
      <c r="W38" s="15"/>
      <c r="X38" s="6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</row>
    <row r="39" spans="1:99" s="3" customFormat="1" ht="14.1" customHeight="1">
      <c r="A39" s="157"/>
      <c r="B39" s="158"/>
      <c r="C39" s="159"/>
      <c r="D39" s="160"/>
      <c r="E39" s="160"/>
      <c r="F39" s="161"/>
      <c r="G39" s="160"/>
      <c r="H39" s="148"/>
      <c r="I39" s="162"/>
      <c r="J39" s="163"/>
      <c r="K39" s="150"/>
      <c r="L39" s="155"/>
      <c r="M39" s="134"/>
      <c r="N39" s="155"/>
      <c r="O39" s="155"/>
      <c r="P39" s="155"/>
      <c r="Q39" s="58"/>
      <c r="R39" s="58"/>
      <c r="S39" s="58"/>
      <c r="T39" s="13">
        <v>240</v>
      </c>
      <c r="U39" s="14">
        <v>223.41</v>
      </c>
      <c r="V39" s="15"/>
      <c r="W39" s="15"/>
      <c r="X39" s="6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</row>
    <row r="40" spans="1:99" ht="14.1" customHeight="1">
      <c r="A40" s="164"/>
      <c r="B40" s="165"/>
      <c r="C40" s="164"/>
      <c r="D40" s="148"/>
      <c r="E40" s="164"/>
      <c r="F40" s="164"/>
      <c r="G40" s="96"/>
      <c r="H40" s="101"/>
      <c r="I40" s="58"/>
      <c r="J40" s="155"/>
      <c r="K40" s="166"/>
      <c r="L40" s="167"/>
      <c r="M40" s="168"/>
      <c r="N40" s="134"/>
      <c r="O40" s="169"/>
      <c r="P40" s="169"/>
      <c r="Q40" s="58"/>
      <c r="R40" s="58"/>
      <c r="S40" s="58"/>
      <c r="U40" s="14">
        <v>218.15</v>
      </c>
      <c r="V40" s="15"/>
      <c r="W40" s="15"/>
    </row>
    <row r="41" spans="1:99" ht="14.1" customHeight="1">
      <c r="A41" s="164"/>
      <c r="B41" s="170"/>
      <c r="C41" s="164"/>
      <c r="D41" s="171"/>
      <c r="E41" s="164"/>
      <c r="F41" s="164"/>
      <c r="G41" s="124"/>
      <c r="H41" s="58"/>
      <c r="I41" s="58"/>
      <c r="J41" s="170"/>
      <c r="K41" s="170"/>
      <c r="L41" s="96"/>
      <c r="M41" s="172"/>
      <c r="N41" s="160"/>
      <c r="O41" s="58"/>
      <c r="P41" s="58"/>
      <c r="Q41" s="58"/>
      <c r="R41" s="58"/>
      <c r="S41" s="58"/>
      <c r="U41" s="173"/>
      <c r="V41" s="174"/>
      <c r="W41" s="175"/>
    </row>
    <row r="42" spans="1:99" ht="14.1" customHeight="1">
      <c r="A42" s="3"/>
      <c r="B42" s="3"/>
      <c r="C42" s="3"/>
      <c r="D42" s="33"/>
      <c r="E42" s="3"/>
      <c r="F42" s="3"/>
      <c r="G42" s="19"/>
      <c r="H42" s="40"/>
      <c r="I42" s="40"/>
      <c r="J42" s="30"/>
      <c r="K42" s="30"/>
      <c r="L42" s="30"/>
      <c r="M42" s="30"/>
      <c r="N42" s="33"/>
      <c r="O42" s="33"/>
      <c r="P42" s="33"/>
      <c r="Q42" s="40"/>
      <c r="R42" s="40"/>
      <c r="U42" s="173"/>
      <c r="V42" s="174"/>
      <c r="W42" s="175"/>
    </row>
    <row r="43" spans="1:99" ht="14.1" customHeight="1">
      <c r="A43" s="30"/>
      <c r="B43" s="176"/>
      <c r="C43" s="3"/>
      <c r="D43" s="33"/>
      <c r="E43" s="177"/>
      <c r="F43" s="177"/>
      <c r="G43" s="33"/>
      <c r="H43" s="174"/>
      <c r="I43" s="40"/>
      <c r="J43" s="30"/>
      <c r="K43" s="30"/>
      <c r="L43" s="30"/>
      <c r="M43" s="33"/>
      <c r="N43" s="178"/>
      <c r="O43" s="33"/>
      <c r="P43" s="33"/>
      <c r="Q43" s="40"/>
      <c r="R43" s="40"/>
      <c r="U43" s="173"/>
      <c r="V43" s="174"/>
      <c r="W43" s="175"/>
    </row>
    <row r="44" spans="1:99" ht="14.1" customHeight="1">
      <c r="A44" s="3"/>
      <c r="B44" s="30"/>
      <c r="C44" s="3"/>
      <c r="D44" s="41"/>
      <c r="E44" s="42"/>
      <c r="F44" s="42"/>
      <c r="G44" s="19"/>
      <c r="H44" s="19"/>
      <c r="I44" s="30"/>
      <c r="J44" s="179"/>
      <c r="K44" s="179"/>
      <c r="L44" s="180"/>
      <c r="M44" s="39"/>
      <c r="N44" s="179"/>
      <c r="O44" s="180"/>
      <c r="P44" s="180"/>
      <c r="Q44" s="46"/>
      <c r="R44" s="46"/>
      <c r="U44" s="173"/>
      <c r="V44" s="174"/>
      <c r="W44" s="175"/>
    </row>
    <row r="45" spans="1:99" s="1" customFormat="1" ht="14.1" customHeight="1">
      <c r="A45" s="3"/>
      <c r="B45" s="181"/>
      <c r="C45" s="181"/>
      <c r="D45" s="25"/>
      <c r="E45" s="181"/>
      <c r="F45" s="181"/>
      <c r="G45" s="181"/>
      <c r="H45" s="95"/>
      <c r="I45" s="95"/>
      <c r="J45" s="182"/>
      <c r="K45" s="182"/>
      <c r="L45" s="182"/>
      <c r="M45" s="182"/>
      <c r="N45" s="182"/>
      <c r="O45" s="54"/>
      <c r="P45" s="54"/>
      <c r="Q45" s="55"/>
      <c r="R45" s="55"/>
      <c r="S45" s="13"/>
      <c r="T45" s="13"/>
      <c r="U45" s="173"/>
      <c r="V45" s="40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</row>
    <row r="46" spans="1:99" ht="14.1" customHeight="1">
      <c r="A46" s="70"/>
      <c r="B46" s="33"/>
      <c r="C46" s="36"/>
      <c r="D46" s="33"/>
      <c r="E46" s="33"/>
      <c r="F46" s="33"/>
      <c r="G46" s="33"/>
      <c r="H46" s="33"/>
      <c r="I46" s="33"/>
      <c r="J46" s="74"/>
      <c r="K46" s="74"/>
      <c r="L46" s="74"/>
      <c r="M46" s="30"/>
      <c r="N46" s="19"/>
      <c r="O46" s="74"/>
      <c r="P46" s="74"/>
      <c r="Q46" s="30"/>
      <c r="R46" s="30"/>
      <c r="U46" s="173"/>
    </row>
    <row r="47" spans="1:99" ht="14.1" customHeight="1">
      <c r="A47" s="70"/>
      <c r="B47" s="33"/>
      <c r="C47" s="36"/>
      <c r="D47" s="33"/>
      <c r="E47" s="33"/>
      <c r="F47" s="33"/>
      <c r="G47" s="33"/>
      <c r="H47" s="33"/>
      <c r="I47" s="33"/>
      <c r="J47" s="74"/>
      <c r="K47" s="74"/>
      <c r="L47" s="74"/>
      <c r="M47" s="30"/>
      <c r="N47" s="19"/>
      <c r="O47" s="74"/>
      <c r="P47" s="74"/>
      <c r="Q47" s="30"/>
      <c r="R47" s="30"/>
      <c r="T47" s="40"/>
      <c r="U47" s="173"/>
    </row>
    <row r="48" spans="1:99" s="80" customFormat="1" ht="14.1" customHeight="1">
      <c r="A48" s="183"/>
      <c r="B48" s="25"/>
      <c r="C48" s="184"/>
      <c r="D48" s="25"/>
      <c r="E48" s="25"/>
      <c r="F48" s="25"/>
      <c r="G48" s="25"/>
      <c r="H48" s="25"/>
      <c r="I48" s="25"/>
      <c r="J48" s="95"/>
      <c r="K48" s="95"/>
      <c r="L48" s="95"/>
      <c r="M48" s="95"/>
      <c r="N48" s="95"/>
      <c r="O48" s="95"/>
      <c r="P48" s="95"/>
      <c r="Q48" s="95"/>
      <c r="R48" s="95"/>
      <c r="S48" s="13"/>
      <c r="T48" s="40"/>
      <c r="U48" s="17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</row>
    <row r="49" spans="1:99" ht="14.1" customHeight="1">
      <c r="A49" s="30"/>
      <c r="B49" s="176"/>
      <c r="C49" s="185"/>
      <c r="D49" s="33"/>
      <c r="E49" s="40"/>
      <c r="F49" s="40"/>
      <c r="G49" s="40"/>
      <c r="H49" s="40"/>
      <c r="I49" s="40"/>
      <c r="J49" s="40"/>
      <c r="K49" s="40"/>
      <c r="L49" s="40"/>
      <c r="M49" s="30"/>
      <c r="N49" s="40"/>
      <c r="O49" s="40"/>
      <c r="P49" s="40"/>
      <c r="Q49" s="30"/>
      <c r="R49" s="30"/>
      <c r="T49" s="40"/>
      <c r="U49" s="173"/>
    </row>
    <row r="50" spans="1:99" ht="14.1" customHeight="1">
      <c r="A50" s="30"/>
      <c r="B50" s="176"/>
      <c r="C50" s="185"/>
      <c r="D50" s="33"/>
      <c r="E50" s="40"/>
      <c r="F50" s="40"/>
      <c r="G50" s="40"/>
      <c r="H50" s="40"/>
      <c r="I50" s="40"/>
      <c r="J50" s="40"/>
      <c r="K50" s="40"/>
      <c r="L50" s="40"/>
      <c r="M50" s="30"/>
      <c r="N50" s="40"/>
      <c r="O50" s="40"/>
      <c r="P50" s="40"/>
      <c r="Q50" s="30"/>
      <c r="R50" s="30"/>
      <c r="T50" s="40"/>
      <c r="U50" s="173"/>
    </row>
    <row r="51" spans="1:99" ht="14.1" customHeight="1">
      <c r="A51" s="30"/>
      <c r="B51" s="176"/>
      <c r="C51" s="185"/>
      <c r="D51" s="33"/>
      <c r="E51" s="40"/>
      <c r="F51" s="40"/>
      <c r="G51" s="40"/>
      <c r="H51" s="40"/>
      <c r="I51" s="40"/>
      <c r="J51" s="40"/>
      <c r="K51" s="40"/>
      <c r="L51" s="40"/>
      <c r="M51" s="19"/>
      <c r="N51" s="40"/>
      <c r="O51" s="40"/>
      <c r="P51" s="40"/>
      <c r="Q51" s="30"/>
      <c r="R51" s="30"/>
      <c r="T51" s="40"/>
      <c r="U51" s="173"/>
    </row>
    <row r="52" spans="1:99" ht="14.1" customHeight="1">
      <c r="A52" s="30"/>
      <c r="B52" s="176"/>
      <c r="C52" s="185"/>
      <c r="D52" s="33"/>
      <c r="E52" s="40"/>
      <c r="F52" s="40"/>
      <c r="G52" s="40"/>
      <c r="H52" s="40"/>
      <c r="I52" s="40"/>
      <c r="J52" s="40"/>
      <c r="K52" s="40"/>
      <c r="L52" s="40"/>
      <c r="M52" s="19"/>
      <c r="N52" s="40"/>
      <c r="O52" s="40"/>
      <c r="P52" s="40"/>
      <c r="Q52" s="30"/>
      <c r="R52" s="30"/>
      <c r="U52" s="173"/>
    </row>
    <row r="53" spans="1:99" ht="14.1" customHeight="1">
      <c r="A53" s="30"/>
      <c r="B53" s="176"/>
      <c r="C53" s="186"/>
      <c r="D53" s="33"/>
      <c r="E53" s="33"/>
      <c r="F53" s="33"/>
      <c r="G53" s="33"/>
      <c r="H53" s="33"/>
      <c r="I53" s="33"/>
      <c r="J53" s="187"/>
      <c r="K53" s="188"/>
      <c r="L53" s="40"/>
      <c r="M53" s="19"/>
      <c r="N53" s="40"/>
      <c r="O53" s="40"/>
      <c r="P53" s="40"/>
      <c r="Q53" s="30"/>
      <c r="R53" s="30"/>
      <c r="U53" s="173"/>
    </row>
    <row r="54" spans="1:99" ht="14.1" customHeight="1">
      <c r="A54" s="70"/>
      <c r="B54" s="189"/>
      <c r="C54" s="36"/>
      <c r="D54" s="33"/>
      <c r="E54" s="33"/>
      <c r="F54" s="33"/>
      <c r="G54" s="33"/>
      <c r="H54" s="33"/>
      <c r="I54" s="33"/>
      <c r="J54" s="132"/>
      <c r="K54" s="74"/>
      <c r="L54" s="74"/>
      <c r="M54" s="19"/>
      <c r="N54" s="19"/>
      <c r="O54" s="74"/>
      <c r="P54" s="74"/>
      <c r="Q54" s="30"/>
      <c r="R54" s="30"/>
      <c r="U54" s="173"/>
    </row>
    <row r="55" spans="1:99" ht="14.1" customHeight="1">
      <c r="A55" s="70"/>
      <c r="B55" s="189"/>
      <c r="C55" s="36"/>
      <c r="D55" s="33"/>
      <c r="E55" s="33"/>
      <c r="F55" s="33"/>
      <c r="G55" s="33"/>
      <c r="H55" s="33"/>
      <c r="I55" s="33"/>
      <c r="J55" s="132"/>
      <c r="K55" s="74"/>
      <c r="L55" s="74"/>
      <c r="M55" s="19"/>
      <c r="N55" s="19"/>
      <c r="O55" s="74"/>
      <c r="P55" s="74"/>
      <c r="Q55" s="30"/>
      <c r="R55" s="30"/>
      <c r="U55" s="173"/>
    </row>
    <row r="56" spans="1:99" s="30" customFormat="1" ht="14.1" customHeight="1">
      <c r="A56" s="70"/>
      <c r="B56" s="189"/>
      <c r="C56" s="36"/>
      <c r="D56" s="33"/>
      <c r="E56" s="33"/>
      <c r="F56" s="33"/>
      <c r="G56" s="33"/>
      <c r="H56" s="33"/>
      <c r="I56" s="33"/>
      <c r="J56" s="132"/>
      <c r="K56" s="74"/>
      <c r="L56" s="74"/>
      <c r="M56" s="19"/>
      <c r="N56" s="19"/>
      <c r="O56" s="74"/>
      <c r="P56" s="74"/>
      <c r="S56" s="13"/>
      <c r="T56" s="13"/>
      <c r="U56" s="17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</row>
    <row r="57" spans="1:99" ht="14.1" customHeight="1">
      <c r="A57" s="70"/>
      <c r="B57" s="189"/>
      <c r="C57" s="36"/>
      <c r="D57" s="33"/>
      <c r="E57" s="33"/>
      <c r="F57" s="33"/>
      <c r="G57" s="33"/>
      <c r="H57" s="33"/>
      <c r="I57" s="33"/>
      <c r="J57" s="132"/>
      <c r="K57" s="74"/>
      <c r="L57" s="74"/>
      <c r="M57" s="19"/>
      <c r="N57" s="19"/>
      <c r="O57" s="74"/>
      <c r="P57" s="74"/>
      <c r="Q57" s="30"/>
      <c r="R57" s="30"/>
      <c r="U57" s="173"/>
    </row>
    <row r="58" spans="1:99" ht="14.1" customHeight="1">
      <c r="A58" s="183"/>
      <c r="B58" s="25"/>
      <c r="C58" s="184"/>
      <c r="D58" s="25"/>
      <c r="E58" s="25"/>
      <c r="F58" s="25"/>
      <c r="G58" s="25"/>
      <c r="H58" s="25"/>
      <c r="I58" s="25"/>
      <c r="J58" s="95"/>
      <c r="K58" s="95"/>
      <c r="L58" s="95"/>
      <c r="M58" s="95"/>
      <c r="N58" s="95"/>
      <c r="O58" s="95"/>
      <c r="P58" s="95"/>
      <c r="Q58" s="95"/>
      <c r="R58" s="95"/>
      <c r="U58" s="173"/>
    </row>
    <row r="59" spans="1:99" s="115" customFormat="1" ht="14.1" customHeight="1">
      <c r="A59" s="40"/>
      <c r="B59" s="40"/>
      <c r="C59" s="40"/>
      <c r="D59" s="19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13"/>
      <c r="T59" s="13"/>
      <c r="U59" s="17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</row>
    <row r="60" spans="1:99" s="30" customFormat="1" ht="14.1" customHeight="1">
      <c r="A60" s="191"/>
      <c r="B60" s="40"/>
      <c r="C60" s="40"/>
      <c r="D60" s="19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13"/>
      <c r="T60" s="13"/>
      <c r="U60" s="17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</row>
    <row r="61" spans="1:99" ht="14.1" customHeight="1">
      <c r="A61" s="40"/>
      <c r="B61" s="40"/>
      <c r="C61" s="40"/>
      <c r="D61" s="19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U61" s="173"/>
    </row>
    <row r="62" spans="1:99" ht="14.1" customHeight="1">
      <c r="A62" s="40"/>
      <c r="B62" s="40"/>
      <c r="C62" s="40"/>
      <c r="D62" s="19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U62" s="173"/>
    </row>
    <row r="63" spans="1:99" ht="14.1" customHeight="1">
      <c r="A63" s="40"/>
      <c r="B63" s="40"/>
      <c r="C63" s="40"/>
      <c r="D63" s="19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U63" s="173"/>
    </row>
    <row r="64" spans="1:99" s="156" customFormat="1" ht="14.1" customHeight="1">
      <c r="A64" s="30"/>
      <c r="B64" s="189"/>
      <c r="C64" s="36"/>
      <c r="D64" s="33"/>
      <c r="E64" s="189"/>
      <c r="F64" s="189"/>
      <c r="G64" s="19"/>
      <c r="H64" s="30"/>
      <c r="I64" s="30"/>
      <c r="J64" s="30"/>
      <c r="K64" s="30"/>
      <c r="L64" s="30"/>
      <c r="M64" s="30"/>
      <c r="N64" s="19"/>
      <c r="O64" s="30"/>
      <c r="P64" s="30"/>
      <c r="Q64" s="40"/>
      <c r="R64" s="40"/>
      <c r="S64" s="13"/>
      <c r="T64" s="13"/>
      <c r="U64" s="17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</row>
    <row r="65" spans="1:21" s="13" customFormat="1" ht="14.1" customHeight="1">
      <c r="A65" s="30"/>
      <c r="B65" s="189"/>
      <c r="C65" s="36"/>
      <c r="D65" s="33"/>
      <c r="E65" s="189"/>
      <c r="F65" s="189"/>
      <c r="G65" s="19"/>
      <c r="H65" s="30"/>
      <c r="I65" s="30"/>
      <c r="J65" s="30"/>
      <c r="K65" s="30"/>
      <c r="L65" s="30"/>
      <c r="M65" s="30"/>
      <c r="N65" s="19"/>
      <c r="O65" s="30"/>
      <c r="P65" s="30"/>
      <c r="Q65" s="40"/>
      <c r="R65" s="40"/>
      <c r="U65" s="173"/>
    </row>
    <row r="66" spans="1:21" s="13" customFormat="1" ht="14.1" customHeight="1">
      <c r="A66" s="12"/>
      <c r="B66" s="192"/>
      <c r="C66" s="65"/>
      <c r="D66" s="66"/>
      <c r="E66" s="192"/>
      <c r="F66" s="192"/>
      <c r="G66" s="68"/>
      <c r="H66" s="12"/>
      <c r="I66" s="12"/>
      <c r="J66" s="12"/>
      <c r="K66" s="12"/>
      <c r="L66" s="12"/>
      <c r="M66" s="12"/>
      <c r="N66" s="68"/>
      <c r="O66" s="12"/>
      <c r="P66" s="12"/>
      <c r="U66" s="173"/>
    </row>
    <row r="67" spans="1:21" ht="14.1" customHeight="1">
      <c r="C67" s="65"/>
      <c r="U67" s="173"/>
    </row>
    <row r="68" spans="1:21" ht="14.1" customHeight="1">
      <c r="A68" s="13"/>
      <c r="B68" s="13"/>
      <c r="C68" s="13"/>
      <c r="D68" s="97"/>
      <c r="E68" s="13"/>
      <c r="F68" s="13"/>
      <c r="G68" s="13"/>
      <c r="H68" s="13"/>
      <c r="I68" s="13"/>
      <c r="J68" s="13"/>
      <c r="M68" s="13"/>
      <c r="N68" s="13"/>
      <c r="O68" s="13"/>
      <c r="P68" s="13"/>
      <c r="U68" s="173"/>
    </row>
    <row r="69" spans="1:21" ht="14.1" customHeight="1">
      <c r="A69" s="13"/>
      <c r="B69" s="13"/>
      <c r="C69" s="13"/>
      <c r="D69" s="97"/>
      <c r="E69" s="13"/>
      <c r="F69" s="13"/>
      <c r="G69" s="13"/>
      <c r="H69" s="13"/>
      <c r="I69" s="13"/>
      <c r="J69" s="13"/>
      <c r="M69" s="13"/>
      <c r="N69" s="13"/>
      <c r="O69" s="13"/>
      <c r="P69" s="13"/>
      <c r="U69" s="173"/>
    </row>
    <row r="70" spans="1:21" ht="14.1" customHeight="1">
      <c r="C70" s="65"/>
      <c r="U70" s="173"/>
    </row>
    <row r="71" spans="1:21" ht="14.1" customHeight="1">
      <c r="C71" s="65"/>
      <c r="Q71" s="13"/>
      <c r="R71" s="13"/>
    </row>
    <row r="72" spans="1:21" ht="14.1" customHeight="1">
      <c r="C72" s="65"/>
      <c r="Q72" s="13"/>
      <c r="R72" s="13"/>
    </row>
    <row r="73" spans="1:21" ht="14.1" customHeight="1">
      <c r="C73" s="65"/>
    </row>
    <row r="74" spans="1:21" ht="14.1" customHeight="1">
      <c r="C74" s="65"/>
    </row>
  </sheetData>
  <pageMargins left="0.75" right="0.5" top="1" bottom="0.5" header="0.5" footer="0.5"/>
  <pageSetup scale="70" orientation="landscape" r:id="rId1"/>
  <headerFooter alignWithMargins="0">
    <oddHeader>&amp;R&amp;D</oddHead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U74"/>
  <sheetViews>
    <sheetView topLeftCell="AA1" zoomScale="87" zoomScaleNormal="87" workbookViewId="0">
      <selection activeCell="AG29" sqref="AG29"/>
    </sheetView>
  </sheetViews>
  <sheetFormatPr defaultColWidth="13.7109375" defaultRowHeight="14.1" customHeight="1"/>
  <cols>
    <col min="1" max="1" width="6.28515625" style="12" customWidth="1"/>
    <col min="2" max="2" width="16.5703125" style="192" customWidth="1"/>
    <col min="3" max="3" width="8.28515625" style="12" customWidth="1"/>
    <col min="4" max="4" width="11.140625" style="66" customWidth="1"/>
    <col min="5" max="5" width="12.85546875" style="192" customWidth="1"/>
    <col min="6" max="6" width="9.28515625" style="192" customWidth="1"/>
    <col min="7" max="7" width="9.140625" style="68" customWidth="1"/>
    <col min="8" max="8" width="10.85546875" style="12" customWidth="1"/>
    <col min="9" max="9" width="13.140625" style="12" customWidth="1"/>
    <col min="10" max="10" width="12.28515625" style="12" customWidth="1"/>
    <col min="11" max="11" width="10.140625" style="12" customWidth="1"/>
    <col min="12" max="12" width="14.42578125" style="12" customWidth="1"/>
    <col min="13" max="13" width="8.85546875" style="12" customWidth="1"/>
    <col min="14" max="14" width="17.140625" style="68" customWidth="1"/>
    <col min="15" max="15" width="15.7109375" style="12" customWidth="1"/>
    <col min="16" max="16" width="10.85546875" style="12" customWidth="1"/>
    <col min="17" max="17" width="6.140625" style="12" customWidth="1"/>
    <col min="18" max="18" width="7.28515625" style="12" customWidth="1"/>
    <col min="19" max="19" width="12" style="13" customWidth="1"/>
    <col min="20" max="20" width="10.42578125" style="13" customWidth="1"/>
    <col min="21" max="21" width="13.7109375" style="13" customWidth="1"/>
    <col min="22" max="22" width="2.5703125" style="13" customWidth="1"/>
    <col min="23" max="29" width="13.7109375" style="13" customWidth="1"/>
    <col min="30" max="31" width="25" style="13" customWidth="1"/>
    <col min="32" max="34" width="13.7109375" style="13" customWidth="1"/>
    <col min="35" max="35" width="19.85546875" style="13" customWidth="1"/>
    <col min="36" max="36" width="19.5703125" style="13" customWidth="1"/>
    <col min="37" max="37" width="27.42578125" style="13" customWidth="1"/>
    <col min="38" max="38" width="31.42578125" style="13" customWidth="1"/>
    <col min="39" max="39" width="31.28515625" style="13" customWidth="1"/>
    <col min="40" max="45" width="27.42578125" style="13" customWidth="1"/>
    <col min="46" max="46" width="31.28515625" style="13" customWidth="1"/>
    <col min="47" max="47" width="35.42578125" style="13" customWidth="1"/>
    <col min="48" max="50" width="13.7109375" style="13" customWidth="1"/>
    <col min="51" max="52" width="17.28515625" style="13" customWidth="1"/>
    <col min="53" max="60" width="17.5703125" style="13" customWidth="1"/>
    <col min="61" max="65" width="20.42578125" style="13" customWidth="1"/>
    <col min="66" max="68" width="13.7109375" style="13" customWidth="1"/>
    <col min="69" max="69" width="18.7109375" style="13" customWidth="1"/>
    <col min="70" max="72" width="13.7109375" style="13" customWidth="1"/>
    <col min="73" max="73" width="17.28515625" style="13" customWidth="1"/>
    <col min="74" max="74" width="16.85546875" style="13" customWidth="1"/>
    <col min="75" max="75" width="13.7109375" style="13" customWidth="1"/>
    <col min="76" max="76" width="17" style="13" customWidth="1"/>
    <col min="77" max="81" width="17.85546875" style="13" customWidth="1"/>
    <col min="82" max="92" width="13.7109375" style="13" customWidth="1"/>
    <col min="93" max="93" width="26.140625" style="13" customWidth="1"/>
    <col min="94" max="94" width="25.7109375" style="13" customWidth="1"/>
    <col min="95" max="95" width="22.85546875" style="13" customWidth="1"/>
    <col min="96" max="99" width="13.7109375" style="13" customWidth="1"/>
    <col min="100" max="16384" width="13.7109375" style="12"/>
  </cols>
  <sheetData>
    <row r="1" spans="1:99" ht="14.1" customHeight="1">
      <c r="A1" s="1" t="s">
        <v>0</v>
      </c>
      <c r="B1" s="2" t="s">
        <v>127</v>
      </c>
      <c r="C1" s="3" t="s">
        <v>1</v>
      </c>
      <c r="D1" s="4" t="s">
        <v>164</v>
      </c>
      <c r="E1" s="1" t="s">
        <v>2</v>
      </c>
      <c r="F1" s="1"/>
      <c r="G1" s="5">
        <v>56</v>
      </c>
      <c r="H1" s="6"/>
      <c r="I1" s="6" t="s">
        <v>3</v>
      </c>
      <c r="J1" s="5">
        <v>178</v>
      </c>
      <c r="K1" s="7"/>
      <c r="L1" s="7"/>
      <c r="M1" s="8" t="s">
        <v>4</v>
      </c>
      <c r="N1" s="9">
        <f>((AVERAGE(W7:W8))*20)</f>
        <v>7592694</v>
      </c>
      <c r="O1" s="10">
        <f>(O3*20)</f>
        <v>6892674.535889999</v>
      </c>
      <c r="P1" s="10"/>
      <c r="Q1" s="11" t="s">
        <v>5</v>
      </c>
      <c r="S1" s="13">
        <v>-120</v>
      </c>
      <c r="T1" s="13" t="s">
        <v>6</v>
      </c>
      <c r="U1" s="14">
        <v>30.08</v>
      </c>
      <c r="V1" s="15"/>
      <c r="W1" s="15" t="s">
        <v>7</v>
      </c>
    </row>
    <row r="2" spans="1:99" ht="14.1" customHeight="1" thickBot="1">
      <c r="A2" s="16" t="s">
        <v>8</v>
      </c>
      <c r="B2" s="17">
        <v>42278</v>
      </c>
      <c r="C2" s="3" t="s">
        <v>9</v>
      </c>
      <c r="D2" s="18">
        <v>66.2</v>
      </c>
      <c r="E2" s="3" t="s">
        <v>10</v>
      </c>
      <c r="F2" s="3"/>
      <c r="G2" s="19">
        <f>D2/(D3/100*D3/100)</f>
        <v>28.540276926910593</v>
      </c>
      <c r="H2" s="13"/>
      <c r="I2" s="20" t="s">
        <v>11</v>
      </c>
      <c r="J2" s="21"/>
      <c r="K2" s="22"/>
      <c r="L2" s="23"/>
      <c r="M2" s="24" t="s">
        <v>12</v>
      </c>
      <c r="N2" s="25">
        <f>(O1*0.068)</f>
        <v>468701.86844051996</v>
      </c>
      <c r="O2" s="13"/>
      <c r="P2" s="13"/>
      <c r="Q2" s="11"/>
      <c r="R2" s="26"/>
      <c r="T2" s="13" t="s">
        <v>6</v>
      </c>
      <c r="U2" s="14">
        <v>26.06</v>
      </c>
      <c r="V2" s="15"/>
      <c r="W2" s="27">
        <v>129925.1</v>
      </c>
    </row>
    <row r="3" spans="1:99" ht="14.1" customHeight="1" thickTop="1" thickBot="1">
      <c r="A3" s="16" t="s">
        <v>13</v>
      </c>
      <c r="B3" s="28" t="s">
        <v>167</v>
      </c>
      <c r="C3" s="3" t="s">
        <v>15</v>
      </c>
      <c r="D3" s="29">
        <v>152.30000000000001</v>
      </c>
      <c r="E3" s="3" t="s">
        <v>16</v>
      </c>
      <c r="F3" s="3"/>
      <c r="G3" s="19">
        <f>SQRT(((D2*D3)/3600))</f>
        <v>1.6735076270449973</v>
      </c>
      <c r="H3" s="13"/>
      <c r="I3" s="20"/>
      <c r="J3" s="30"/>
      <c r="K3" s="30"/>
      <c r="L3" s="30"/>
      <c r="M3" s="31" t="s">
        <v>17</v>
      </c>
      <c r="N3" s="32">
        <f>($O$1/$N$1)*100</f>
        <v>90.780354586790921</v>
      </c>
      <c r="O3" s="33">
        <f>((AVERAGE(W2:W5))*2.85714)</f>
        <v>344633.72679449996</v>
      </c>
      <c r="P3" s="33"/>
      <c r="Q3" s="34" t="s">
        <v>18</v>
      </c>
      <c r="R3" s="13"/>
      <c r="T3" s="13">
        <v>-30</v>
      </c>
      <c r="U3" s="14">
        <v>507.1</v>
      </c>
      <c r="V3" s="15"/>
      <c r="W3" s="27">
        <v>133770.4</v>
      </c>
    </row>
    <row r="4" spans="1:99" ht="14.1" customHeight="1" thickTop="1">
      <c r="B4" s="35"/>
      <c r="C4" s="3" t="s">
        <v>19</v>
      </c>
      <c r="D4" s="19">
        <v>40.14</v>
      </c>
      <c r="E4" s="37" t="s">
        <v>20</v>
      </c>
      <c r="F4" s="37"/>
      <c r="G4" s="38">
        <v>0.41099999999999998</v>
      </c>
      <c r="H4" s="13"/>
      <c r="I4" s="20"/>
      <c r="J4" s="30"/>
      <c r="K4" s="30"/>
      <c r="L4" s="30"/>
      <c r="M4" s="33"/>
      <c r="N4" s="39"/>
      <c r="O4" s="30"/>
      <c r="P4" s="30"/>
      <c r="Q4" s="30"/>
      <c r="R4" s="30"/>
      <c r="U4" s="14">
        <v>519.09</v>
      </c>
      <c r="V4" s="15"/>
      <c r="W4" s="27">
        <v>110324.6</v>
      </c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</row>
    <row r="5" spans="1:99" ht="14.1" customHeight="1" thickBot="1">
      <c r="A5" s="16"/>
      <c r="B5" s="30"/>
      <c r="C5" s="3"/>
      <c r="D5" s="41" t="s">
        <v>21</v>
      </c>
      <c r="E5" s="42">
        <f>AVERAGE(U1:U2)</f>
        <v>28.07</v>
      </c>
      <c r="F5" s="42"/>
      <c r="G5" s="19"/>
      <c r="H5" s="30"/>
      <c r="I5" s="30"/>
      <c r="J5" s="43" t="s">
        <v>22</v>
      </c>
      <c r="K5" s="43"/>
      <c r="L5" s="44" t="s">
        <v>23</v>
      </c>
      <c r="M5" s="45"/>
      <c r="N5" s="43" t="s">
        <v>22</v>
      </c>
      <c r="O5" s="44" t="s">
        <v>23</v>
      </c>
      <c r="P5" s="44" t="s">
        <v>24</v>
      </c>
      <c r="Q5" s="46"/>
      <c r="R5" s="46"/>
      <c r="T5" s="13">
        <v>-20</v>
      </c>
      <c r="U5" s="14">
        <v>444.26</v>
      </c>
      <c r="V5" s="15"/>
      <c r="W5" s="27">
        <v>108467.6</v>
      </c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</row>
    <row r="6" spans="1:99" s="1" customFormat="1" ht="14.1" customHeight="1">
      <c r="A6" s="47" t="s">
        <v>25</v>
      </c>
      <c r="B6" s="48" t="s">
        <v>26</v>
      </c>
      <c r="C6" s="48"/>
      <c r="D6" s="49" t="s">
        <v>27</v>
      </c>
      <c r="E6" s="48" t="s">
        <v>28</v>
      </c>
      <c r="F6" s="48"/>
      <c r="G6" s="48" t="s">
        <v>29</v>
      </c>
      <c r="H6" s="50" t="s">
        <v>30</v>
      </c>
      <c r="I6" s="50"/>
      <c r="J6" s="51" t="s">
        <v>31</v>
      </c>
      <c r="K6" s="52"/>
      <c r="L6" s="52" t="s">
        <v>31</v>
      </c>
      <c r="M6" s="52" t="s">
        <v>32</v>
      </c>
      <c r="N6" s="52" t="s">
        <v>33</v>
      </c>
      <c r="O6" s="53" t="s">
        <v>34</v>
      </c>
      <c r="P6" s="54"/>
      <c r="Q6" s="55"/>
      <c r="R6" s="55"/>
      <c r="S6" s="13"/>
      <c r="T6" s="13"/>
      <c r="U6" s="14">
        <v>489.84</v>
      </c>
      <c r="V6" s="15"/>
      <c r="W6" s="56" t="s">
        <v>35</v>
      </c>
      <c r="X6" s="13" t="s">
        <v>36</v>
      </c>
      <c r="Y6" s="57" t="s">
        <v>37</v>
      </c>
      <c r="Z6" s="58" t="s">
        <v>38</v>
      </c>
      <c r="AA6" s="40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60"/>
      <c r="AY6" s="60"/>
      <c r="AZ6" s="60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60"/>
      <c r="BO6" s="60"/>
      <c r="BP6" s="60"/>
      <c r="BQ6" s="59"/>
      <c r="BR6" s="59"/>
      <c r="BS6" s="59"/>
      <c r="BT6" s="59"/>
      <c r="BU6" s="59"/>
      <c r="BV6" s="59"/>
      <c r="BW6" s="59"/>
      <c r="BX6" s="59"/>
      <c r="BY6" s="59"/>
      <c r="BZ6" s="61"/>
      <c r="CA6" s="61"/>
      <c r="CB6" s="61"/>
      <c r="CC6" s="61"/>
      <c r="CD6" s="40"/>
      <c r="CE6" s="61"/>
      <c r="CF6" s="61"/>
      <c r="CG6" s="33"/>
      <c r="CH6" s="40"/>
      <c r="CI6" s="30"/>
      <c r="CJ6" s="30"/>
      <c r="CK6" s="30"/>
      <c r="CL6" s="30"/>
      <c r="CM6" s="30"/>
      <c r="CN6" s="30"/>
      <c r="CO6" s="30"/>
      <c r="CP6" s="62"/>
      <c r="CQ6" s="62"/>
      <c r="CR6" s="13"/>
      <c r="CS6" s="13"/>
      <c r="CT6" s="13"/>
      <c r="CU6" s="13"/>
    </row>
    <row r="7" spans="1:99" ht="14.1" customHeight="1">
      <c r="A7" s="63">
        <v>-30</v>
      </c>
      <c r="B7" s="64">
        <v>98</v>
      </c>
      <c r="C7" s="65"/>
      <c r="D7" s="42">
        <f>AVERAGE(U3:U4)</f>
        <v>513.09500000000003</v>
      </c>
      <c r="E7" s="66">
        <f>D7-$E$5</f>
        <v>485.02500000000003</v>
      </c>
      <c r="F7" s="66"/>
      <c r="G7" s="66">
        <f>($E7*7.1425)</f>
        <v>3464.2910625000004</v>
      </c>
      <c r="H7" s="66">
        <f>($G7/($B7*0.01))</f>
        <v>3534.9908801020415</v>
      </c>
      <c r="I7" s="66"/>
      <c r="J7" s="67">
        <f>$N$2/$H7/$D$2</f>
        <v>2.0028590984464971</v>
      </c>
      <c r="K7" s="67"/>
      <c r="L7" s="67">
        <f>J7/($D$4/$D$2)</f>
        <v>3.3031707104424046</v>
      </c>
      <c r="N7" s="68">
        <f>J7-M7</f>
        <v>2.0028590984464971</v>
      </c>
      <c r="O7" s="67">
        <f>N7/($D$4/$D$2)</f>
        <v>3.3031707104424046</v>
      </c>
      <c r="P7" s="67"/>
      <c r="Q7" s="30"/>
      <c r="R7" s="30"/>
      <c r="T7" s="13">
        <v>-10</v>
      </c>
      <c r="U7" s="14">
        <v>488.31</v>
      </c>
      <c r="V7" s="15"/>
      <c r="W7" s="27">
        <v>381151.2</v>
      </c>
      <c r="X7" s="69">
        <v>0.44500000000000001</v>
      </c>
      <c r="Y7" s="70">
        <v>-30</v>
      </c>
      <c r="Z7" s="71">
        <v>13.231999999999999</v>
      </c>
      <c r="AA7" s="40"/>
      <c r="AB7" s="72"/>
      <c r="AC7" s="72"/>
      <c r="AD7" s="72"/>
      <c r="AE7" s="72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19"/>
      <c r="AY7" s="74"/>
      <c r="AZ7" s="74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</row>
    <row r="8" spans="1:99" ht="14.1" customHeight="1">
      <c r="A8" s="63">
        <v>-20</v>
      </c>
      <c r="B8" s="64">
        <v>95</v>
      </c>
      <c r="C8" s="65"/>
      <c r="D8" s="66">
        <f>AVERAGE(U5:U6)</f>
        <v>467.04999999999995</v>
      </c>
      <c r="E8" s="66">
        <f>D8-$E$5</f>
        <v>438.97999999999996</v>
      </c>
      <c r="F8" s="66"/>
      <c r="G8" s="66">
        <f>($E8*7.1425)</f>
        <v>3135.4146499999997</v>
      </c>
      <c r="H8" s="66">
        <f>($G8/($B8*0.01))</f>
        <v>3300.4364736842099</v>
      </c>
      <c r="I8" s="66"/>
      <c r="J8" s="67">
        <f>$N$2/H8/$D$2</f>
        <v>2.145197674183501</v>
      </c>
      <c r="K8" s="67"/>
      <c r="L8" s="67">
        <f>J8/($D$4/$D$2)</f>
        <v>3.537919432759038</v>
      </c>
      <c r="N8" s="68">
        <f>J8-M8</f>
        <v>2.145197674183501</v>
      </c>
      <c r="O8" s="67">
        <f>N8/($D$4/$D$2)</f>
        <v>3.537919432759038</v>
      </c>
      <c r="P8" s="67"/>
      <c r="Q8" s="30"/>
      <c r="R8" s="30"/>
      <c r="U8" s="14">
        <v>439.77</v>
      </c>
      <c r="V8" s="15"/>
      <c r="W8" s="27">
        <v>378118.2</v>
      </c>
      <c r="X8" s="69">
        <v>0.38300000000000001</v>
      </c>
      <c r="Y8" s="70">
        <v>-20</v>
      </c>
      <c r="Z8" s="71">
        <v>15.092000000000001</v>
      </c>
      <c r="AA8" s="40"/>
      <c r="AB8" s="72"/>
      <c r="AC8" s="72"/>
      <c r="AD8" s="72"/>
      <c r="AE8" s="72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19"/>
      <c r="AY8" s="74"/>
      <c r="AZ8" s="74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</row>
    <row r="9" spans="1:99" ht="14.1" customHeight="1" thickBot="1">
      <c r="A9" s="63">
        <v>-10</v>
      </c>
      <c r="B9" s="75">
        <v>92</v>
      </c>
      <c r="C9" s="65"/>
      <c r="D9" s="66">
        <f>AVERAGE(U7:U8)</f>
        <v>464.03999999999996</v>
      </c>
      <c r="E9" s="66">
        <f>D9-$E$5</f>
        <v>435.96999999999997</v>
      </c>
      <c r="F9" s="66"/>
      <c r="G9" s="66">
        <f>($E9*7.1425)</f>
        <v>3113.9157249999998</v>
      </c>
      <c r="H9" s="66">
        <f>($G9/($B9*0.01))</f>
        <v>3384.6910054347823</v>
      </c>
      <c r="I9" s="66"/>
      <c r="J9" s="67">
        <f>$N$2/H9/$D$2</f>
        <v>2.0917976369982663</v>
      </c>
      <c r="K9" s="67"/>
      <c r="L9" s="67">
        <f>J9/($D$4/$D$2)</f>
        <v>3.4498506120898167</v>
      </c>
      <c r="N9" s="68">
        <f>J9-M9</f>
        <v>2.0917976369982663</v>
      </c>
      <c r="O9" s="67">
        <f>N9/($D$4/$D$2)</f>
        <v>3.4498506120898167</v>
      </c>
      <c r="P9" s="67"/>
      <c r="Q9" s="30"/>
      <c r="R9" s="30"/>
      <c r="T9" s="13">
        <v>-5</v>
      </c>
      <c r="U9" s="14">
        <v>510.14</v>
      </c>
      <c r="V9" s="15"/>
      <c r="W9" s="76">
        <v>376027.7</v>
      </c>
      <c r="X9" s="69">
        <v>0.41899999999999998</v>
      </c>
      <c r="Y9" s="70">
        <v>-10</v>
      </c>
      <c r="Z9" s="71">
        <v>13.701000000000001</v>
      </c>
      <c r="AA9" s="40"/>
      <c r="AB9" s="72"/>
      <c r="AC9" s="72"/>
      <c r="AD9" s="72"/>
      <c r="AE9" s="72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19"/>
      <c r="AY9" s="74"/>
      <c r="AZ9" s="74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</row>
    <row r="10" spans="1:99" s="80" customFormat="1" ht="14.1" customHeight="1">
      <c r="A10" s="77">
        <v>0</v>
      </c>
      <c r="B10" s="75">
        <v>92</v>
      </c>
      <c r="C10" s="65"/>
      <c r="D10" s="66">
        <f>AVERAGE(U11:U12)</f>
        <v>536.31500000000005</v>
      </c>
      <c r="E10" s="66">
        <f>D10-$E$5</f>
        <v>508.24500000000006</v>
      </c>
      <c r="F10" s="66"/>
      <c r="G10" s="78">
        <f>($E10*7.1425)</f>
        <v>3630.1399125000003</v>
      </c>
      <c r="H10" s="78">
        <f>($G10/($B10*0.01))</f>
        <v>3945.8042527173916</v>
      </c>
      <c r="I10" s="78"/>
      <c r="J10" s="79">
        <f>$N$2/H10/$D$2</f>
        <v>1.7943334726404274</v>
      </c>
      <c r="K10" s="79"/>
      <c r="L10" s="67">
        <f>J10/($D$4/$D$2)</f>
        <v>2.9592644715694147</v>
      </c>
      <c r="N10" s="81">
        <f>J10-M10</f>
        <v>1.7943334726404274</v>
      </c>
      <c r="O10" s="67">
        <f>N10/($D$4/$D$2)</f>
        <v>2.9592644715694147</v>
      </c>
      <c r="P10" s="67"/>
      <c r="Q10" s="30"/>
      <c r="R10" s="30"/>
      <c r="S10" s="13"/>
      <c r="T10" s="13" t="s">
        <v>39</v>
      </c>
      <c r="U10" s="14">
        <v>503.84</v>
      </c>
      <c r="V10" s="15"/>
      <c r="W10" s="15"/>
      <c r="X10" s="69">
        <v>0.27800000000000002</v>
      </c>
      <c r="Y10" s="70">
        <v>0</v>
      </c>
      <c r="Z10" s="82">
        <v>10.904</v>
      </c>
      <c r="AA10" s="30"/>
      <c r="AB10" s="83" t="s">
        <v>40</v>
      </c>
      <c r="AC10" s="83" t="s">
        <v>41</v>
      </c>
      <c r="AD10" s="83" t="s">
        <v>42</v>
      </c>
      <c r="AE10" s="83" t="s">
        <v>43</v>
      </c>
      <c r="AF10" s="83" t="s">
        <v>44</v>
      </c>
      <c r="AG10" s="83" t="s">
        <v>45</v>
      </c>
      <c r="AH10" s="83" t="s">
        <v>46</v>
      </c>
      <c r="AI10" s="83" t="s">
        <v>47</v>
      </c>
      <c r="AJ10" s="83" t="s">
        <v>48</v>
      </c>
      <c r="AK10" s="83" t="s">
        <v>49</v>
      </c>
      <c r="AL10" s="83" t="s">
        <v>50</v>
      </c>
      <c r="AM10" s="83" t="s">
        <v>51</v>
      </c>
      <c r="AN10" s="83" t="s">
        <v>52</v>
      </c>
      <c r="AO10" s="83" t="s">
        <v>53</v>
      </c>
      <c r="AP10" s="83" t="s">
        <v>54</v>
      </c>
      <c r="AQ10" s="83" t="s">
        <v>55</v>
      </c>
      <c r="AR10" s="83" t="s">
        <v>56</v>
      </c>
      <c r="AS10" s="83" t="s">
        <v>57</v>
      </c>
      <c r="AT10" s="83" t="s">
        <v>58</v>
      </c>
      <c r="AU10" s="83" t="s">
        <v>59</v>
      </c>
      <c r="AV10" s="84" t="s">
        <v>60</v>
      </c>
      <c r="AW10" s="84" t="s">
        <v>61</v>
      </c>
      <c r="AX10" s="85" t="s">
        <v>62</v>
      </c>
      <c r="AY10" s="85" t="s">
        <v>63</v>
      </c>
      <c r="AZ10" s="85" t="s">
        <v>64</v>
      </c>
      <c r="BA10" s="86" t="s">
        <v>65</v>
      </c>
      <c r="BB10" s="86" t="s">
        <v>66</v>
      </c>
      <c r="BC10" s="86" t="s">
        <v>67</v>
      </c>
      <c r="BD10" s="86" t="s">
        <v>68</v>
      </c>
      <c r="BE10" s="86" t="s">
        <v>69</v>
      </c>
      <c r="BF10" s="86" t="s">
        <v>70</v>
      </c>
      <c r="BG10" s="86" t="s">
        <v>71</v>
      </c>
      <c r="BH10" s="86" t="s">
        <v>72</v>
      </c>
      <c r="BI10" s="86" t="s">
        <v>73</v>
      </c>
      <c r="BJ10" s="86" t="s">
        <v>74</v>
      </c>
      <c r="BK10" s="86" t="s">
        <v>75</v>
      </c>
      <c r="BL10" s="86" t="s">
        <v>76</v>
      </c>
      <c r="BM10" s="86" t="s">
        <v>77</v>
      </c>
      <c r="BN10" s="87" t="s">
        <v>78</v>
      </c>
      <c r="BO10" s="87" t="s">
        <v>79</v>
      </c>
      <c r="BP10" s="87" t="s">
        <v>80</v>
      </c>
      <c r="BQ10" s="88" t="s">
        <v>81</v>
      </c>
      <c r="BR10" s="88" t="s">
        <v>82</v>
      </c>
      <c r="BS10" s="88" t="s">
        <v>83</v>
      </c>
      <c r="BT10" s="88" t="s">
        <v>84</v>
      </c>
      <c r="BU10" s="88" t="s">
        <v>85</v>
      </c>
      <c r="BV10" s="88" t="s">
        <v>86</v>
      </c>
      <c r="BW10" s="88" t="s">
        <v>87</v>
      </c>
      <c r="BX10" s="88" t="s">
        <v>88</v>
      </c>
      <c r="BY10" s="88" t="s">
        <v>89</v>
      </c>
      <c r="BZ10" s="88" t="s">
        <v>90</v>
      </c>
      <c r="CA10" s="88" t="s">
        <v>91</v>
      </c>
      <c r="CB10" s="88" t="s">
        <v>92</v>
      </c>
      <c r="CC10" s="88" t="s">
        <v>93</v>
      </c>
      <c r="CD10" s="40"/>
      <c r="CE10" s="89" t="s">
        <v>94</v>
      </c>
      <c r="CF10" s="89" t="s">
        <v>95</v>
      </c>
      <c r="CG10" s="90" t="s">
        <v>96</v>
      </c>
      <c r="CH10" s="40"/>
      <c r="CI10" s="91" t="s">
        <v>97</v>
      </c>
      <c r="CJ10" s="91" t="s">
        <v>98</v>
      </c>
      <c r="CK10" s="91" t="s">
        <v>99</v>
      </c>
      <c r="CL10" s="91" t="s">
        <v>100</v>
      </c>
      <c r="CM10" s="91" t="s">
        <v>101</v>
      </c>
      <c r="CN10" s="91" t="s">
        <v>102</v>
      </c>
      <c r="CO10" s="91" t="s">
        <v>103</v>
      </c>
      <c r="CP10" s="92" t="s">
        <v>104</v>
      </c>
      <c r="CQ10" s="92" t="s">
        <v>105</v>
      </c>
      <c r="CR10" s="13"/>
      <c r="CS10" s="13"/>
      <c r="CT10" s="13"/>
      <c r="CU10" s="13"/>
    </row>
    <row r="11" spans="1:99" s="49" customFormat="1" ht="14.1" customHeight="1">
      <c r="A11" s="93" t="s">
        <v>106</v>
      </c>
      <c r="B11" s="49">
        <f>AVERAGE(B7:B10)</f>
        <v>94.25</v>
      </c>
      <c r="E11" s="50">
        <f>AVERAGE(E7:E10)</f>
        <v>467.05500000000001</v>
      </c>
      <c r="G11" s="50">
        <f>AVERAGE(G7:G10)</f>
        <v>3335.9403375000002</v>
      </c>
      <c r="H11" s="50">
        <f>AVERAGE(H7:H10)</f>
        <v>3541.4806529846064</v>
      </c>
      <c r="J11" s="94">
        <f>AVERAGE(J7:J10)</f>
        <v>2.0085469705671728</v>
      </c>
      <c r="K11" s="50" t="s">
        <v>39</v>
      </c>
      <c r="L11" s="50">
        <f>AVERAGE(L7:L10)</f>
        <v>3.3125513067151688</v>
      </c>
      <c r="M11" s="50"/>
      <c r="N11" s="94">
        <f>AVERAGE(N7:N10)</f>
        <v>2.0085469705671728</v>
      </c>
      <c r="O11" s="50">
        <f>AVERAGE(O7:O10)</f>
        <v>3.3125513067151688</v>
      </c>
      <c r="P11" s="95"/>
      <c r="Q11" s="95"/>
      <c r="R11" s="95"/>
      <c r="S11" s="6"/>
      <c r="T11" s="13">
        <v>0</v>
      </c>
      <c r="U11" s="14">
        <v>564.52</v>
      </c>
      <c r="V11" s="15"/>
      <c r="W11" s="15"/>
      <c r="X11" s="96">
        <f>AVERAGE(X7:X10)</f>
        <v>0.38125000000000003</v>
      </c>
      <c r="Y11" s="70" t="s">
        <v>107</v>
      </c>
      <c r="Z11" s="96">
        <f>AVERAGE(Z7:Z10)</f>
        <v>13.232250000000001</v>
      </c>
      <c r="AA11" s="30"/>
      <c r="AB11" s="72">
        <f>J11</f>
        <v>2.0085469705671728</v>
      </c>
      <c r="AC11" s="73">
        <f>AB11/($D$4/$D$2)</f>
        <v>3.312551306715168</v>
      </c>
      <c r="AD11" s="73">
        <f>AB11/Z11</f>
        <v>0.15179179433332748</v>
      </c>
      <c r="AE11" s="73">
        <f>AC11/Z11</f>
        <v>0.25033923230857696</v>
      </c>
      <c r="AF11" s="72">
        <f>N20</f>
        <v>0.12694993074442218</v>
      </c>
      <c r="AG11" s="72">
        <f>AF11/($D$4/$D$2)</f>
        <v>0.20936934268262952</v>
      </c>
      <c r="AH11" s="72">
        <f>AF11/Z18</f>
        <v>2.4939479393126995E-3</v>
      </c>
      <c r="AI11" s="72">
        <f>AG11/Z18</f>
        <v>4.1130880314524344E-3</v>
      </c>
      <c r="AJ11" s="73">
        <f>((AB11-AF11)/AB11)*100</f>
        <v>93.679513966826761</v>
      </c>
      <c r="AK11" s="73">
        <f>((AC11-AG11)/AC11)*100</f>
        <v>93.679513966826761</v>
      </c>
      <c r="AL11" s="73">
        <f>((AD11-AH11)/AD11)*100</f>
        <v>98.356994229980501</v>
      </c>
      <c r="AM11" s="73">
        <f>((AE11-AI11)/AE11)*100</f>
        <v>98.356994229980501</v>
      </c>
      <c r="AN11" s="72">
        <f>N29</f>
        <v>-0.53196391081962036</v>
      </c>
      <c r="AO11" s="72">
        <f>AN11/($D$4/$D$2)</f>
        <v>-0.87732961874087867</v>
      </c>
      <c r="AP11" s="72">
        <f>AN11/Z25</f>
        <v>-2.1845131770381427E-3</v>
      </c>
      <c r="AQ11" s="72">
        <f>AO11/Z25</f>
        <v>-3.6027596492258359E-3</v>
      </c>
      <c r="AR11" s="73">
        <f>((AB11-AN11)/AB11)*100</f>
        <v>126.48501223097632</v>
      </c>
      <c r="AS11" s="73">
        <f>((AC11-AO11)/AC11)*100</f>
        <v>126.48501223097632</v>
      </c>
      <c r="AT11" s="73">
        <f>((AD11-AP11)/AD11)*100</f>
        <v>101.43915103358027</v>
      </c>
      <c r="AU11" s="73">
        <f>((AE11-AQ11)/AE11)*100</f>
        <v>101.4391510335803</v>
      </c>
      <c r="AV11" s="72">
        <f>J11</f>
        <v>2.0085469705671728</v>
      </c>
      <c r="AW11" s="72">
        <f>AV11/($D$4/$D$2)</f>
        <v>3.312551306715168</v>
      </c>
      <c r="AX11" s="95">
        <f>M20</f>
        <v>2.3123867069486406</v>
      </c>
      <c r="AY11" s="95">
        <f>AX11/($D$4/$D$2)</f>
        <v>3.8136522172396616</v>
      </c>
      <c r="AZ11" s="95">
        <f>AX11/Z11</f>
        <v>0.17475385568959478</v>
      </c>
      <c r="BA11" s="73">
        <f>AY11/Z11</f>
        <v>0.28820890001622262</v>
      </c>
      <c r="BB11" s="72">
        <f>P21</f>
        <v>2.4423867069486405</v>
      </c>
      <c r="BC11" s="73">
        <f>BB11/($D$4/$D$2)</f>
        <v>4.0280518186347782</v>
      </c>
      <c r="BD11" s="73">
        <f>BB11/Z18</f>
        <v>4.7981005259956952E-2</v>
      </c>
      <c r="BE11" s="73">
        <f>BC11/Z18</f>
        <v>7.9131603094398373E-2</v>
      </c>
      <c r="BF11" s="72">
        <f>K20</f>
        <v>2.5132792358803737</v>
      </c>
      <c r="BG11" s="73">
        <f>BF11/($D$4/$D$2)</f>
        <v>4.1449697412875128</v>
      </c>
      <c r="BH11" s="73">
        <f>BF11/Z18</f>
        <v>4.9373698232731425E-2</v>
      </c>
      <c r="BI11" s="73">
        <f>BG11/Z18</f>
        <v>8.1428470926926275E-2</v>
      </c>
      <c r="BJ11" s="72">
        <f>J21</f>
        <v>3.5790916619867721</v>
      </c>
      <c r="BK11" s="73">
        <f>BJ11/($D$4/$D$2)</f>
        <v>5.9027371206657779</v>
      </c>
      <c r="BL11" s="73">
        <f>BJ11/Z18</f>
        <v>7.0311722288319251E-2</v>
      </c>
      <c r="BM11" s="73">
        <f>BK11/Z18</f>
        <v>0.11596004024630631</v>
      </c>
      <c r="BN11" s="95">
        <f>M29</f>
        <v>6.4979859013091641</v>
      </c>
      <c r="BO11" s="95">
        <f>BN11/($D$4/$D$2)</f>
        <v>10.716658362398274</v>
      </c>
      <c r="BP11" s="95">
        <f>BN11/Z25</f>
        <v>2.6684020357221557E-2</v>
      </c>
      <c r="BQ11" s="73">
        <f>BO11/Z25</f>
        <v>4.4008025601596092E-2</v>
      </c>
      <c r="BR11" s="72">
        <f>P30</f>
        <v>6.5413192346424971</v>
      </c>
      <c r="BS11" s="73">
        <f>BR11/($D$4/$D$2)</f>
        <v>10.788124896196646</v>
      </c>
      <c r="BT11" s="73">
        <f>BR11/Z25</f>
        <v>2.6861968965663435E-2</v>
      </c>
      <c r="BU11" s="73">
        <f>BS11/Z25</f>
        <v>4.4301503376355744E-2</v>
      </c>
      <c r="BV11" s="72">
        <f>K29</f>
        <v>5.8427843268440247</v>
      </c>
      <c r="BW11" s="73">
        <f>BV11/($D$4/$D$2)</f>
        <v>9.6360817747153575</v>
      </c>
      <c r="BX11" s="73">
        <f>BV11/Z25</f>
        <v>2.399343093202921E-2</v>
      </c>
      <c r="BY11" s="73">
        <f>BW11/Z25</f>
        <v>3.9570630984064117E-2</v>
      </c>
      <c r="BZ11" s="72">
        <f>J30</f>
        <v>5.8470169895691999</v>
      </c>
      <c r="CA11" s="73">
        <f>BZ11/($D$4/$D$2)</f>
        <v>9.643062399339339</v>
      </c>
      <c r="CB11" s="73">
        <f>BZ11/Z25</f>
        <v>2.4010812388381871E-2</v>
      </c>
      <c r="CC11" s="73">
        <f>CA11/Z25</f>
        <v>3.9599296963400102E-2</v>
      </c>
      <c r="CD11" s="13"/>
      <c r="CE11" s="97">
        <f>B11</f>
        <v>94.25</v>
      </c>
      <c r="CF11" s="13">
        <f>Z11</f>
        <v>13.232250000000001</v>
      </c>
      <c r="CG11" s="40">
        <f>((CE11/18)*CF11)/22.5</f>
        <v>3.0793569444444442</v>
      </c>
      <c r="CH11" s="40"/>
      <c r="CI11" s="40">
        <f>X28</f>
        <v>0</v>
      </c>
      <c r="CJ11" s="40">
        <f>X29</f>
        <v>0</v>
      </c>
      <c r="CK11" s="40">
        <f>X30</f>
        <v>0</v>
      </c>
      <c r="CL11" s="40">
        <f>X31</f>
        <v>0</v>
      </c>
      <c r="CM11" s="40">
        <f>X32</f>
        <v>0</v>
      </c>
      <c r="CN11" s="40">
        <f>X33</f>
        <v>0</v>
      </c>
      <c r="CO11" s="13">
        <f>X11</f>
        <v>0.38125000000000003</v>
      </c>
      <c r="CP11" s="13">
        <f>X18</f>
        <v>6.5000000000000002E-2</v>
      </c>
      <c r="CQ11" s="13">
        <f>X25</f>
        <v>2.98E-2</v>
      </c>
      <c r="CR11" s="13"/>
      <c r="CS11" s="13"/>
      <c r="CT11" s="13"/>
      <c r="CU11" s="13"/>
    </row>
    <row r="12" spans="1:99" ht="14.1" customHeight="1" thickBot="1">
      <c r="B12" s="98"/>
      <c r="C12" s="65"/>
      <c r="D12" s="99"/>
      <c r="E12" s="13"/>
      <c r="F12" s="13"/>
      <c r="G12" s="13"/>
      <c r="H12" s="13"/>
      <c r="I12" s="13"/>
      <c r="J12" s="6" t="s">
        <v>108</v>
      </c>
      <c r="K12" s="13"/>
      <c r="L12" s="13"/>
      <c r="M12" s="12" t="s">
        <v>39</v>
      </c>
      <c r="N12" s="13"/>
      <c r="O12" s="13"/>
      <c r="P12" s="13"/>
      <c r="Q12" s="30"/>
      <c r="R12" s="30"/>
      <c r="U12" s="14">
        <v>508.11</v>
      </c>
      <c r="V12" s="15"/>
      <c r="W12" s="15"/>
      <c r="Y12" s="70"/>
      <c r="Z12" s="96"/>
      <c r="AA12" s="30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30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40"/>
      <c r="CG12" s="40"/>
      <c r="CH12" s="40"/>
      <c r="CI12" s="40"/>
      <c r="CJ12" s="40"/>
      <c r="CK12" s="40"/>
      <c r="CL12" s="40"/>
      <c r="CM12" s="40"/>
      <c r="CN12" s="40"/>
    </row>
    <row r="13" spans="1:99" ht="14.1" customHeight="1" thickBot="1">
      <c r="B13" s="98"/>
      <c r="C13" s="65"/>
      <c r="D13" s="99"/>
      <c r="E13" s="13"/>
      <c r="F13" s="13"/>
      <c r="G13" s="13"/>
      <c r="H13" s="13"/>
      <c r="I13" s="13"/>
      <c r="J13" s="6"/>
      <c r="K13" s="13"/>
      <c r="L13" s="13"/>
      <c r="M13" s="100" t="s">
        <v>32</v>
      </c>
      <c r="N13" s="101"/>
      <c r="O13" s="101"/>
      <c r="P13" s="101"/>
      <c r="Q13" s="30"/>
      <c r="R13" s="102" t="s">
        <v>25</v>
      </c>
      <c r="S13" s="103" t="s">
        <v>109</v>
      </c>
      <c r="T13" s="13">
        <v>30</v>
      </c>
      <c r="U13" s="14">
        <v>516.22</v>
      </c>
      <c r="V13" s="15"/>
      <c r="W13" s="15"/>
      <c r="X13" s="69">
        <v>6.6000000000000003E-2</v>
      </c>
      <c r="Y13" s="30">
        <v>90</v>
      </c>
      <c r="Z13" s="71">
        <v>51.082000000000001</v>
      </c>
      <c r="AA13" s="40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19"/>
      <c r="AY13" s="74"/>
      <c r="AZ13" s="74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40"/>
      <c r="CG13" s="40"/>
      <c r="CH13" s="40"/>
      <c r="CI13" s="40"/>
      <c r="CJ13" s="40"/>
      <c r="CK13" s="40"/>
      <c r="CL13" s="40"/>
      <c r="CM13" s="40"/>
      <c r="CN13" s="40"/>
    </row>
    <row r="14" spans="1:99" ht="14.1" customHeight="1">
      <c r="A14" s="12">
        <v>90</v>
      </c>
      <c r="B14" s="75">
        <v>102</v>
      </c>
      <c r="C14" s="65"/>
      <c r="D14" s="104">
        <f>AVERAGE(U17:U18)</f>
        <v>502.5</v>
      </c>
      <c r="E14" s="78">
        <f>D14-$E$5</f>
        <v>474.43</v>
      </c>
      <c r="F14" s="78"/>
      <c r="G14" s="78">
        <f t="shared" ref="G14:G27" si="0">($E14*7.1425)</f>
        <v>3388.6162749999999</v>
      </c>
      <c r="H14" s="78">
        <f t="shared" ref="H14:H27" si="1">($G14/($B14*0.01))</f>
        <v>3322.1728186274509</v>
      </c>
      <c r="I14" s="33">
        <f>$C$15*A14+$C$16</f>
        <v>3305.9377560714288</v>
      </c>
      <c r="J14" s="105" t="s">
        <v>110</v>
      </c>
      <c r="K14" s="106" t="s">
        <v>111</v>
      </c>
      <c r="L14" s="13"/>
      <c r="M14" s="107">
        <f>(((S14/60)*$J$1)/$D$2)</f>
        <v>2.0166163141993958</v>
      </c>
      <c r="N14" s="101"/>
      <c r="O14" s="101"/>
      <c r="P14" s="101"/>
      <c r="Q14" s="30"/>
      <c r="R14" s="108">
        <v>90</v>
      </c>
      <c r="S14" s="109">
        <v>45</v>
      </c>
      <c r="U14" s="14">
        <v>533.35</v>
      </c>
      <c r="V14" s="15"/>
      <c r="W14" s="110"/>
      <c r="X14" s="69">
        <v>7.3999999999999996E-2</v>
      </c>
      <c r="Y14" s="30">
        <v>100</v>
      </c>
      <c r="Z14" s="71">
        <v>50.863</v>
      </c>
      <c r="AA14" s="40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19"/>
      <c r="AY14" s="74"/>
      <c r="AZ14" s="74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40"/>
      <c r="CG14" s="40"/>
      <c r="CH14" s="40"/>
      <c r="CI14" s="40"/>
      <c r="CJ14" s="40"/>
      <c r="CK14" s="40"/>
      <c r="CL14" s="40"/>
      <c r="CM14" s="40"/>
      <c r="CN14" s="40"/>
    </row>
    <row r="15" spans="1:99" s="115" customFormat="1" ht="14.1" customHeight="1">
      <c r="A15" s="12">
        <v>100</v>
      </c>
      <c r="B15" s="75">
        <v>102</v>
      </c>
      <c r="C15" s="65">
        <f>SLOPE(G15:G18,A15:A18)</f>
        <v>-20.384082785714291</v>
      </c>
      <c r="D15" s="104">
        <f>AVERAGE(U19:U20)</f>
        <v>465.75</v>
      </c>
      <c r="E15" s="66">
        <f>D15-$E$5</f>
        <v>437.68</v>
      </c>
      <c r="F15" s="111">
        <v>180</v>
      </c>
      <c r="G15" s="112">
        <f t="shared" si="0"/>
        <v>3126.1294000000003</v>
      </c>
      <c r="H15" s="78">
        <f t="shared" si="1"/>
        <v>3064.8327450980396</v>
      </c>
      <c r="I15" s="33">
        <f>$C$15*A15+$C$16</f>
        <v>3102.096928214286</v>
      </c>
      <c r="J15" s="113">
        <f>((($N$2-(130*$D$2*(((B15+B14)*0.01)/2))*((I15-I14)/(A15-A14))))/((I15+I14)/2))/$D$2</f>
        <v>3.0533598853683364</v>
      </c>
      <c r="K15" s="114">
        <f>$N$2/H15/$D$2</f>
        <v>2.3101060436207526</v>
      </c>
      <c r="L15" s="114">
        <f>J15/($D$4/$D$2)</f>
        <v>5.0356857102985524</v>
      </c>
      <c r="M15" s="107">
        <f>(((S15/60)*$J$1)/$D$2)</f>
        <v>2.0166163141993958</v>
      </c>
      <c r="N15" s="19">
        <f>K15-M15</f>
        <v>0.29348972942135676</v>
      </c>
      <c r="O15" s="74">
        <f>N15/($D$4/$D$2)</f>
        <v>0.48403139231922815</v>
      </c>
      <c r="P15" s="74"/>
      <c r="Q15" s="30"/>
      <c r="R15" s="108">
        <v>100</v>
      </c>
      <c r="S15" s="109">
        <v>45</v>
      </c>
      <c r="T15" s="13">
        <v>60</v>
      </c>
      <c r="U15" s="14">
        <v>422.35</v>
      </c>
      <c r="V15" s="15"/>
      <c r="W15" s="110"/>
      <c r="X15" s="69">
        <v>6.6000000000000003E-2</v>
      </c>
      <c r="Y15" s="30">
        <v>110</v>
      </c>
      <c r="Z15" s="71">
        <v>49.575000000000003</v>
      </c>
      <c r="AA15" s="40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19"/>
      <c r="AY15" s="74"/>
      <c r="AZ15" s="74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40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40"/>
      <c r="CH15" s="40"/>
      <c r="CI15" s="40"/>
      <c r="CJ15" s="40"/>
      <c r="CK15" s="40"/>
      <c r="CL15" s="40"/>
      <c r="CM15" s="40"/>
      <c r="CN15" s="40"/>
      <c r="CO15" s="13"/>
      <c r="CP15" s="13"/>
      <c r="CQ15" s="13"/>
      <c r="CR15" s="13"/>
      <c r="CS15" s="13"/>
      <c r="CT15" s="13"/>
      <c r="CU15" s="13"/>
    </row>
    <row r="16" spans="1:99" ht="14.1" customHeight="1">
      <c r="A16" s="12">
        <v>110</v>
      </c>
      <c r="B16" s="75">
        <v>106</v>
      </c>
      <c r="C16" s="65">
        <f>INTERCEPT(G15:G18,A15:A18)</f>
        <v>5140.505206785715</v>
      </c>
      <c r="D16" s="104">
        <f>AVERAGE(U21:U22)</f>
        <v>429.88</v>
      </c>
      <c r="E16" s="66">
        <f>D16-$E$5</f>
        <v>401.81</v>
      </c>
      <c r="F16" s="116">
        <v>210</v>
      </c>
      <c r="G16" s="66">
        <f t="shared" si="0"/>
        <v>2869.927925</v>
      </c>
      <c r="H16" s="78">
        <f t="shared" si="1"/>
        <v>2707.4791745283019</v>
      </c>
      <c r="I16" s="33">
        <f>$C$15*A16+$C$16</f>
        <v>2898.2561003571432</v>
      </c>
      <c r="J16" s="113">
        <f>((($N$2-(130*$D$2*(((B16+B15)*0.01)/2))*((I16-I15)/(A16-A15))))/((I16+I15)/2))/$D$2</f>
        <v>3.2784793137773436</v>
      </c>
      <c r="K16" s="67">
        <f>$N$2/H16/$D$2</f>
        <v>2.615011304148354</v>
      </c>
      <c r="L16" s="67">
        <f>J16/($D$4/$D$2)</f>
        <v>5.4069589081230731</v>
      </c>
      <c r="M16" s="107">
        <f>(((S16/60)*$J$1)/$D$2)</f>
        <v>2.5095669687814701</v>
      </c>
      <c r="N16" s="19">
        <f>K16-M16</f>
        <v>0.10544433536688391</v>
      </c>
      <c r="O16" s="67">
        <f>N16/($D$4/$D$2)</f>
        <v>0.17390171901563814</v>
      </c>
      <c r="P16" s="67"/>
      <c r="Q16" s="30"/>
      <c r="R16" s="108">
        <v>110</v>
      </c>
      <c r="S16" s="109">
        <v>56</v>
      </c>
      <c r="U16" s="14">
        <v>431.28</v>
      </c>
      <c r="V16" s="15"/>
      <c r="W16" s="110"/>
      <c r="X16" s="69">
        <v>6.0999999999999999E-2</v>
      </c>
      <c r="Y16" s="30">
        <v>115</v>
      </c>
      <c r="Z16" s="71">
        <v>51.204999999999998</v>
      </c>
      <c r="AA16" s="40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19"/>
      <c r="AY16" s="74"/>
      <c r="AZ16" s="74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40"/>
    </row>
    <row r="17" spans="1:67" ht="14.1" customHeight="1">
      <c r="A17" s="12">
        <v>115</v>
      </c>
      <c r="B17" s="75">
        <v>100</v>
      </c>
      <c r="C17" s="65"/>
      <c r="D17" s="104">
        <f>AVERAGE(U23:U24)</f>
        <v>414.05</v>
      </c>
      <c r="E17" s="66">
        <f>D17-$E$5</f>
        <v>385.98</v>
      </c>
      <c r="F17" s="116">
        <v>220</v>
      </c>
      <c r="G17" s="66">
        <f t="shared" si="0"/>
        <v>2756.8621500000004</v>
      </c>
      <c r="H17" s="78">
        <f t="shared" si="1"/>
        <v>2756.8621500000004</v>
      </c>
      <c r="I17" s="33">
        <f>$C$15*A17+$C$16</f>
        <v>2796.3356864285715</v>
      </c>
      <c r="J17" s="113">
        <f>((($N$2-(130*$D$2*(((B17+B16)*0.01)/2))*((I17-I16)/(A17-A16))))/((I17+I16)/2))/$D$2</f>
        <v>3.4452047484449615</v>
      </c>
      <c r="K17" s="67">
        <f>$N$2/H17/$D$2</f>
        <v>2.5681692670552145</v>
      </c>
      <c r="L17" s="67">
        <f>J17/($D$4/$D$2)</f>
        <v>5.6819271137781877</v>
      </c>
      <c r="M17" s="107">
        <f>(((S17/60)*$J$1)/$D$2)</f>
        <v>2.5095669687814701</v>
      </c>
      <c r="N17" s="19">
        <f>K17-M17</f>
        <v>5.8602298273744413E-2</v>
      </c>
      <c r="O17" s="67">
        <f>N17/($D$4/$D$2)</f>
        <v>9.6648533774835094E-2</v>
      </c>
      <c r="P17" s="67"/>
      <c r="Q17" s="30"/>
      <c r="R17" s="108">
        <v>115</v>
      </c>
      <c r="S17" s="117">
        <v>56</v>
      </c>
      <c r="T17" s="40">
        <v>90</v>
      </c>
      <c r="U17" s="14">
        <v>498.63</v>
      </c>
      <c r="V17" s="15"/>
      <c r="W17" s="110"/>
      <c r="X17" s="69">
        <v>5.8000000000000003E-2</v>
      </c>
      <c r="Y17" s="30">
        <v>120</v>
      </c>
      <c r="Z17" s="71">
        <v>51.790999999999997</v>
      </c>
      <c r="AA17" s="40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19"/>
      <c r="AY17" s="74"/>
      <c r="AZ17" s="74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40"/>
    </row>
    <row r="18" spans="1:67" ht="14.1" customHeight="1">
      <c r="A18" s="12">
        <v>120</v>
      </c>
      <c r="B18" s="118">
        <v>99</v>
      </c>
      <c r="C18" s="65"/>
      <c r="D18" s="104">
        <f>AVERAGE(U25:U26)</f>
        <v>411.435</v>
      </c>
      <c r="E18" s="66">
        <f>D18-$E$5</f>
        <v>383.36500000000001</v>
      </c>
      <c r="F18" s="116">
        <v>225</v>
      </c>
      <c r="G18" s="66">
        <f t="shared" si="0"/>
        <v>2738.1845125</v>
      </c>
      <c r="H18" s="78">
        <f t="shared" si="1"/>
        <v>2765.8429419191921</v>
      </c>
      <c r="I18" s="33">
        <f>$C$15*A18+$C$16</f>
        <v>2694.4152724999999</v>
      </c>
      <c r="J18" s="113">
        <f>((($N$2-(130*$D$2*(((B18+B17)*0.01)/2))*((I18-I17)/(A18-A17))))/((I18+I17)/2))/$D$2</f>
        <v>3.5393227003564474</v>
      </c>
      <c r="K18" s="67">
        <f>$N$2/H18/$D$2</f>
        <v>2.5598303286971738</v>
      </c>
      <c r="L18" s="67">
        <f>J18/($D$4/$D$2)</f>
        <v>5.8371490474239369</v>
      </c>
      <c r="M18" s="107">
        <f>(((S18/60)*$J$1)/$D$2)</f>
        <v>2.5095669687814701</v>
      </c>
      <c r="N18" s="19">
        <f>K18-M18</f>
        <v>5.0263359915703631E-2</v>
      </c>
      <c r="O18" s="67">
        <f>N18/($D$4/$D$2)</f>
        <v>8.2895725620816652E-2</v>
      </c>
      <c r="P18" s="67"/>
      <c r="Q18" s="30"/>
      <c r="R18" s="108">
        <v>120</v>
      </c>
      <c r="S18" s="117">
        <v>56</v>
      </c>
      <c r="T18" s="30"/>
      <c r="U18" s="14">
        <v>506.37</v>
      </c>
      <c r="V18" s="15"/>
      <c r="W18" s="110"/>
      <c r="X18" s="96">
        <f>AVERAGE(X13:X17)</f>
        <v>6.5000000000000002E-2</v>
      </c>
      <c r="Y18" s="30" t="s">
        <v>107</v>
      </c>
      <c r="Z18" s="96">
        <f>AVERAGE(Z13:Z17)</f>
        <v>50.903199999999991</v>
      </c>
      <c r="AA18" s="30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5"/>
      <c r="AY18" s="95"/>
      <c r="AZ18" s="95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2"/>
      <c r="BO18" s="40"/>
    </row>
    <row r="19" spans="1:67" ht="14.1" customHeight="1" thickBot="1">
      <c r="A19" s="63"/>
      <c r="B19" s="98"/>
      <c r="C19" s="65"/>
      <c r="D19" s="99"/>
      <c r="E19" s="66"/>
      <c r="F19" s="63"/>
      <c r="G19" s="66"/>
      <c r="H19" s="66"/>
      <c r="I19" s="33"/>
      <c r="J19" s="113"/>
      <c r="K19" s="67"/>
      <c r="L19" s="67"/>
      <c r="M19" s="107"/>
      <c r="O19" s="67"/>
      <c r="P19" s="67"/>
      <c r="Q19" s="30"/>
      <c r="R19" s="108"/>
      <c r="S19" s="117"/>
      <c r="T19" s="41">
        <v>100</v>
      </c>
      <c r="U19" s="14">
        <v>477.24</v>
      </c>
      <c r="V19" s="15"/>
      <c r="W19" s="110"/>
      <c r="Y19" s="30"/>
      <c r="Z19" s="96"/>
      <c r="AA19" s="30"/>
      <c r="AB19" s="96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30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40"/>
    </row>
    <row r="20" spans="1:67" ht="14.1" customHeight="1" thickBot="1">
      <c r="A20" s="119" t="s">
        <v>112</v>
      </c>
      <c r="B20" s="120">
        <f>AVERAGE(B14:B19)</f>
        <v>101.8</v>
      </c>
      <c r="C20" s="121"/>
      <c r="D20" s="122">
        <f>AVERAGE(D14:D18)</f>
        <v>444.72300000000007</v>
      </c>
      <c r="E20" s="122">
        <f>AVERAGE(E14:E18)</f>
        <v>416.65300000000008</v>
      </c>
      <c r="F20" s="122"/>
      <c r="G20" s="122">
        <f>AVERAGE(G14:G18)</f>
        <v>2975.9440525</v>
      </c>
      <c r="H20" s="122">
        <f>AVERAGE(H14:H18)</f>
        <v>2923.4379660345971</v>
      </c>
      <c r="I20" s="122"/>
      <c r="J20" s="122">
        <f t="shared" ref="J20:O20" si="2">AVERAGE(J14:J18)</f>
        <v>3.3290916619867721</v>
      </c>
      <c r="K20" s="123">
        <f t="shared" si="2"/>
        <v>2.5132792358803737</v>
      </c>
      <c r="L20" s="122">
        <f t="shared" si="2"/>
        <v>5.4904301949059366</v>
      </c>
      <c r="M20" s="122">
        <f t="shared" si="2"/>
        <v>2.3123867069486406</v>
      </c>
      <c r="N20" s="123">
        <f t="shared" si="2"/>
        <v>0.12694993074442218</v>
      </c>
      <c r="O20" s="122">
        <f t="shared" si="2"/>
        <v>0.20936934268262952</v>
      </c>
      <c r="P20" s="124"/>
      <c r="Q20" s="30"/>
      <c r="R20" s="108"/>
      <c r="S20" s="117"/>
      <c r="T20" s="41"/>
      <c r="U20" s="14">
        <v>454.26</v>
      </c>
      <c r="V20" s="15"/>
      <c r="W20" s="110"/>
      <c r="X20" s="69">
        <v>0.03</v>
      </c>
      <c r="Y20" s="70">
        <v>210</v>
      </c>
      <c r="Z20" s="71">
        <v>264.61</v>
      </c>
      <c r="AA20" s="40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4"/>
      <c r="AY20" s="74"/>
      <c r="AZ20" s="74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40"/>
    </row>
    <row r="21" spans="1:67" ht="14.1" customHeight="1" thickBot="1">
      <c r="A21" s="70"/>
      <c r="B21" s="118"/>
      <c r="C21" s="36"/>
      <c r="D21" s="99"/>
      <c r="E21" s="33"/>
      <c r="F21" s="125" t="s">
        <v>113</v>
      </c>
      <c r="G21" s="33"/>
      <c r="H21" s="33"/>
      <c r="I21" s="126" t="s">
        <v>114</v>
      </c>
      <c r="J21" s="127">
        <f>J20-((B18-B15)*0.25*$D$2*10)/(30*$D$2)</f>
        <v>3.5790916619867721</v>
      </c>
      <c r="K21" s="74"/>
      <c r="L21" s="128" t="s">
        <v>33</v>
      </c>
      <c r="M21" s="129">
        <f>J21-M20</f>
        <v>1.2667049550381315</v>
      </c>
      <c r="N21" s="19"/>
      <c r="O21" s="74"/>
      <c r="P21" s="130">
        <f>$M$20-(((B18-B14)*1.3)/(A18-A14))</f>
        <v>2.4423867069486405</v>
      </c>
      <c r="Q21" s="30"/>
      <c r="R21" s="131"/>
      <c r="S21" s="117"/>
      <c r="T21" s="41">
        <v>110</v>
      </c>
      <c r="U21" s="14">
        <v>416.41</v>
      </c>
      <c r="V21" s="15"/>
      <c r="W21" s="110"/>
      <c r="X21" s="69">
        <v>2.8000000000000001E-2</v>
      </c>
      <c r="Y21" s="70">
        <v>220</v>
      </c>
      <c r="Z21" s="71">
        <v>238.37</v>
      </c>
      <c r="AA21" s="40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4"/>
      <c r="AY21" s="74"/>
      <c r="AZ21" s="74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40"/>
    </row>
    <row r="22" spans="1:67" ht="14.1" customHeight="1" thickBot="1">
      <c r="A22" s="63"/>
      <c r="B22" s="98"/>
      <c r="C22" s="65"/>
      <c r="D22" s="99"/>
      <c r="E22" s="66"/>
      <c r="F22" s="63"/>
      <c r="G22" s="66"/>
      <c r="H22" s="66"/>
      <c r="I22" s="33"/>
      <c r="J22" s="132"/>
      <c r="K22" s="67"/>
      <c r="L22" s="133"/>
      <c r="M22" s="134"/>
      <c r="N22" s="101"/>
      <c r="O22" s="133"/>
      <c r="P22" s="133"/>
      <c r="Q22" s="30"/>
      <c r="R22" s="102" t="s">
        <v>25</v>
      </c>
      <c r="S22" s="103" t="s">
        <v>109</v>
      </c>
      <c r="T22" s="30"/>
      <c r="U22" s="14">
        <v>443.35</v>
      </c>
      <c r="V22" s="15"/>
      <c r="W22" s="110"/>
      <c r="X22" s="69">
        <v>3.3000000000000002E-2</v>
      </c>
      <c r="Y22" s="70">
        <v>230</v>
      </c>
      <c r="Z22" s="71">
        <v>247.15</v>
      </c>
      <c r="AA22" s="40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4"/>
      <c r="AY22" s="74"/>
      <c r="AZ22" s="74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40"/>
    </row>
    <row r="23" spans="1:67" ht="14.1" customHeight="1">
      <c r="A23" s="63">
        <v>210</v>
      </c>
      <c r="B23" s="75">
        <v>101</v>
      </c>
      <c r="C23" s="65"/>
      <c r="D23" s="104">
        <f>AVERAGE(U31:U32)</f>
        <v>225.41</v>
      </c>
      <c r="E23" s="78">
        <f>D23-$E$5</f>
        <v>197.34</v>
      </c>
      <c r="F23" s="78"/>
      <c r="G23" s="78">
        <f t="shared" si="0"/>
        <v>1409.5009500000001</v>
      </c>
      <c r="H23" s="78">
        <f t="shared" si="1"/>
        <v>1395.545495049505</v>
      </c>
      <c r="I23" s="33">
        <f>$C$24*A23+$C$25</f>
        <v>1242.154215714286</v>
      </c>
      <c r="J23" s="105" t="s">
        <v>110</v>
      </c>
      <c r="K23" s="106" t="s">
        <v>111</v>
      </c>
      <c r="L23" s="67"/>
      <c r="M23" s="19">
        <f>(((S23/60)*$J$1)/$D$2)</f>
        <v>6.9909365558912384</v>
      </c>
      <c r="N23" s="101"/>
      <c r="O23" s="133"/>
      <c r="P23" s="133"/>
      <c r="Q23" s="30"/>
      <c r="R23" s="131">
        <v>210</v>
      </c>
      <c r="S23" s="117">
        <v>156</v>
      </c>
      <c r="T23" s="13">
        <v>115</v>
      </c>
      <c r="U23" s="14">
        <v>412.24</v>
      </c>
      <c r="V23" s="15"/>
      <c r="W23" s="110"/>
      <c r="X23" s="69">
        <v>2.8000000000000001E-2</v>
      </c>
      <c r="Y23" s="70">
        <v>235</v>
      </c>
      <c r="Z23" s="71">
        <v>236.13</v>
      </c>
      <c r="AA23" s="40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4"/>
      <c r="AY23" s="74"/>
      <c r="AZ23" s="74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40"/>
    </row>
    <row r="24" spans="1:67" ht="14.1" customHeight="1">
      <c r="A24" s="63">
        <v>220</v>
      </c>
      <c r="B24" s="75">
        <v>99</v>
      </c>
      <c r="C24" s="65">
        <f>SLOPE(G24:G27,A24:A27)</f>
        <v>-1.4395198571428605</v>
      </c>
      <c r="D24" s="104">
        <f>AVERAGE(U33:U34)</f>
        <v>203.11500000000001</v>
      </c>
      <c r="E24" s="66">
        <f>D24-$E$5</f>
        <v>175.04500000000002</v>
      </c>
      <c r="F24" s="111">
        <v>180</v>
      </c>
      <c r="G24" s="112">
        <f t="shared" si="0"/>
        <v>1250.2589125000002</v>
      </c>
      <c r="H24" s="112">
        <f t="shared" si="1"/>
        <v>1262.8877904040405</v>
      </c>
      <c r="I24" s="33">
        <f>$C$24*A24+$C$25</f>
        <v>1227.7590171428574</v>
      </c>
      <c r="J24" s="113">
        <f>((($N$2-(130*$D$2*(((B24+B23)*0.01)/2))*((I24-I23)/(A24-A23))))/((I24+I23)/2))/$D$2</f>
        <v>5.8846004239264413</v>
      </c>
      <c r="K24" s="114">
        <f>$N$2/H24/$D$2</f>
        <v>5.6062689820388583</v>
      </c>
      <c r="L24" s="114">
        <f>J24/($D$4/$D$2)</f>
        <v>9.7050460404566632</v>
      </c>
      <c r="M24" s="107">
        <f>(((S24/60)*$J$1)/$D$2)</f>
        <v>6.0050352467270898</v>
      </c>
      <c r="N24" s="19">
        <f>K24-M24</f>
        <v>-0.39876626468823151</v>
      </c>
      <c r="O24" s="74">
        <f>N24/($D$4/$D$2)</f>
        <v>-0.65765637076135841</v>
      </c>
      <c r="P24" s="74"/>
      <c r="Q24" s="30"/>
      <c r="R24" s="131">
        <v>220</v>
      </c>
      <c r="S24" s="117">
        <v>134</v>
      </c>
      <c r="U24" s="14">
        <v>415.86</v>
      </c>
      <c r="V24" s="15"/>
      <c r="W24" s="110"/>
      <c r="X24" s="69">
        <v>0.03</v>
      </c>
      <c r="Y24" s="70">
        <v>240</v>
      </c>
      <c r="Z24" s="71">
        <v>231.32</v>
      </c>
      <c r="AA24" s="40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4"/>
      <c r="AY24" s="74"/>
      <c r="AZ24" s="74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40"/>
    </row>
    <row r="25" spans="1:67" ht="14.1" customHeight="1">
      <c r="A25" s="63">
        <v>230</v>
      </c>
      <c r="B25" s="75">
        <v>100</v>
      </c>
      <c r="C25" s="65">
        <f>INTERCEPT(G24:G27,A24:A27)</f>
        <v>1544.4533857142867</v>
      </c>
      <c r="D25" s="104">
        <f>AVERAGE(U35:U36)</f>
        <v>186.55500000000001</v>
      </c>
      <c r="E25" s="66">
        <f>D25-$E$5</f>
        <v>158.48500000000001</v>
      </c>
      <c r="F25" s="111">
        <v>180</v>
      </c>
      <c r="G25" s="112">
        <f t="shared" si="0"/>
        <v>1131.9791125000002</v>
      </c>
      <c r="H25" s="112">
        <f t="shared" si="1"/>
        <v>1131.9791125000002</v>
      </c>
      <c r="I25" s="33">
        <f>$C$24*A25+$C$25</f>
        <v>1213.3638185714287</v>
      </c>
      <c r="J25" s="113">
        <f>((($N$2-(130*$D$2*(((B25+B24)*0.01)/2))*((I25-I24)/(A25-A24))))/((I25+I24)/2))/$D$2</f>
        <v>5.953236301222864</v>
      </c>
      <c r="K25" s="114">
        <f>$N$2/H25/$D$2</f>
        <v>6.2546106804932435</v>
      </c>
      <c r="L25" s="114">
        <f>J25/($D$4/$D$2)</f>
        <v>9.8182422307163328</v>
      </c>
      <c r="M25" s="107">
        <f>(((S25/60)*$J$1)/$D$2)</f>
        <v>6.4979859013091632</v>
      </c>
      <c r="N25" s="19">
        <f>K25-M25</f>
        <v>-0.24337522081591967</v>
      </c>
      <c r="O25" s="114">
        <f>N25/($D$4/$D$2)</f>
        <v>-0.40138115640293681</v>
      </c>
      <c r="P25" s="74"/>
      <c r="Q25" s="30"/>
      <c r="R25" s="131">
        <v>230</v>
      </c>
      <c r="S25" s="117">
        <v>145</v>
      </c>
      <c r="T25" s="13">
        <v>120</v>
      </c>
      <c r="U25" s="14">
        <v>418.97</v>
      </c>
      <c r="V25" s="15"/>
      <c r="W25" s="110"/>
      <c r="X25" s="96">
        <f>AVERAGE(X20:X24)</f>
        <v>2.98E-2</v>
      </c>
      <c r="Y25" s="57" t="s">
        <v>107</v>
      </c>
      <c r="Z25" s="96">
        <f>AVERAGE(Z20:Z24)</f>
        <v>243.51599999999999</v>
      </c>
      <c r="AA25" s="30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5"/>
      <c r="AY25" s="95"/>
      <c r="AZ25" s="95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40"/>
    </row>
    <row r="26" spans="1:67" ht="14.1" customHeight="1">
      <c r="A26" s="63">
        <v>235</v>
      </c>
      <c r="B26" s="75">
        <v>100</v>
      </c>
      <c r="C26" s="65"/>
      <c r="D26" s="104">
        <f>AVERAGE(U37:U38)</f>
        <v>207.13</v>
      </c>
      <c r="E26" s="66">
        <f>D26-$E$5</f>
        <v>179.06</v>
      </c>
      <c r="F26" s="111">
        <v>180</v>
      </c>
      <c r="G26" s="112">
        <f t="shared" si="0"/>
        <v>1278.93605</v>
      </c>
      <c r="H26" s="112">
        <f t="shared" si="1"/>
        <v>1278.93605</v>
      </c>
      <c r="I26" s="33">
        <f>$C$24*A26+$C$25</f>
        <v>1206.1662192857145</v>
      </c>
      <c r="J26" s="113">
        <f>((($N$2-(130*$D$2*(((B26+B25)*0.01)/2))*((I26-I25)/(A26-A25))))/((I26+I25)/2))/$D$2</f>
        <v>6.0071386714442712</v>
      </c>
      <c r="K26" s="114">
        <f>$N$2/H26/$D$2</f>
        <v>5.5359207734724221</v>
      </c>
      <c r="L26" s="114">
        <f>J26/($D$4/$D$2)</f>
        <v>9.907139512944962</v>
      </c>
      <c r="M26" s="107">
        <f>(((S26/60)*$J$1)/$D$2)</f>
        <v>6.4979859013091632</v>
      </c>
      <c r="N26" s="19">
        <f>K26-M26</f>
        <v>-0.96206512783674114</v>
      </c>
      <c r="O26" s="114">
        <f>N26/($D$4/$D$2)</f>
        <v>-1.5866644609564591</v>
      </c>
      <c r="P26" s="74"/>
      <c r="Q26" s="30"/>
      <c r="R26" s="131">
        <v>235</v>
      </c>
      <c r="S26" s="117">
        <v>145</v>
      </c>
      <c r="U26" s="14">
        <v>403.9</v>
      </c>
      <c r="V26" s="15"/>
      <c r="W26" s="11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</row>
    <row r="27" spans="1:67" ht="14.1" customHeight="1">
      <c r="A27" s="63">
        <v>240</v>
      </c>
      <c r="B27" s="118">
        <v>100</v>
      </c>
      <c r="C27" s="65"/>
      <c r="D27" s="104">
        <f>AVERAGE(U39:U40)</f>
        <v>193.99</v>
      </c>
      <c r="E27" s="66">
        <f>D27-$E$5</f>
        <v>165.92000000000002</v>
      </c>
      <c r="F27" s="111">
        <v>180</v>
      </c>
      <c r="G27" s="112">
        <f t="shared" si="0"/>
        <v>1185.0836000000002</v>
      </c>
      <c r="H27" s="112">
        <f t="shared" si="1"/>
        <v>1185.0836000000002</v>
      </c>
      <c r="I27" s="33">
        <f>$C$24*A27+$C$25</f>
        <v>1198.9686200000001</v>
      </c>
      <c r="J27" s="113">
        <f>((($N$2-(130*$D$2*(((B27+B26)*0.01)/2))*((I27-I26)/(A27-A26))))/((I27+I26)/2))/$D$2</f>
        <v>6.0430925616832241</v>
      </c>
      <c r="K27" s="114">
        <f>$N$2/H27/$D$2</f>
        <v>5.9743368713715741</v>
      </c>
      <c r="L27" s="114">
        <f>J27/($D$4/$D$2)</f>
        <v>9.9664356647590804</v>
      </c>
      <c r="M27" s="107">
        <f>(((S27/60)*$J$1)/$D$2)</f>
        <v>6.4979859013091632</v>
      </c>
      <c r="N27" s="19">
        <f>K27-M27</f>
        <v>-0.52364902993758911</v>
      </c>
      <c r="O27" s="114">
        <f>N27/($D$4/$D$2)</f>
        <v>-0.86361648684276038</v>
      </c>
      <c r="P27" s="74"/>
      <c r="Q27" s="30"/>
      <c r="R27" s="131">
        <v>240</v>
      </c>
      <c r="S27" s="117">
        <v>145</v>
      </c>
      <c r="T27" s="13">
        <v>150</v>
      </c>
      <c r="U27" s="14">
        <v>301.01</v>
      </c>
      <c r="V27" s="15"/>
      <c r="W27" s="11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</row>
    <row r="28" spans="1:67" ht="14.1" customHeight="1" thickBot="1">
      <c r="A28" s="63"/>
      <c r="B28" s="118"/>
      <c r="C28" s="65"/>
      <c r="D28" s="99"/>
      <c r="E28" s="66"/>
      <c r="F28" s="135"/>
      <c r="G28" s="112"/>
      <c r="H28" s="112"/>
      <c r="I28" s="33"/>
      <c r="J28" s="113"/>
      <c r="K28" s="114"/>
      <c r="L28" s="114"/>
      <c r="M28" s="107"/>
      <c r="N28" s="107"/>
      <c r="O28" s="114"/>
      <c r="P28" s="74"/>
      <c r="Q28" s="30"/>
      <c r="R28" s="108"/>
      <c r="S28" s="117"/>
      <c r="U28" s="14">
        <v>288.93</v>
      </c>
      <c r="V28" s="15"/>
      <c r="W28" s="110"/>
      <c r="X28" s="69"/>
      <c r="Y28" s="13" t="s">
        <v>115</v>
      </c>
    </row>
    <row r="29" spans="1:67" ht="14.1" customHeight="1" thickBot="1">
      <c r="A29" s="119" t="s">
        <v>112</v>
      </c>
      <c r="B29" s="122">
        <f>AVERAGE(B23:B28)</f>
        <v>100</v>
      </c>
      <c r="C29" s="121"/>
      <c r="D29" s="122">
        <f>AVERAGE(D23:D28)</f>
        <v>203.23999999999998</v>
      </c>
      <c r="E29" s="122">
        <f>AVERAGE(E23:E28)</f>
        <v>175.17000000000002</v>
      </c>
      <c r="F29" s="122">
        <f>AVERAGE(F24:F28)</f>
        <v>180</v>
      </c>
      <c r="G29" s="122">
        <f>AVERAGE(G23:G28)</f>
        <v>1251.1517250000002</v>
      </c>
      <c r="H29" s="122">
        <f>AVERAGE(H23:H28)</f>
        <v>1250.886409590709</v>
      </c>
      <c r="I29" s="122"/>
      <c r="J29" s="122">
        <f t="shared" ref="J29:O29" si="3">AVERAGE(J23:J28)</f>
        <v>5.9720169895691999</v>
      </c>
      <c r="K29" s="123">
        <f t="shared" si="3"/>
        <v>5.8427843268440247</v>
      </c>
      <c r="L29" s="122">
        <f t="shared" si="3"/>
        <v>9.8492158622192587</v>
      </c>
      <c r="M29" s="122">
        <f t="shared" si="3"/>
        <v>6.4979859013091641</v>
      </c>
      <c r="N29" s="123">
        <f t="shared" si="3"/>
        <v>-0.53196391081962036</v>
      </c>
      <c r="O29" s="122">
        <f t="shared" si="3"/>
        <v>-0.87732961874087867</v>
      </c>
      <c r="P29" s="122"/>
      <c r="Q29" s="136"/>
      <c r="R29" s="137"/>
      <c r="S29" s="138"/>
      <c r="T29" s="13">
        <v>180</v>
      </c>
      <c r="U29" s="14">
        <v>230.61</v>
      </c>
      <c r="V29" s="15"/>
      <c r="W29" s="110"/>
      <c r="X29" s="69"/>
      <c r="Y29" s="13" t="s">
        <v>116</v>
      </c>
    </row>
    <row r="30" spans="1:67" ht="14.1" customHeight="1">
      <c r="A30" s="70"/>
      <c r="B30" s="139"/>
      <c r="C30" s="36"/>
      <c r="D30" s="99"/>
      <c r="E30" s="33"/>
      <c r="F30" s="125" t="s">
        <v>117</v>
      </c>
      <c r="G30" s="33"/>
      <c r="H30" s="33"/>
      <c r="I30" s="140" t="s">
        <v>114</v>
      </c>
      <c r="J30" s="141">
        <f>J29-((B27-B24)*0.25*$D$2*10)/(20*$D$2)</f>
        <v>5.8470169895691999</v>
      </c>
      <c r="K30" s="74"/>
      <c r="L30" s="142" t="s">
        <v>33</v>
      </c>
      <c r="M30" s="143">
        <f>J30-M29</f>
        <v>-0.65096891173996418</v>
      </c>
      <c r="N30" s="19">
        <f>AVERAGE(J24:J25)-M29</f>
        <v>-0.57906753873451144</v>
      </c>
      <c r="O30" s="74"/>
      <c r="P30" s="130">
        <f>$M$29-(((B27-B23)*1.3)/(A27-A23))</f>
        <v>6.5413192346424971</v>
      </c>
      <c r="Q30" s="30"/>
      <c r="R30" s="63"/>
      <c r="S30" s="144"/>
      <c r="U30" s="14">
        <v>247.78</v>
      </c>
      <c r="V30" s="15"/>
      <c r="W30" s="110"/>
      <c r="X30" s="69"/>
      <c r="Y30" s="13" t="s">
        <v>118</v>
      </c>
    </row>
    <row r="31" spans="1:67" ht="14.1" customHeight="1">
      <c r="A31" s="145"/>
      <c r="B31" s="139"/>
      <c r="C31" s="146"/>
      <c r="D31" s="147"/>
      <c r="E31" s="148"/>
      <c r="F31" s="145"/>
      <c r="G31" s="148"/>
      <c r="H31" s="148"/>
      <c r="I31" s="148"/>
      <c r="J31" s="149"/>
      <c r="K31" s="150"/>
      <c r="L31" s="133"/>
      <c r="M31" s="134"/>
      <c r="N31" s="101"/>
      <c r="O31" s="150"/>
      <c r="P31" s="150"/>
      <c r="Q31" s="96"/>
      <c r="R31" s="151"/>
      <c r="S31" s="101" t="s">
        <v>32</v>
      </c>
      <c r="T31" s="13">
        <v>210</v>
      </c>
      <c r="U31" s="14">
        <v>230.84</v>
      </c>
      <c r="V31" s="15"/>
      <c r="W31" s="110"/>
      <c r="X31" s="69"/>
      <c r="Y31" s="13" t="s">
        <v>119</v>
      </c>
    </row>
    <row r="32" spans="1:67" ht="14.1" customHeight="1">
      <c r="A32" s="145"/>
      <c r="B32" s="148"/>
      <c r="C32" s="146"/>
      <c r="D32" s="147"/>
      <c r="E32" s="148"/>
      <c r="F32" s="148"/>
      <c r="G32" s="148"/>
      <c r="H32" s="148"/>
      <c r="I32" s="148"/>
      <c r="J32" s="152"/>
      <c r="K32" s="153"/>
      <c r="L32" s="58"/>
      <c r="M32" s="124"/>
      <c r="N32" s="101"/>
      <c r="O32" s="150"/>
      <c r="P32" s="150"/>
      <c r="Q32" s="96"/>
      <c r="R32" s="145"/>
      <c r="S32" s="58"/>
      <c r="U32" s="14">
        <v>219.98</v>
      </c>
      <c r="V32" s="15"/>
      <c r="W32" s="110"/>
      <c r="X32" s="69"/>
      <c r="Y32" s="13" t="s">
        <v>120</v>
      </c>
    </row>
    <row r="33" spans="1:99" ht="14.1" customHeight="1">
      <c r="A33" s="145"/>
      <c r="B33" s="148"/>
      <c r="C33" s="146"/>
      <c r="D33" s="147"/>
      <c r="E33" s="148"/>
      <c r="F33" s="145"/>
      <c r="G33" s="148"/>
      <c r="H33" s="148"/>
      <c r="I33" s="148"/>
      <c r="J33" s="149"/>
      <c r="K33" s="150"/>
      <c r="L33" s="150"/>
      <c r="M33" s="124"/>
      <c r="N33" s="124"/>
      <c r="O33" s="150"/>
      <c r="P33" s="150"/>
      <c r="Q33" s="96"/>
      <c r="R33" s="145"/>
      <c r="S33" s="58"/>
      <c r="T33" s="13">
        <v>220</v>
      </c>
      <c r="U33" s="14">
        <v>211.22</v>
      </c>
      <c r="V33" s="15"/>
      <c r="W33" s="110"/>
      <c r="X33" s="69"/>
      <c r="Y33" s="20" t="s">
        <v>121</v>
      </c>
    </row>
    <row r="34" spans="1:99" ht="14.1" customHeight="1">
      <c r="A34" s="145"/>
      <c r="B34" s="148"/>
      <c r="C34" s="146"/>
      <c r="D34" s="147"/>
      <c r="E34" s="148"/>
      <c r="F34" s="145"/>
      <c r="G34" s="148"/>
      <c r="H34" s="148"/>
      <c r="I34" s="148"/>
      <c r="J34" s="149"/>
      <c r="K34" s="150"/>
      <c r="L34" s="150"/>
      <c r="M34" s="124"/>
      <c r="N34" s="124"/>
      <c r="O34" s="150"/>
      <c r="P34" s="150"/>
      <c r="Q34" s="96"/>
      <c r="R34" s="145"/>
      <c r="S34" s="58"/>
      <c r="U34" s="14">
        <v>195.01</v>
      </c>
      <c r="V34" s="15"/>
      <c r="W34" s="110"/>
    </row>
    <row r="35" spans="1:99" ht="14.1" customHeight="1">
      <c r="A35" s="145"/>
      <c r="B35" s="148"/>
      <c r="C35" s="146"/>
      <c r="D35" s="147"/>
      <c r="E35" s="148"/>
      <c r="F35" s="145"/>
      <c r="G35" s="148"/>
      <c r="H35" s="148"/>
      <c r="I35" s="148"/>
      <c r="J35" s="149"/>
      <c r="K35" s="150"/>
      <c r="L35" s="150"/>
      <c r="M35" s="124"/>
      <c r="N35" s="124"/>
      <c r="O35" s="150"/>
      <c r="P35" s="150"/>
      <c r="Q35" s="96"/>
      <c r="R35" s="145"/>
      <c r="S35" s="58"/>
      <c r="T35" s="13">
        <v>230</v>
      </c>
      <c r="U35" s="14">
        <v>183.88</v>
      </c>
      <c r="V35" s="15"/>
      <c r="W35" s="110"/>
    </row>
    <row r="36" spans="1:99" ht="14.1" customHeight="1">
      <c r="A36" s="145"/>
      <c r="B36" s="139"/>
      <c r="C36" s="146"/>
      <c r="D36" s="147"/>
      <c r="E36" s="148"/>
      <c r="F36" s="145"/>
      <c r="G36" s="148"/>
      <c r="H36" s="148"/>
      <c r="I36" s="148"/>
      <c r="J36" s="149"/>
      <c r="K36" s="150"/>
      <c r="L36" s="150"/>
      <c r="M36" s="124"/>
      <c r="N36" s="124"/>
      <c r="O36" s="150"/>
      <c r="P36" s="150"/>
      <c r="Q36" s="96"/>
      <c r="R36" s="145"/>
      <c r="S36" s="58"/>
      <c r="U36" s="14">
        <v>189.23</v>
      </c>
      <c r="V36" s="15"/>
      <c r="W36" s="110"/>
      <c r="X36"/>
    </row>
    <row r="37" spans="1:99" ht="14.1" customHeight="1">
      <c r="A37" s="145"/>
      <c r="B37" s="139"/>
      <c r="C37" s="146"/>
      <c r="D37" s="147"/>
      <c r="E37" s="148"/>
      <c r="F37" s="145"/>
      <c r="G37" s="148"/>
      <c r="H37" s="148"/>
      <c r="I37" s="148"/>
      <c r="J37" s="149"/>
      <c r="K37" s="150"/>
      <c r="L37" s="150"/>
      <c r="M37" s="124"/>
      <c r="N37" s="124"/>
      <c r="O37" s="150"/>
      <c r="P37" s="150"/>
      <c r="Q37" s="96"/>
      <c r="R37" s="96"/>
      <c r="S37" s="58"/>
      <c r="T37" s="13">
        <v>235</v>
      </c>
      <c r="U37" s="14">
        <v>218.4</v>
      </c>
      <c r="V37" s="15"/>
      <c r="W37" s="15"/>
      <c r="X37" s="6"/>
    </row>
    <row r="38" spans="1:99" s="156" customFormat="1" ht="14.1" customHeight="1">
      <c r="A38" s="154"/>
      <c r="B38" s="139"/>
      <c r="C38" s="155"/>
      <c r="D38" s="139"/>
      <c r="E38" s="139"/>
      <c r="F38" s="139"/>
      <c r="G38" s="139"/>
      <c r="H38" s="139"/>
      <c r="I38" s="139"/>
      <c r="J38" s="124"/>
      <c r="K38" s="124"/>
      <c r="L38" s="124"/>
      <c r="M38" s="124"/>
      <c r="N38" s="124"/>
      <c r="O38" s="124"/>
      <c r="P38" s="124"/>
      <c r="Q38" s="155"/>
      <c r="R38" s="145"/>
      <c r="S38" s="58"/>
      <c r="T38" s="13"/>
      <c r="U38" s="14">
        <v>195.86</v>
      </c>
      <c r="V38" s="15"/>
      <c r="W38" s="15"/>
      <c r="X38" s="6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</row>
    <row r="39" spans="1:99" s="3" customFormat="1" ht="14.1" customHeight="1">
      <c r="A39" s="157"/>
      <c r="B39" s="158"/>
      <c r="C39" s="159"/>
      <c r="D39" s="160"/>
      <c r="E39" s="160"/>
      <c r="F39" s="161"/>
      <c r="G39" s="160"/>
      <c r="H39" s="148"/>
      <c r="I39" s="162"/>
      <c r="J39" s="163"/>
      <c r="K39" s="150"/>
      <c r="L39" s="155"/>
      <c r="M39" s="134"/>
      <c r="N39" s="155"/>
      <c r="O39" s="155"/>
      <c r="P39" s="155"/>
      <c r="Q39" s="58"/>
      <c r="R39" s="58"/>
      <c r="S39" s="58"/>
      <c r="T39" s="13">
        <v>240</v>
      </c>
      <c r="U39" s="14">
        <v>201.91</v>
      </c>
      <c r="V39" s="15"/>
      <c r="W39" s="15"/>
      <c r="X39" s="6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</row>
    <row r="40" spans="1:99" ht="14.1" customHeight="1">
      <c r="A40" s="164"/>
      <c r="B40" s="165"/>
      <c r="C40" s="164"/>
      <c r="D40" s="148"/>
      <c r="E40" s="164"/>
      <c r="F40" s="164"/>
      <c r="G40" s="96"/>
      <c r="H40" s="101"/>
      <c r="I40" s="58"/>
      <c r="J40" s="155"/>
      <c r="K40" s="166"/>
      <c r="L40" s="167"/>
      <c r="M40" s="168"/>
      <c r="N40" s="134"/>
      <c r="O40" s="169"/>
      <c r="P40" s="169"/>
      <c r="Q40" s="58"/>
      <c r="R40" s="58"/>
      <c r="S40" s="58"/>
      <c r="U40" s="14">
        <v>186.07</v>
      </c>
      <c r="V40" s="15"/>
      <c r="W40" s="15"/>
    </row>
    <row r="41" spans="1:99" ht="14.1" customHeight="1">
      <c r="A41" s="164"/>
      <c r="B41" s="170"/>
      <c r="C41" s="164"/>
      <c r="D41" s="171"/>
      <c r="E41" s="164"/>
      <c r="F41" s="164"/>
      <c r="G41" s="124"/>
      <c r="H41" s="58"/>
      <c r="I41" s="58"/>
      <c r="J41" s="170"/>
      <c r="K41" s="170"/>
      <c r="L41" s="96"/>
      <c r="M41" s="172"/>
      <c r="N41" s="160"/>
      <c r="O41" s="58"/>
      <c r="P41" s="58"/>
      <c r="Q41" s="58"/>
      <c r="R41" s="58"/>
      <c r="S41" s="58"/>
      <c r="U41" s="173"/>
      <c r="V41" s="174"/>
      <c r="W41" s="175"/>
    </row>
    <row r="42" spans="1:99" ht="14.1" customHeight="1">
      <c r="A42" s="3"/>
      <c r="B42" s="3"/>
      <c r="C42" s="3"/>
      <c r="D42" s="33"/>
      <c r="E42" s="3"/>
      <c r="F42" s="3"/>
      <c r="G42" s="19"/>
      <c r="H42" s="40"/>
      <c r="I42" s="40"/>
      <c r="J42" s="30"/>
      <c r="K42" s="30"/>
      <c r="L42" s="30"/>
      <c r="M42" s="30"/>
      <c r="N42" s="33"/>
      <c r="O42" s="33"/>
      <c r="P42" s="33"/>
      <c r="Q42" s="40"/>
      <c r="R42" s="40"/>
      <c r="U42" s="173"/>
      <c r="V42" s="174"/>
      <c r="W42" s="175"/>
    </row>
    <row r="43" spans="1:99" ht="14.1" customHeight="1">
      <c r="A43" s="30"/>
      <c r="B43" s="176"/>
      <c r="C43" s="3"/>
      <c r="D43" s="33"/>
      <c r="E43" s="177"/>
      <c r="F43" s="177"/>
      <c r="G43" s="33"/>
      <c r="H43" s="174"/>
      <c r="I43" s="40"/>
      <c r="J43" s="30"/>
      <c r="K43" s="30"/>
      <c r="L43" s="30"/>
      <c r="M43" s="33"/>
      <c r="N43" s="178"/>
      <c r="O43" s="33"/>
      <c r="P43" s="33"/>
      <c r="Q43" s="40"/>
      <c r="R43" s="40"/>
      <c r="U43" s="173"/>
      <c r="V43" s="174"/>
      <c r="W43" s="175"/>
    </row>
    <row r="44" spans="1:99" ht="14.1" customHeight="1">
      <c r="A44" s="3"/>
      <c r="B44" s="30"/>
      <c r="C44" s="3"/>
      <c r="D44" s="41"/>
      <c r="E44" s="42"/>
      <c r="F44" s="42"/>
      <c r="G44" s="19"/>
      <c r="H44" s="19"/>
      <c r="I44" s="30"/>
      <c r="J44" s="179"/>
      <c r="K44" s="179"/>
      <c r="L44" s="180"/>
      <c r="M44" s="39"/>
      <c r="N44" s="179"/>
      <c r="O44" s="180"/>
      <c r="P44" s="180"/>
      <c r="Q44" s="46"/>
      <c r="R44" s="46"/>
      <c r="U44" s="173"/>
      <c r="V44" s="174"/>
      <c r="W44" s="175"/>
    </row>
    <row r="45" spans="1:99" s="1" customFormat="1" ht="14.1" customHeight="1">
      <c r="A45" s="3"/>
      <c r="B45" s="181"/>
      <c r="C45" s="181"/>
      <c r="D45" s="25"/>
      <c r="E45" s="181"/>
      <c r="F45" s="181"/>
      <c r="G45" s="181"/>
      <c r="H45" s="95"/>
      <c r="I45" s="95"/>
      <c r="J45" s="182"/>
      <c r="K45" s="182"/>
      <c r="L45" s="182"/>
      <c r="M45" s="182"/>
      <c r="N45" s="182"/>
      <c r="O45" s="54"/>
      <c r="P45" s="54"/>
      <c r="Q45" s="55"/>
      <c r="R45" s="55"/>
      <c r="S45" s="13"/>
      <c r="T45" s="13"/>
      <c r="U45" s="173"/>
      <c r="V45" s="40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</row>
    <row r="46" spans="1:99" ht="14.1" customHeight="1">
      <c r="A46" s="70"/>
      <c r="B46" s="33"/>
      <c r="C46" s="36"/>
      <c r="D46" s="33"/>
      <c r="E46" s="33"/>
      <c r="F46" s="33"/>
      <c r="G46" s="33"/>
      <c r="H46" s="33"/>
      <c r="I46" s="33"/>
      <c r="J46" s="74"/>
      <c r="K46" s="74"/>
      <c r="L46" s="74"/>
      <c r="M46" s="30"/>
      <c r="N46" s="19"/>
      <c r="O46" s="74"/>
      <c r="P46" s="74"/>
      <c r="Q46" s="30"/>
      <c r="R46" s="30"/>
      <c r="U46" s="173"/>
    </row>
    <row r="47" spans="1:99" ht="14.1" customHeight="1">
      <c r="A47" s="70"/>
      <c r="B47" s="33"/>
      <c r="C47" s="36"/>
      <c r="D47" s="33"/>
      <c r="E47" s="33"/>
      <c r="F47" s="33"/>
      <c r="G47" s="33"/>
      <c r="H47" s="33"/>
      <c r="I47" s="33"/>
      <c r="J47" s="74"/>
      <c r="K47" s="74"/>
      <c r="L47" s="74"/>
      <c r="M47" s="30"/>
      <c r="N47" s="19"/>
      <c r="O47" s="74"/>
      <c r="P47" s="74"/>
      <c r="Q47" s="30"/>
      <c r="R47" s="30"/>
      <c r="T47" s="40"/>
      <c r="U47" s="173"/>
    </row>
    <row r="48" spans="1:99" s="80" customFormat="1" ht="14.1" customHeight="1">
      <c r="A48" s="183"/>
      <c r="B48" s="25"/>
      <c r="C48" s="184"/>
      <c r="D48" s="25"/>
      <c r="E48" s="25"/>
      <c r="F48" s="25"/>
      <c r="G48" s="25"/>
      <c r="H48" s="25"/>
      <c r="I48" s="25"/>
      <c r="J48" s="95"/>
      <c r="K48" s="95"/>
      <c r="L48" s="95"/>
      <c r="M48" s="95"/>
      <c r="N48" s="95"/>
      <c r="O48" s="95"/>
      <c r="P48" s="95"/>
      <c r="Q48" s="95"/>
      <c r="R48" s="95"/>
      <c r="S48" s="13"/>
      <c r="T48" s="40"/>
      <c r="U48" s="17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</row>
    <row r="49" spans="1:99" ht="14.1" customHeight="1">
      <c r="A49" s="30"/>
      <c r="B49" s="176"/>
      <c r="C49" s="185"/>
      <c r="D49" s="33"/>
      <c r="E49" s="40"/>
      <c r="F49" s="40"/>
      <c r="G49" s="40"/>
      <c r="H49" s="40"/>
      <c r="I49" s="40"/>
      <c r="J49" s="40"/>
      <c r="K49" s="40"/>
      <c r="L49" s="40"/>
      <c r="M49" s="30"/>
      <c r="N49" s="40"/>
      <c r="O49" s="40"/>
      <c r="P49" s="40"/>
      <c r="Q49" s="30"/>
      <c r="R49" s="30"/>
      <c r="T49" s="40"/>
      <c r="U49" s="173"/>
    </row>
    <row r="50" spans="1:99" ht="14.1" customHeight="1">
      <c r="A50" s="30"/>
      <c r="B50" s="176"/>
      <c r="C50" s="185"/>
      <c r="D50" s="33"/>
      <c r="E50" s="40"/>
      <c r="F50" s="40"/>
      <c r="G50" s="40"/>
      <c r="H50" s="40"/>
      <c r="I50" s="40"/>
      <c r="J50" s="40"/>
      <c r="K50" s="40"/>
      <c r="L50" s="40"/>
      <c r="M50" s="30"/>
      <c r="N50" s="40"/>
      <c r="O50" s="40"/>
      <c r="P50" s="40"/>
      <c r="Q50" s="30"/>
      <c r="R50" s="30"/>
      <c r="T50" s="40"/>
      <c r="U50" s="173"/>
    </row>
    <row r="51" spans="1:99" ht="14.1" customHeight="1">
      <c r="A51" s="30"/>
      <c r="B51" s="176"/>
      <c r="C51" s="185"/>
      <c r="D51" s="33"/>
      <c r="E51" s="40"/>
      <c r="F51" s="40"/>
      <c r="G51" s="40"/>
      <c r="H51" s="40"/>
      <c r="I51" s="40"/>
      <c r="J51" s="40"/>
      <c r="K51" s="40"/>
      <c r="L51" s="40"/>
      <c r="M51" s="19"/>
      <c r="N51" s="40"/>
      <c r="O51" s="40"/>
      <c r="P51" s="40"/>
      <c r="Q51" s="30"/>
      <c r="R51" s="30"/>
      <c r="T51" s="40"/>
      <c r="U51" s="173"/>
    </row>
    <row r="52" spans="1:99" ht="14.1" customHeight="1">
      <c r="A52" s="30"/>
      <c r="B52" s="176"/>
      <c r="C52" s="185"/>
      <c r="D52" s="33"/>
      <c r="E52" s="40"/>
      <c r="F52" s="40"/>
      <c r="G52" s="40"/>
      <c r="H52" s="40"/>
      <c r="I52" s="40"/>
      <c r="J52" s="40"/>
      <c r="K52" s="40"/>
      <c r="L52" s="40"/>
      <c r="M52" s="19"/>
      <c r="N52" s="40"/>
      <c r="O52" s="40"/>
      <c r="P52" s="40"/>
      <c r="Q52" s="30"/>
      <c r="R52" s="30"/>
      <c r="U52" s="173"/>
    </row>
    <row r="53" spans="1:99" ht="14.1" customHeight="1">
      <c r="A53" s="30"/>
      <c r="B53" s="176"/>
      <c r="C53" s="186"/>
      <c r="D53" s="33"/>
      <c r="E53" s="33"/>
      <c r="F53" s="33"/>
      <c r="G53" s="33"/>
      <c r="H53" s="33"/>
      <c r="I53" s="33"/>
      <c r="J53" s="187"/>
      <c r="K53" s="188"/>
      <c r="L53" s="40"/>
      <c r="M53" s="19"/>
      <c r="N53" s="40"/>
      <c r="O53" s="40"/>
      <c r="P53" s="40"/>
      <c r="Q53" s="30"/>
      <c r="R53" s="30"/>
      <c r="U53" s="173"/>
    </row>
    <row r="54" spans="1:99" ht="14.1" customHeight="1">
      <c r="A54" s="70"/>
      <c r="B54" s="189"/>
      <c r="C54" s="36"/>
      <c r="D54" s="33"/>
      <c r="E54" s="33"/>
      <c r="F54" s="33"/>
      <c r="G54" s="33"/>
      <c r="H54" s="33"/>
      <c r="I54" s="33"/>
      <c r="J54" s="132"/>
      <c r="K54" s="74"/>
      <c r="L54" s="74"/>
      <c r="M54" s="19"/>
      <c r="N54" s="19"/>
      <c r="O54" s="74"/>
      <c r="P54" s="74"/>
      <c r="Q54" s="30"/>
      <c r="R54" s="30"/>
      <c r="U54" s="173"/>
    </row>
    <row r="55" spans="1:99" ht="14.1" customHeight="1">
      <c r="A55" s="70"/>
      <c r="B55" s="189"/>
      <c r="C55" s="36"/>
      <c r="D55" s="33"/>
      <c r="E55" s="33"/>
      <c r="F55" s="33"/>
      <c r="G55" s="33"/>
      <c r="H55" s="33"/>
      <c r="I55" s="33"/>
      <c r="J55" s="132"/>
      <c r="K55" s="74"/>
      <c r="L55" s="74"/>
      <c r="M55" s="19"/>
      <c r="N55" s="19"/>
      <c r="O55" s="74"/>
      <c r="P55" s="74"/>
      <c r="Q55" s="30"/>
      <c r="R55" s="30"/>
      <c r="U55" s="173"/>
    </row>
    <row r="56" spans="1:99" s="30" customFormat="1" ht="14.1" customHeight="1">
      <c r="A56" s="70"/>
      <c r="B56" s="189"/>
      <c r="C56" s="36"/>
      <c r="D56" s="33"/>
      <c r="E56" s="33"/>
      <c r="F56" s="33"/>
      <c r="G56" s="33"/>
      <c r="H56" s="33"/>
      <c r="I56" s="33"/>
      <c r="J56" s="132"/>
      <c r="K56" s="74"/>
      <c r="L56" s="74"/>
      <c r="M56" s="19"/>
      <c r="N56" s="19"/>
      <c r="O56" s="74"/>
      <c r="P56" s="74"/>
      <c r="S56" s="13"/>
      <c r="T56" s="13"/>
      <c r="U56" s="17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</row>
    <row r="57" spans="1:99" ht="14.1" customHeight="1">
      <c r="A57" s="70"/>
      <c r="B57" s="189"/>
      <c r="C57" s="36"/>
      <c r="D57" s="33"/>
      <c r="E57" s="33"/>
      <c r="F57" s="33"/>
      <c r="G57" s="33"/>
      <c r="H57" s="33"/>
      <c r="I57" s="33"/>
      <c r="J57" s="132"/>
      <c r="K57" s="74"/>
      <c r="L57" s="74"/>
      <c r="M57" s="19"/>
      <c r="N57" s="19"/>
      <c r="O57" s="74"/>
      <c r="P57" s="74"/>
      <c r="Q57" s="30"/>
      <c r="R57" s="30"/>
      <c r="U57" s="173"/>
    </row>
    <row r="58" spans="1:99" ht="14.1" customHeight="1">
      <c r="A58" s="183"/>
      <c r="B58" s="25"/>
      <c r="C58" s="184"/>
      <c r="D58" s="25"/>
      <c r="E58" s="25"/>
      <c r="F58" s="25"/>
      <c r="G58" s="25"/>
      <c r="H58" s="25"/>
      <c r="I58" s="25"/>
      <c r="J58" s="95"/>
      <c r="K58" s="95"/>
      <c r="L58" s="95"/>
      <c r="M58" s="95"/>
      <c r="N58" s="95"/>
      <c r="O58" s="95"/>
      <c r="P58" s="95"/>
      <c r="Q58" s="95"/>
      <c r="R58" s="95"/>
      <c r="U58" s="173"/>
    </row>
    <row r="59" spans="1:99" s="115" customFormat="1" ht="14.1" customHeight="1">
      <c r="A59" s="40"/>
      <c r="B59" s="40"/>
      <c r="C59" s="40"/>
      <c r="D59" s="19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13"/>
      <c r="T59" s="13"/>
      <c r="U59" s="17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</row>
    <row r="60" spans="1:99" s="30" customFormat="1" ht="14.1" customHeight="1">
      <c r="A60" s="191"/>
      <c r="B60" s="40"/>
      <c r="C60" s="40"/>
      <c r="D60" s="19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13"/>
      <c r="T60" s="13"/>
      <c r="U60" s="17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</row>
    <row r="61" spans="1:99" ht="14.1" customHeight="1">
      <c r="A61" s="40"/>
      <c r="B61" s="40"/>
      <c r="C61" s="40"/>
      <c r="D61" s="19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U61" s="173"/>
    </row>
    <row r="62" spans="1:99" ht="14.1" customHeight="1">
      <c r="A62" s="40"/>
      <c r="B62" s="40"/>
      <c r="C62" s="40"/>
      <c r="D62" s="19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U62" s="173"/>
    </row>
    <row r="63" spans="1:99" ht="14.1" customHeight="1">
      <c r="A63" s="40"/>
      <c r="B63" s="40"/>
      <c r="C63" s="40"/>
      <c r="D63" s="19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U63" s="173"/>
    </row>
    <row r="64" spans="1:99" s="156" customFormat="1" ht="14.1" customHeight="1">
      <c r="A64" s="30"/>
      <c r="B64" s="189"/>
      <c r="C64" s="36"/>
      <c r="D64" s="33"/>
      <c r="E64" s="189"/>
      <c r="F64" s="189"/>
      <c r="G64" s="19"/>
      <c r="H64" s="30"/>
      <c r="I64" s="30"/>
      <c r="J64" s="30"/>
      <c r="K64" s="30"/>
      <c r="L64" s="30"/>
      <c r="M64" s="30"/>
      <c r="N64" s="19"/>
      <c r="O64" s="30"/>
      <c r="P64" s="30"/>
      <c r="Q64" s="40"/>
      <c r="R64" s="40"/>
      <c r="S64" s="13"/>
      <c r="T64" s="13"/>
      <c r="U64" s="17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</row>
    <row r="65" spans="1:21" s="13" customFormat="1" ht="14.1" customHeight="1">
      <c r="A65" s="30"/>
      <c r="B65" s="189"/>
      <c r="C65" s="36"/>
      <c r="D65" s="33"/>
      <c r="E65" s="189"/>
      <c r="F65" s="189"/>
      <c r="G65" s="19"/>
      <c r="H65" s="30"/>
      <c r="I65" s="30"/>
      <c r="J65" s="30"/>
      <c r="K65" s="30"/>
      <c r="L65" s="30"/>
      <c r="M65" s="30"/>
      <c r="N65" s="19"/>
      <c r="O65" s="30"/>
      <c r="P65" s="30"/>
      <c r="Q65" s="40"/>
      <c r="R65" s="40"/>
      <c r="U65" s="173"/>
    </row>
    <row r="66" spans="1:21" s="13" customFormat="1" ht="14.1" customHeight="1">
      <c r="A66" s="12"/>
      <c r="B66" s="192"/>
      <c r="C66" s="65"/>
      <c r="D66" s="66"/>
      <c r="E66" s="192"/>
      <c r="F66" s="192"/>
      <c r="G66" s="68"/>
      <c r="H66" s="12"/>
      <c r="I66" s="12"/>
      <c r="J66" s="12"/>
      <c r="K66" s="12"/>
      <c r="L66" s="12"/>
      <c r="M66" s="12"/>
      <c r="N66" s="68"/>
      <c r="O66" s="12"/>
      <c r="P66" s="12"/>
      <c r="U66" s="173"/>
    </row>
    <row r="67" spans="1:21" ht="14.1" customHeight="1">
      <c r="C67" s="65"/>
      <c r="U67" s="173"/>
    </row>
    <row r="68" spans="1:21" ht="14.1" customHeight="1">
      <c r="A68" s="13"/>
      <c r="B68" s="13"/>
      <c r="C68" s="13"/>
      <c r="D68" s="97"/>
      <c r="E68" s="13"/>
      <c r="F68" s="13"/>
      <c r="G68" s="13"/>
      <c r="H68" s="13"/>
      <c r="I68" s="13"/>
      <c r="J68" s="13"/>
      <c r="M68" s="13"/>
      <c r="N68" s="13"/>
      <c r="O68" s="13"/>
      <c r="P68" s="13"/>
      <c r="U68" s="173"/>
    </row>
    <row r="69" spans="1:21" ht="14.1" customHeight="1">
      <c r="A69" s="13"/>
      <c r="B69" s="13"/>
      <c r="C69" s="13"/>
      <c r="D69" s="97"/>
      <c r="E69" s="13"/>
      <c r="F69" s="13"/>
      <c r="G69" s="13"/>
      <c r="H69" s="13"/>
      <c r="I69" s="13"/>
      <c r="J69" s="13"/>
      <c r="M69" s="13"/>
      <c r="N69" s="13"/>
      <c r="O69" s="13"/>
      <c r="P69" s="13"/>
      <c r="U69" s="173"/>
    </row>
    <row r="70" spans="1:21" ht="14.1" customHeight="1">
      <c r="C70" s="65"/>
      <c r="U70" s="173"/>
    </row>
    <row r="71" spans="1:21" ht="14.1" customHeight="1">
      <c r="C71" s="65"/>
      <c r="Q71" s="13"/>
      <c r="R71" s="13"/>
    </row>
    <row r="72" spans="1:21" ht="14.1" customHeight="1">
      <c r="C72" s="65"/>
      <c r="Q72" s="13"/>
      <c r="R72" s="13"/>
    </row>
    <row r="73" spans="1:21" ht="14.1" customHeight="1">
      <c r="C73" s="65"/>
    </row>
    <row r="74" spans="1:21" ht="14.1" customHeight="1">
      <c r="C74" s="65"/>
    </row>
  </sheetData>
  <pageMargins left="0.75" right="0.5" top="1" bottom="0.5" header="0.5" footer="0.5"/>
  <pageSetup scale="70" orientation="landscape" r:id="rId1"/>
  <headerFooter alignWithMargins="0">
    <oddHeader>&amp;R&amp;D</oddHead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U74"/>
  <sheetViews>
    <sheetView topLeftCell="CE1" zoomScale="87" zoomScaleNormal="87" workbookViewId="0">
      <selection activeCell="AB11" sqref="AB11:CQ11"/>
    </sheetView>
  </sheetViews>
  <sheetFormatPr defaultColWidth="13.7109375" defaultRowHeight="14.1" customHeight="1"/>
  <cols>
    <col min="1" max="1" width="6.28515625" style="12" customWidth="1"/>
    <col min="2" max="2" width="16.5703125" style="192" customWidth="1"/>
    <col min="3" max="3" width="8.28515625" style="12" customWidth="1"/>
    <col min="4" max="4" width="11.140625" style="66" customWidth="1"/>
    <col min="5" max="5" width="12.85546875" style="192" customWidth="1"/>
    <col min="6" max="6" width="9.28515625" style="192" customWidth="1"/>
    <col min="7" max="7" width="9.140625" style="68" customWidth="1"/>
    <col min="8" max="8" width="10.85546875" style="12" customWidth="1"/>
    <col min="9" max="9" width="13.140625" style="12" customWidth="1"/>
    <col min="10" max="10" width="12.28515625" style="12" customWidth="1"/>
    <col min="11" max="11" width="10.140625" style="12" customWidth="1"/>
    <col min="12" max="12" width="14.42578125" style="12" customWidth="1"/>
    <col min="13" max="13" width="8.85546875" style="12" customWidth="1"/>
    <col min="14" max="14" width="17.140625" style="68" customWidth="1"/>
    <col min="15" max="15" width="15.7109375" style="12" customWidth="1"/>
    <col min="16" max="16" width="10.85546875" style="12" customWidth="1"/>
    <col min="17" max="17" width="6.140625" style="12" customWidth="1"/>
    <col min="18" max="18" width="7.28515625" style="12" customWidth="1"/>
    <col min="19" max="19" width="12" style="13" customWidth="1"/>
    <col min="20" max="20" width="10.42578125" style="13" customWidth="1"/>
    <col min="21" max="21" width="13.7109375" style="13" customWidth="1"/>
    <col min="22" max="22" width="2.5703125" style="13" customWidth="1"/>
    <col min="23" max="29" width="13.7109375" style="13" customWidth="1"/>
    <col min="30" max="31" width="25" style="13" customWidth="1"/>
    <col min="32" max="34" width="13.7109375" style="13" customWidth="1"/>
    <col min="35" max="35" width="19.85546875" style="13" customWidth="1"/>
    <col min="36" max="36" width="19.5703125" style="13" customWidth="1"/>
    <col min="37" max="37" width="27.42578125" style="13" customWidth="1"/>
    <col min="38" max="38" width="31.42578125" style="13" customWidth="1"/>
    <col min="39" max="39" width="31.28515625" style="13" customWidth="1"/>
    <col min="40" max="45" width="27.42578125" style="13" customWidth="1"/>
    <col min="46" max="46" width="31.28515625" style="13" customWidth="1"/>
    <col min="47" max="47" width="35.42578125" style="13" customWidth="1"/>
    <col min="48" max="50" width="13.7109375" style="13" customWidth="1"/>
    <col min="51" max="52" width="17.28515625" style="13" customWidth="1"/>
    <col min="53" max="60" width="17.5703125" style="13" customWidth="1"/>
    <col min="61" max="65" width="20.42578125" style="13" customWidth="1"/>
    <col min="66" max="68" width="13.7109375" style="13" customWidth="1"/>
    <col min="69" max="69" width="18.7109375" style="13" customWidth="1"/>
    <col min="70" max="72" width="13.7109375" style="13" customWidth="1"/>
    <col min="73" max="73" width="17.28515625" style="13" customWidth="1"/>
    <col min="74" max="74" width="16.85546875" style="13" customWidth="1"/>
    <col min="75" max="75" width="13.7109375" style="13" customWidth="1"/>
    <col min="76" max="76" width="17" style="13" customWidth="1"/>
    <col min="77" max="81" width="17.85546875" style="13" customWidth="1"/>
    <col min="82" max="92" width="13.7109375" style="13" customWidth="1"/>
    <col min="93" max="93" width="26.140625" style="13" customWidth="1"/>
    <col min="94" max="94" width="25.7109375" style="13" customWidth="1"/>
    <col min="95" max="95" width="22.85546875" style="13" customWidth="1"/>
    <col min="96" max="99" width="13.7109375" style="13" customWidth="1"/>
    <col min="100" max="16384" width="13.7109375" style="12"/>
  </cols>
  <sheetData>
    <row r="1" spans="1:99" ht="14.1" customHeight="1">
      <c r="A1" s="1" t="s">
        <v>0</v>
      </c>
      <c r="B1" s="2" t="s">
        <v>128</v>
      </c>
      <c r="C1" s="3" t="s">
        <v>1</v>
      </c>
      <c r="D1" s="4" t="s">
        <v>165</v>
      </c>
      <c r="E1" s="1" t="s">
        <v>2</v>
      </c>
      <c r="F1" s="1"/>
      <c r="G1" s="5">
        <v>57</v>
      </c>
      <c r="H1" s="6"/>
      <c r="I1" s="6" t="s">
        <v>3</v>
      </c>
      <c r="J1" s="5">
        <v>178</v>
      </c>
      <c r="K1" s="7"/>
      <c r="L1" s="7"/>
      <c r="M1" s="8" t="s">
        <v>4</v>
      </c>
      <c r="N1" s="9">
        <f>((AVERAGE(W7:W8))*20)</f>
        <v>7957942</v>
      </c>
      <c r="O1" s="10">
        <f>(O3*20)</f>
        <v>7560693.8678699993</v>
      </c>
      <c r="P1" s="10"/>
      <c r="Q1" s="11" t="s">
        <v>5</v>
      </c>
      <c r="S1" s="13">
        <v>-120</v>
      </c>
      <c r="T1" s="13" t="s">
        <v>6</v>
      </c>
      <c r="U1" s="14">
        <v>49.46</v>
      </c>
      <c r="V1" s="15"/>
      <c r="W1" s="15" t="s">
        <v>7</v>
      </c>
    </row>
    <row r="2" spans="1:99" ht="14.1" customHeight="1" thickBot="1">
      <c r="A2" s="16" t="s">
        <v>8</v>
      </c>
      <c r="B2" s="17">
        <v>42299</v>
      </c>
      <c r="C2" s="3" t="s">
        <v>9</v>
      </c>
      <c r="D2" s="18">
        <v>91.3</v>
      </c>
      <c r="E2" s="3" t="s">
        <v>10</v>
      </c>
      <c r="F2" s="3"/>
      <c r="G2" s="19">
        <f>D2/(D3/100*D3/100)</f>
        <v>30.155899061963268</v>
      </c>
      <c r="H2" s="13"/>
      <c r="I2" s="20" t="s">
        <v>11</v>
      </c>
      <c r="J2" s="21"/>
      <c r="K2" s="22"/>
      <c r="L2" s="23"/>
      <c r="M2" s="24" t="s">
        <v>12</v>
      </c>
      <c r="N2" s="25">
        <f>(O1*0.068)</f>
        <v>514127.18301515997</v>
      </c>
      <c r="O2" s="13"/>
      <c r="P2" s="13"/>
      <c r="Q2" s="11"/>
      <c r="R2" s="26"/>
      <c r="T2" s="13" t="s">
        <v>6</v>
      </c>
      <c r="U2" s="14">
        <v>40.97</v>
      </c>
      <c r="V2" s="15"/>
      <c r="W2" s="27">
        <v>135975.1</v>
      </c>
    </row>
    <row r="3" spans="1:99" ht="14.1" customHeight="1" thickTop="1" thickBot="1">
      <c r="A3" s="16" t="s">
        <v>13</v>
      </c>
      <c r="B3" s="28" t="s">
        <v>167</v>
      </c>
      <c r="C3" s="3" t="s">
        <v>15</v>
      </c>
      <c r="D3" s="29">
        <v>174</v>
      </c>
      <c r="E3" s="3" t="s">
        <v>16</v>
      </c>
      <c r="F3" s="3"/>
      <c r="G3" s="19">
        <f>SQRT(((D2*D3)/3600))</f>
        <v>2.1006744948547675</v>
      </c>
      <c r="H3" s="13"/>
      <c r="I3" s="20"/>
      <c r="J3" s="30"/>
      <c r="K3" s="30"/>
      <c r="L3" s="30"/>
      <c r="M3" s="31" t="s">
        <v>17</v>
      </c>
      <c r="N3" s="32">
        <f>($O$1/$N$1)*100</f>
        <v>95.008154971096786</v>
      </c>
      <c r="O3" s="33">
        <f>((AVERAGE(W2:W5))*2.85714)</f>
        <v>378034.69339349994</v>
      </c>
      <c r="P3" s="33"/>
      <c r="Q3" s="34" t="s">
        <v>18</v>
      </c>
      <c r="R3" s="13"/>
      <c r="T3" s="13">
        <v>-30</v>
      </c>
      <c r="U3" s="14">
        <v>474.33</v>
      </c>
      <c r="V3" s="15"/>
      <c r="W3" s="27">
        <v>135455.9</v>
      </c>
    </row>
    <row r="4" spans="1:99" ht="14.1" customHeight="1" thickTop="1">
      <c r="B4" s="35"/>
      <c r="C4" s="3" t="s">
        <v>19</v>
      </c>
      <c r="D4" s="19">
        <v>67.042000000000002</v>
      </c>
      <c r="E4" s="37" t="s">
        <v>20</v>
      </c>
      <c r="F4" s="37"/>
      <c r="G4" s="38">
        <v>0.253</v>
      </c>
      <c r="H4" s="13"/>
      <c r="I4" s="20"/>
      <c r="J4" s="30"/>
      <c r="K4" s="30"/>
      <c r="L4" s="30"/>
      <c r="M4" s="33"/>
      <c r="N4" s="39"/>
      <c r="O4" s="30"/>
      <c r="P4" s="30"/>
      <c r="Q4" s="30"/>
      <c r="R4" s="30"/>
      <c r="U4" s="14">
        <v>421.93</v>
      </c>
      <c r="V4" s="15"/>
      <c r="W4" s="27">
        <v>130337.4</v>
      </c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</row>
    <row r="5" spans="1:99" ht="14.1" customHeight="1" thickBot="1">
      <c r="A5" s="16"/>
      <c r="B5" s="30"/>
      <c r="C5" s="3"/>
      <c r="D5" s="41" t="s">
        <v>21</v>
      </c>
      <c r="E5" s="42">
        <f>AVERAGE(U1:U2)</f>
        <v>45.215000000000003</v>
      </c>
      <c r="F5" s="42"/>
      <c r="G5" s="19"/>
      <c r="H5" s="30"/>
      <c r="I5" s="30"/>
      <c r="J5" s="43" t="s">
        <v>22</v>
      </c>
      <c r="K5" s="43"/>
      <c r="L5" s="44" t="s">
        <v>23</v>
      </c>
      <c r="M5" s="45"/>
      <c r="N5" s="43" t="s">
        <v>22</v>
      </c>
      <c r="O5" s="44" t="s">
        <v>23</v>
      </c>
      <c r="P5" s="44" t="s">
        <v>24</v>
      </c>
      <c r="Q5" s="46"/>
      <c r="R5" s="46"/>
      <c r="T5" s="13">
        <v>-20</v>
      </c>
      <c r="U5" s="14">
        <v>427.4</v>
      </c>
      <c r="V5" s="15"/>
      <c r="W5" s="27">
        <v>127480.7</v>
      </c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</row>
    <row r="6" spans="1:99" s="1" customFormat="1" ht="14.1" customHeight="1">
      <c r="A6" s="47" t="s">
        <v>25</v>
      </c>
      <c r="B6" s="48" t="s">
        <v>26</v>
      </c>
      <c r="C6" s="48"/>
      <c r="D6" s="49" t="s">
        <v>27</v>
      </c>
      <c r="E6" s="48" t="s">
        <v>28</v>
      </c>
      <c r="F6" s="48"/>
      <c r="G6" s="48" t="s">
        <v>29</v>
      </c>
      <c r="H6" s="50" t="s">
        <v>30</v>
      </c>
      <c r="I6" s="50"/>
      <c r="J6" s="51" t="s">
        <v>31</v>
      </c>
      <c r="K6" s="52"/>
      <c r="L6" s="52" t="s">
        <v>31</v>
      </c>
      <c r="M6" s="52" t="s">
        <v>32</v>
      </c>
      <c r="N6" s="52" t="s">
        <v>33</v>
      </c>
      <c r="O6" s="53" t="s">
        <v>34</v>
      </c>
      <c r="P6" s="54"/>
      <c r="Q6" s="55"/>
      <c r="R6" s="55"/>
      <c r="S6" s="13"/>
      <c r="T6" s="13"/>
      <c r="U6" s="14">
        <v>446.76</v>
      </c>
      <c r="V6" s="15"/>
      <c r="W6" s="56" t="s">
        <v>35</v>
      </c>
      <c r="X6" s="13" t="s">
        <v>36</v>
      </c>
      <c r="Y6" s="57" t="s">
        <v>37</v>
      </c>
      <c r="Z6" s="58" t="s">
        <v>38</v>
      </c>
      <c r="AA6" s="40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60"/>
      <c r="AY6" s="60"/>
      <c r="AZ6" s="60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60"/>
      <c r="BO6" s="60"/>
      <c r="BP6" s="60"/>
      <c r="BQ6" s="59"/>
      <c r="BR6" s="59"/>
      <c r="BS6" s="59"/>
      <c r="BT6" s="59"/>
      <c r="BU6" s="59"/>
      <c r="BV6" s="59"/>
      <c r="BW6" s="59"/>
      <c r="BX6" s="59"/>
      <c r="BY6" s="59"/>
      <c r="BZ6" s="61"/>
      <c r="CA6" s="61"/>
      <c r="CB6" s="61"/>
      <c r="CC6" s="61"/>
      <c r="CD6" s="40"/>
      <c r="CE6" s="61"/>
      <c r="CF6" s="61"/>
      <c r="CG6" s="33"/>
      <c r="CH6" s="40"/>
      <c r="CI6" s="30"/>
      <c r="CJ6" s="30"/>
      <c r="CK6" s="30"/>
      <c r="CL6" s="30"/>
      <c r="CM6" s="30"/>
      <c r="CN6" s="30"/>
      <c r="CO6" s="30"/>
      <c r="CP6" s="62"/>
      <c r="CQ6" s="62"/>
      <c r="CR6" s="13"/>
      <c r="CS6" s="13"/>
      <c r="CT6" s="13"/>
      <c r="CU6" s="13"/>
    </row>
    <row r="7" spans="1:99" ht="14.1" customHeight="1">
      <c r="A7" s="63">
        <v>-30</v>
      </c>
      <c r="B7" s="64">
        <v>103</v>
      </c>
      <c r="C7" s="65"/>
      <c r="D7" s="42">
        <f>AVERAGE(U3:U4)</f>
        <v>448.13</v>
      </c>
      <c r="E7" s="66">
        <f>D7-$E$5</f>
        <v>402.91499999999996</v>
      </c>
      <c r="F7" s="66"/>
      <c r="G7" s="66">
        <f>($E7*7.1425)</f>
        <v>2877.8203874999999</v>
      </c>
      <c r="H7" s="66">
        <f>($G7/($B7*0.01))</f>
        <v>2794.0003762135921</v>
      </c>
      <c r="I7" s="66"/>
      <c r="J7" s="67">
        <f>$N$2/$H7/$D$2</f>
        <v>2.015456034279643</v>
      </c>
      <c r="K7" s="67"/>
      <c r="L7" s="67">
        <f>J7/($D$4/$D$2)</f>
        <v>2.7447142974513201</v>
      </c>
      <c r="N7" s="68">
        <f>J7-M7</f>
        <v>2.015456034279643</v>
      </c>
      <c r="O7" s="67">
        <f>N7/($D$4/$D$2)</f>
        <v>2.7447142974513201</v>
      </c>
      <c r="P7" s="67"/>
      <c r="Q7" s="30"/>
      <c r="R7" s="30"/>
      <c r="T7" s="13">
        <v>-10</v>
      </c>
      <c r="U7" s="14">
        <v>434.88</v>
      </c>
      <c r="V7" s="15"/>
      <c r="W7" s="27">
        <v>390615.1</v>
      </c>
      <c r="X7" s="69">
        <v>0.49299999999999999</v>
      </c>
      <c r="Y7" s="70">
        <v>-30</v>
      </c>
      <c r="Z7" s="71">
        <v>19.515000000000001</v>
      </c>
      <c r="AA7" s="40"/>
      <c r="AB7" s="72"/>
      <c r="AC7" s="72"/>
      <c r="AD7" s="72"/>
      <c r="AE7" s="72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19"/>
      <c r="AY7" s="74"/>
      <c r="AZ7" s="74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</row>
    <row r="8" spans="1:99" ht="14.1" customHeight="1">
      <c r="A8" s="63">
        <v>-20</v>
      </c>
      <c r="B8" s="64">
        <v>102</v>
      </c>
      <c r="C8" s="65"/>
      <c r="D8" s="66">
        <f>AVERAGE(U5:U6)</f>
        <v>437.08</v>
      </c>
      <c r="E8" s="66">
        <f>D8-$E$5</f>
        <v>391.86500000000001</v>
      </c>
      <c r="F8" s="66"/>
      <c r="G8" s="66">
        <f>($E8*7.1425)</f>
        <v>2798.8957625000003</v>
      </c>
      <c r="H8" s="66">
        <f>($G8/($B8*0.01))</f>
        <v>2744.0154534313729</v>
      </c>
      <c r="I8" s="66"/>
      <c r="J8" s="67">
        <f>$N$2/H8/$D$2</f>
        <v>2.0521695353346203</v>
      </c>
      <c r="K8" s="67"/>
      <c r="L8" s="67">
        <f>J8/($D$4/$D$2)</f>
        <v>2.7947119503602345</v>
      </c>
      <c r="N8" s="68">
        <f>J8-M8</f>
        <v>2.0521695353346203</v>
      </c>
      <c r="O8" s="67">
        <f>N8/($D$4/$D$2)</f>
        <v>2.7947119503602345</v>
      </c>
      <c r="P8" s="67"/>
      <c r="Q8" s="30"/>
      <c r="R8" s="30"/>
      <c r="U8" s="14">
        <v>458.23</v>
      </c>
      <c r="V8" s="15"/>
      <c r="W8" s="27">
        <v>405179.1</v>
      </c>
      <c r="X8" s="69">
        <v>0.61</v>
      </c>
      <c r="Y8" s="70">
        <v>-20</v>
      </c>
      <c r="Z8" s="71">
        <v>19.443000000000001</v>
      </c>
      <c r="AA8" s="40"/>
      <c r="AB8" s="72"/>
      <c r="AC8" s="72"/>
      <c r="AD8" s="72"/>
      <c r="AE8" s="72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19"/>
      <c r="AY8" s="74"/>
      <c r="AZ8" s="74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</row>
    <row r="9" spans="1:99" ht="14.1" customHeight="1" thickBot="1">
      <c r="A9" s="63">
        <v>-10</v>
      </c>
      <c r="B9" s="75">
        <v>103</v>
      </c>
      <c r="C9" s="65"/>
      <c r="D9" s="66">
        <f>AVERAGE(U7:U8)</f>
        <v>446.55500000000001</v>
      </c>
      <c r="E9" s="66">
        <f>D9-$E$5</f>
        <v>401.34000000000003</v>
      </c>
      <c r="F9" s="66"/>
      <c r="G9" s="66">
        <f>($E9*7.1425)</f>
        <v>2866.5709500000003</v>
      </c>
      <c r="H9" s="66">
        <f>($G9/($B9*0.01))</f>
        <v>2783.0785922330101</v>
      </c>
      <c r="I9" s="66"/>
      <c r="J9" s="67">
        <f>$N$2/H9/$D$2</f>
        <v>2.0233653960526792</v>
      </c>
      <c r="K9" s="67"/>
      <c r="L9" s="67">
        <f>J9/($D$4/$D$2)</f>
        <v>2.7554855263806211</v>
      </c>
      <c r="N9" s="68">
        <f>J9-M9</f>
        <v>2.0233653960526792</v>
      </c>
      <c r="O9" s="67">
        <f>N9/($D$4/$D$2)</f>
        <v>2.7554855263806211</v>
      </c>
      <c r="P9" s="67"/>
      <c r="Q9" s="30"/>
      <c r="R9" s="30"/>
      <c r="T9" s="13">
        <v>-5</v>
      </c>
      <c r="U9" s="14">
        <v>462.04</v>
      </c>
      <c r="V9" s="15"/>
      <c r="W9" s="76">
        <v>409898.3</v>
      </c>
      <c r="X9" s="69">
        <v>0.58299999999999996</v>
      </c>
      <c r="Y9" s="70">
        <v>-10</v>
      </c>
      <c r="Z9" s="71">
        <v>21.459</v>
      </c>
      <c r="AA9" s="40"/>
      <c r="AB9" s="72"/>
      <c r="AC9" s="72"/>
      <c r="AD9" s="72"/>
      <c r="AE9" s="72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19"/>
      <c r="AY9" s="74"/>
      <c r="AZ9" s="74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</row>
    <row r="10" spans="1:99" s="80" customFormat="1" ht="14.1" customHeight="1">
      <c r="A10" s="77">
        <v>0</v>
      </c>
      <c r="B10" s="195">
        <v>103</v>
      </c>
      <c r="C10" s="65"/>
      <c r="D10" s="66">
        <f>AVERAGE(U11:U12)</f>
        <v>486.90499999999997</v>
      </c>
      <c r="E10" s="66">
        <f>D10-$E$5</f>
        <v>441.68999999999994</v>
      </c>
      <c r="F10" s="66"/>
      <c r="G10" s="78">
        <f>($E10*7.1425)</f>
        <v>3154.7708249999996</v>
      </c>
      <c r="H10" s="78">
        <f>($G10/($B10*0.01))</f>
        <v>3062.8842961165042</v>
      </c>
      <c r="I10" s="78"/>
      <c r="J10" s="79">
        <f>$N$2/H10/$D$2</f>
        <v>1.8385235528352066</v>
      </c>
      <c r="K10" s="79"/>
      <c r="L10" s="67">
        <f>J10/($D$4/$D$2)</f>
        <v>2.5037618265244825</v>
      </c>
      <c r="N10" s="81">
        <f>J10-M10</f>
        <v>1.8385235528352066</v>
      </c>
      <c r="O10" s="67">
        <f>N10/($D$4/$D$2)</f>
        <v>2.5037618265244825</v>
      </c>
      <c r="P10" s="67"/>
      <c r="Q10" s="30"/>
      <c r="R10" s="30"/>
      <c r="S10" s="13"/>
      <c r="T10" s="13" t="s">
        <v>39</v>
      </c>
      <c r="U10" s="14">
        <v>409.63</v>
      </c>
      <c r="V10" s="15"/>
      <c r="W10" s="15"/>
      <c r="X10" s="69">
        <v>0.627</v>
      </c>
      <c r="Y10" s="70">
        <v>0</v>
      </c>
      <c r="Z10" s="82">
        <v>22.491</v>
      </c>
      <c r="AA10" s="30"/>
      <c r="AB10" s="83" t="s">
        <v>40</v>
      </c>
      <c r="AC10" s="83" t="s">
        <v>41</v>
      </c>
      <c r="AD10" s="83" t="s">
        <v>42</v>
      </c>
      <c r="AE10" s="83" t="s">
        <v>43</v>
      </c>
      <c r="AF10" s="83" t="s">
        <v>44</v>
      </c>
      <c r="AG10" s="83" t="s">
        <v>45</v>
      </c>
      <c r="AH10" s="83" t="s">
        <v>46</v>
      </c>
      <c r="AI10" s="83" t="s">
        <v>47</v>
      </c>
      <c r="AJ10" s="83" t="s">
        <v>48</v>
      </c>
      <c r="AK10" s="83" t="s">
        <v>49</v>
      </c>
      <c r="AL10" s="83" t="s">
        <v>50</v>
      </c>
      <c r="AM10" s="83" t="s">
        <v>51</v>
      </c>
      <c r="AN10" s="83" t="s">
        <v>52</v>
      </c>
      <c r="AO10" s="83" t="s">
        <v>53</v>
      </c>
      <c r="AP10" s="83" t="s">
        <v>54</v>
      </c>
      <c r="AQ10" s="83" t="s">
        <v>55</v>
      </c>
      <c r="AR10" s="83" t="s">
        <v>56</v>
      </c>
      <c r="AS10" s="83" t="s">
        <v>57</v>
      </c>
      <c r="AT10" s="83" t="s">
        <v>58</v>
      </c>
      <c r="AU10" s="83" t="s">
        <v>59</v>
      </c>
      <c r="AV10" s="84" t="s">
        <v>60</v>
      </c>
      <c r="AW10" s="84" t="s">
        <v>61</v>
      </c>
      <c r="AX10" s="85" t="s">
        <v>62</v>
      </c>
      <c r="AY10" s="85" t="s">
        <v>63</v>
      </c>
      <c r="AZ10" s="85" t="s">
        <v>64</v>
      </c>
      <c r="BA10" s="86" t="s">
        <v>65</v>
      </c>
      <c r="BB10" s="86" t="s">
        <v>66</v>
      </c>
      <c r="BC10" s="86" t="s">
        <v>67</v>
      </c>
      <c r="BD10" s="86" t="s">
        <v>68</v>
      </c>
      <c r="BE10" s="86" t="s">
        <v>69</v>
      </c>
      <c r="BF10" s="86" t="s">
        <v>70</v>
      </c>
      <c r="BG10" s="86" t="s">
        <v>71</v>
      </c>
      <c r="BH10" s="86" t="s">
        <v>72</v>
      </c>
      <c r="BI10" s="86" t="s">
        <v>73</v>
      </c>
      <c r="BJ10" s="86" t="s">
        <v>74</v>
      </c>
      <c r="BK10" s="86" t="s">
        <v>75</v>
      </c>
      <c r="BL10" s="86" t="s">
        <v>76</v>
      </c>
      <c r="BM10" s="86" t="s">
        <v>77</v>
      </c>
      <c r="BN10" s="87" t="s">
        <v>78</v>
      </c>
      <c r="BO10" s="87" t="s">
        <v>79</v>
      </c>
      <c r="BP10" s="87" t="s">
        <v>80</v>
      </c>
      <c r="BQ10" s="88" t="s">
        <v>81</v>
      </c>
      <c r="BR10" s="88" t="s">
        <v>82</v>
      </c>
      <c r="BS10" s="88" t="s">
        <v>83</v>
      </c>
      <c r="BT10" s="88" t="s">
        <v>84</v>
      </c>
      <c r="BU10" s="88" t="s">
        <v>85</v>
      </c>
      <c r="BV10" s="88" t="s">
        <v>86</v>
      </c>
      <c r="BW10" s="88" t="s">
        <v>87</v>
      </c>
      <c r="BX10" s="88" t="s">
        <v>88</v>
      </c>
      <c r="BY10" s="88" t="s">
        <v>89</v>
      </c>
      <c r="BZ10" s="88" t="s">
        <v>90</v>
      </c>
      <c r="CA10" s="88" t="s">
        <v>91</v>
      </c>
      <c r="CB10" s="88" t="s">
        <v>92</v>
      </c>
      <c r="CC10" s="88" t="s">
        <v>93</v>
      </c>
      <c r="CD10" s="40"/>
      <c r="CE10" s="89" t="s">
        <v>94</v>
      </c>
      <c r="CF10" s="89" t="s">
        <v>95</v>
      </c>
      <c r="CG10" s="90" t="s">
        <v>96</v>
      </c>
      <c r="CH10" s="40"/>
      <c r="CI10" s="91" t="s">
        <v>97</v>
      </c>
      <c r="CJ10" s="91" t="s">
        <v>98</v>
      </c>
      <c r="CK10" s="91" t="s">
        <v>99</v>
      </c>
      <c r="CL10" s="91" t="s">
        <v>100</v>
      </c>
      <c r="CM10" s="91" t="s">
        <v>101</v>
      </c>
      <c r="CN10" s="91" t="s">
        <v>102</v>
      </c>
      <c r="CO10" s="91" t="s">
        <v>103</v>
      </c>
      <c r="CP10" s="92" t="s">
        <v>104</v>
      </c>
      <c r="CQ10" s="92" t="s">
        <v>105</v>
      </c>
      <c r="CR10" s="13"/>
      <c r="CS10" s="13"/>
      <c r="CT10" s="13"/>
      <c r="CU10" s="13"/>
    </row>
    <row r="11" spans="1:99" s="49" customFormat="1" ht="14.1" customHeight="1">
      <c r="A11" s="93" t="s">
        <v>106</v>
      </c>
      <c r="B11" s="49">
        <f>AVERAGE(B7:B10)</f>
        <v>102.75</v>
      </c>
      <c r="E11" s="50">
        <f>AVERAGE(E7:E10)</f>
        <v>409.45249999999999</v>
      </c>
      <c r="G11" s="50">
        <f>AVERAGE(G7:G10)</f>
        <v>2924.5144812500002</v>
      </c>
      <c r="H11" s="50">
        <f>AVERAGE(H7:H10)</f>
        <v>2845.9946794986199</v>
      </c>
      <c r="J11" s="94">
        <f>AVERAGE(J7:J10)</f>
        <v>1.982378629625537</v>
      </c>
      <c r="K11" s="50" t="s">
        <v>39</v>
      </c>
      <c r="L11" s="50">
        <f>AVERAGE(L7:L10)</f>
        <v>2.6996684001791644</v>
      </c>
      <c r="M11" s="50"/>
      <c r="N11" s="94">
        <f>AVERAGE(N7:N10)</f>
        <v>1.982378629625537</v>
      </c>
      <c r="O11" s="50">
        <f>AVERAGE(O7:O10)</f>
        <v>2.6996684001791644</v>
      </c>
      <c r="P11" s="95"/>
      <c r="Q11" s="95"/>
      <c r="R11" s="95"/>
      <c r="S11" s="6"/>
      <c r="T11" s="13">
        <v>0</v>
      </c>
      <c r="U11" s="14">
        <v>466.15</v>
      </c>
      <c r="V11" s="15"/>
      <c r="W11" s="15"/>
      <c r="X11" s="96">
        <f>AVERAGE(X7:X10)</f>
        <v>0.57824999999999993</v>
      </c>
      <c r="Y11" s="70" t="s">
        <v>107</v>
      </c>
      <c r="Z11" s="96">
        <f>AVERAGE(Z7:Z10)</f>
        <v>20.727</v>
      </c>
      <c r="AA11" s="30"/>
      <c r="AB11" s="72">
        <f>J11</f>
        <v>1.982378629625537</v>
      </c>
      <c r="AC11" s="73">
        <f>AB11/($D$4/$D$2)</f>
        <v>2.699668400179164</v>
      </c>
      <c r="AD11" s="73">
        <f>AB11/Z11</f>
        <v>9.5642332688065657E-2</v>
      </c>
      <c r="AE11" s="73">
        <f>AC11/Z11</f>
        <v>0.13024887345873323</v>
      </c>
      <c r="AF11" s="72">
        <f>N20</f>
        <v>0.79305152888698172</v>
      </c>
      <c r="AG11" s="72">
        <f>AF11/($D$4/$D$2)</f>
        <v>1.0800036482709559</v>
      </c>
      <c r="AH11" s="72">
        <f>AF11/Z18</f>
        <v>1.6080823270196682E-2</v>
      </c>
      <c r="AI11" s="72">
        <f>AG11/Z18</f>
        <v>2.189939388098441E-2</v>
      </c>
      <c r="AJ11" s="73">
        <f>((AB11-AF11)/AB11)*100</f>
        <v>59.994951668905664</v>
      </c>
      <c r="AK11" s="73">
        <f>((AC11-AG11)/AC11)*100</f>
        <v>59.994951668905664</v>
      </c>
      <c r="AL11" s="73">
        <f>((AD11-AH11)/AD11)*100</f>
        <v>83.186500351634294</v>
      </c>
      <c r="AM11" s="73">
        <f>((AE11-AI11)/AE11)*100</f>
        <v>83.18650035163428</v>
      </c>
      <c r="AN11" s="72">
        <f>N29</f>
        <v>-0.66435451026523018</v>
      </c>
      <c r="AO11" s="72">
        <f>AN11/($D$4/$D$2)</f>
        <v>-0.90473981664054637</v>
      </c>
      <c r="AP11" s="72">
        <f>AN11/Z25</f>
        <v>-2.4285513608174811E-3</v>
      </c>
      <c r="AQ11" s="72">
        <f>AO11/Z25</f>
        <v>-3.3072810960686734E-3</v>
      </c>
      <c r="AR11" s="73">
        <f>((AB11-AN11)/AB11)*100</f>
        <v>133.512997988216</v>
      </c>
      <c r="AS11" s="73">
        <f>((AC11-AO11)/AC11)*100</f>
        <v>133.512997988216</v>
      </c>
      <c r="AT11" s="73">
        <f>((AD11-AP11)/AD11)*100</f>
        <v>102.53920130611843</v>
      </c>
      <c r="AU11" s="73">
        <f>((AE11-AQ11)/AE11)*100</f>
        <v>102.53920130611843</v>
      </c>
      <c r="AV11" s="72">
        <f>J11</f>
        <v>1.982378629625537</v>
      </c>
      <c r="AW11" s="72">
        <f>AV11/($D$4/$D$2)</f>
        <v>2.699668400179164</v>
      </c>
      <c r="AX11" s="95">
        <f>M20</f>
        <v>1.0073019350127785</v>
      </c>
      <c r="AY11" s="95">
        <f>AX11/($D$4/$D$2)</f>
        <v>1.3717768960750973</v>
      </c>
      <c r="AZ11" s="95">
        <f>AX11/Z11</f>
        <v>4.8598539827894943E-2</v>
      </c>
      <c r="BA11" s="73">
        <f>AY11/Z11</f>
        <v>6.6183089500414793E-2</v>
      </c>
      <c r="BB11" s="72">
        <f>P21</f>
        <v>1.0073019350127785</v>
      </c>
      <c r="BC11" s="73">
        <f>BB11/($D$4/$D$2)</f>
        <v>1.3717768960750973</v>
      </c>
      <c r="BD11" s="73">
        <f>BB11/Z18</f>
        <v>2.042521047705597E-2</v>
      </c>
      <c r="BE11" s="73">
        <f>BC11/Z18</f>
        <v>2.7815723226562603E-2</v>
      </c>
      <c r="BF11" s="72">
        <f>K20</f>
        <v>1.8003534638997603</v>
      </c>
      <c r="BG11" s="73">
        <f>BF11/($D$4/$D$2)</f>
        <v>2.4517805443460534</v>
      </c>
      <c r="BH11" s="73">
        <f>BF11/Z18</f>
        <v>3.6506033747252656E-2</v>
      </c>
      <c r="BI11" s="73">
        <f>BG11/Z18</f>
        <v>4.9715117107547023E-2</v>
      </c>
      <c r="BJ11" s="72">
        <f>J21</f>
        <v>1.6023123349443806</v>
      </c>
      <c r="BK11" s="73">
        <f>BJ11/($D$4/$D$2)</f>
        <v>2.1820816231678939</v>
      </c>
      <c r="BL11" s="73">
        <f>BJ11/Z18</f>
        <v>3.24903244535183E-2</v>
      </c>
      <c r="BM11" s="73">
        <f>BK11/Z18</f>
        <v>4.4246392151281594E-2</v>
      </c>
      <c r="BN11" s="95">
        <f>M29</f>
        <v>5.4004381161007675</v>
      </c>
      <c r="BO11" s="95">
        <f>BN11/($D$4/$D$2)</f>
        <v>7.354494197667135</v>
      </c>
      <c r="BP11" s="95">
        <f>BN11/Z25</f>
        <v>1.974132956609434E-2</v>
      </c>
      <c r="BQ11" s="73">
        <f>BO11/Z25</f>
        <v>2.6884391715408448E-2</v>
      </c>
      <c r="BR11" s="72">
        <f>P30</f>
        <v>6.0937714494341009</v>
      </c>
      <c r="BS11" s="73">
        <f>BR11/($D$4/$D$2)</f>
        <v>8.2986983284110458</v>
      </c>
      <c r="BT11" s="73">
        <f>BR11/Z25</f>
        <v>2.227581316506105E-2</v>
      </c>
      <c r="BU11" s="73">
        <f>BS11/Z25</f>
        <v>3.0335934816534016E-2</v>
      </c>
      <c r="BV11" s="72">
        <f>K29</f>
        <v>4.7133380782707333</v>
      </c>
      <c r="BW11" s="73">
        <f>BV11/($D$4/$D$2)</f>
        <v>6.4187787736958608</v>
      </c>
      <c r="BX11" s="73">
        <f>BV11/Z25</f>
        <v>1.7229631811195838E-2</v>
      </c>
      <c r="BY11" s="73">
        <f>BW11/Z25</f>
        <v>2.3463879125953577E-2</v>
      </c>
      <c r="BZ11" s="72">
        <f>J30</f>
        <v>9.7199136702474433</v>
      </c>
      <c r="CA11" s="73">
        <f>BZ11/($D$4/$D$2)</f>
        <v>13.236898035464209</v>
      </c>
      <c r="CB11" s="73">
        <f>BZ11/Z25</f>
        <v>3.5531194875886254E-2</v>
      </c>
      <c r="CC11" s="73">
        <f>CA11/Z25</f>
        <v>4.8387549478959679E-2</v>
      </c>
      <c r="CD11" s="13"/>
      <c r="CE11" s="97">
        <f>B11</f>
        <v>102.75</v>
      </c>
      <c r="CF11" s="13">
        <f>Z11</f>
        <v>20.727</v>
      </c>
      <c r="CG11" s="40">
        <f>((CE11/18)*CF11)/22.5</f>
        <v>5.2585166666666669</v>
      </c>
      <c r="CH11" s="40"/>
      <c r="CI11" s="40">
        <f>X28</f>
        <v>0</v>
      </c>
      <c r="CJ11" s="40">
        <f>X29</f>
        <v>0</v>
      </c>
      <c r="CK11" s="40">
        <f>X30</f>
        <v>0</v>
      </c>
      <c r="CL11" s="40">
        <f>X31</f>
        <v>0</v>
      </c>
      <c r="CM11" s="40">
        <f>X32</f>
        <v>0</v>
      </c>
      <c r="CN11" s="40">
        <f>X33</f>
        <v>0</v>
      </c>
      <c r="CO11" s="13">
        <f>X11</f>
        <v>0.57824999999999993</v>
      </c>
      <c r="CP11" s="13">
        <f>X18</f>
        <v>0.1812</v>
      </c>
      <c r="CQ11" s="13">
        <f>X25</f>
        <v>7.5999999999999998E-2</v>
      </c>
      <c r="CR11" s="13"/>
      <c r="CS11" s="13"/>
      <c r="CT11" s="13"/>
      <c r="CU11" s="13"/>
    </row>
    <row r="12" spans="1:99" ht="14.1" customHeight="1" thickBot="1">
      <c r="B12" s="98"/>
      <c r="C12" s="65"/>
      <c r="D12" s="99"/>
      <c r="E12" s="13"/>
      <c r="F12" s="13"/>
      <c r="G12" s="13"/>
      <c r="H12" s="13"/>
      <c r="I12" s="13"/>
      <c r="J12" s="6" t="s">
        <v>108</v>
      </c>
      <c r="K12" s="13"/>
      <c r="L12" s="13"/>
      <c r="M12" s="12" t="s">
        <v>39</v>
      </c>
      <c r="N12" s="13"/>
      <c r="O12" s="13"/>
      <c r="P12" s="13"/>
      <c r="Q12" s="30"/>
      <c r="R12" s="30"/>
      <c r="U12" s="14">
        <v>507.66</v>
      </c>
      <c r="V12" s="15"/>
      <c r="W12" s="15"/>
      <c r="Y12" s="70"/>
      <c r="Z12" s="96"/>
      <c r="AA12" s="30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30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40"/>
      <c r="CG12" s="40"/>
      <c r="CH12" s="40"/>
      <c r="CI12" s="40"/>
      <c r="CJ12" s="40"/>
      <c r="CK12" s="40"/>
      <c r="CL12" s="40"/>
      <c r="CM12" s="40"/>
      <c r="CN12" s="40"/>
    </row>
    <row r="13" spans="1:99" ht="14.1" customHeight="1" thickBot="1">
      <c r="B13" s="98"/>
      <c r="C13" s="65"/>
      <c r="D13" s="99"/>
      <c r="E13" s="13"/>
      <c r="F13" s="13"/>
      <c r="G13" s="13"/>
      <c r="H13" s="13"/>
      <c r="I13" s="13"/>
      <c r="J13" s="6"/>
      <c r="K13" s="13"/>
      <c r="L13" s="13"/>
      <c r="M13" s="100" t="s">
        <v>32</v>
      </c>
      <c r="N13" s="101"/>
      <c r="O13" s="101"/>
      <c r="P13" s="101"/>
      <c r="Q13" s="30"/>
      <c r="R13" s="102" t="s">
        <v>25</v>
      </c>
      <c r="S13" s="103" t="s">
        <v>109</v>
      </c>
      <c r="T13" s="13">
        <v>30</v>
      </c>
      <c r="U13" s="14">
        <v>487.24</v>
      </c>
      <c r="V13" s="15"/>
      <c r="W13" s="15"/>
      <c r="X13" s="69">
        <v>0.217</v>
      </c>
      <c r="Y13" s="30">
        <v>90</v>
      </c>
      <c r="Z13" s="71">
        <v>52.936999999999998</v>
      </c>
      <c r="AA13" s="40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19"/>
      <c r="AY13" s="74"/>
      <c r="AZ13" s="74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40"/>
      <c r="CG13" s="40"/>
      <c r="CH13" s="40"/>
      <c r="CI13" s="40"/>
      <c r="CJ13" s="40"/>
      <c r="CK13" s="40"/>
      <c r="CL13" s="40"/>
      <c r="CM13" s="40"/>
      <c r="CN13" s="40"/>
    </row>
    <row r="14" spans="1:99" ht="14.1" customHeight="1">
      <c r="A14" s="12">
        <v>90</v>
      </c>
      <c r="B14" s="75">
        <v>99</v>
      </c>
      <c r="C14" s="65"/>
      <c r="D14" s="104">
        <f>AVERAGE(U17:U18)</f>
        <v>452.41999999999996</v>
      </c>
      <c r="E14" s="78">
        <f>D14-$E$5</f>
        <v>407.20499999999993</v>
      </c>
      <c r="F14" s="78"/>
      <c r="G14" s="78">
        <f t="shared" ref="G14:G27" si="0">($E14*7.1425)</f>
        <v>2908.4617124999995</v>
      </c>
      <c r="H14" s="78">
        <f t="shared" ref="H14:H27" si="1">($G14/($B14*0.01))</f>
        <v>2937.8401136363632</v>
      </c>
      <c r="I14" s="33">
        <f>$C$15*A14+$C$16</f>
        <v>2939.2173174999994</v>
      </c>
      <c r="J14" s="105" t="s">
        <v>110</v>
      </c>
      <c r="K14" s="106" t="s">
        <v>111</v>
      </c>
      <c r="L14" s="13"/>
      <c r="M14" s="107">
        <f>(((S14/60)*$J$1)/$D$2)</f>
        <v>1.0073019350127785</v>
      </c>
      <c r="N14" s="101"/>
      <c r="O14" s="101"/>
      <c r="P14" s="101"/>
      <c r="Q14" s="30"/>
      <c r="R14" s="108">
        <v>90</v>
      </c>
      <c r="S14" s="109">
        <v>31</v>
      </c>
      <c r="U14" s="14">
        <v>478.42</v>
      </c>
      <c r="V14" s="15"/>
      <c r="W14" s="110"/>
      <c r="X14" s="69">
        <v>0.187</v>
      </c>
      <c r="Y14" s="30">
        <v>100</v>
      </c>
      <c r="Z14" s="71">
        <v>49.000999999999998</v>
      </c>
      <c r="AA14" s="40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19"/>
      <c r="AY14" s="74"/>
      <c r="AZ14" s="74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40"/>
      <c r="CG14" s="40"/>
      <c r="CH14" s="40"/>
      <c r="CI14" s="40"/>
      <c r="CJ14" s="40"/>
      <c r="CK14" s="40"/>
      <c r="CL14" s="40"/>
      <c r="CM14" s="40"/>
      <c r="CN14" s="40"/>
    </row>
    <row r="15" spans="1:99" s="115" customFormat="1" ht="14.1" customHeight="1">
      <c r="A15" s="12">
        <v>100</v>
      </c>
      <c r="B15" s="75">
        <v>100</v>
      </c>
      <c r="C15" s="65">
        <f>SLOPE(G15:G18,A15:A18)</f>
        <v>7.5253380000000165</v>
      </c>
      <c r="D15" s="104">
        <f>AVERAGE(U19:U20)</f>
        <v>462.65999999999997</v>
      </c>
      <c r="E15" s="66">
        <f>D15-$E$5</f>
        <v>417.44499999999994</v>
      </c>
      <c r="F15" s="111">
        <v>180</v>
      </c>
      <c r="G15" s="112">
        <f t="shared" si="0"/>
        <v>2981.6009124999996</v>
      </c>
      <c r="H15" s="78">
        <f t="shared" si="1"/>
        <v>2981.6009124999996</v>
      </c>
      <c r="I15" s="33">
        <f>$C$15*A15+$C$16</f>
        <v>3014.4706974999995</v>
      </c>
      <c r="J15" s="113">
        <f>((($N$2-(130*$D$2*(((B15+B14)*0.01)/2))*((I15-I14)/(A15-A14))))/((I15+I14)/2))/$D$2</f>
        <v>1.5646713217032004</v>
      </c>
      <c r="K15" s="114">
        <f>$N$2/H15/$D$2</f>
        <v>1.8886447526935006</v>
      </c>
      <c r="L15" s="114">
        <f>J15/($D$4/$D$2)</f>
        <v>2.1308208536663913</v>
      </c>
      <c r="M15" s="107">
        <f>(((S15/60)*$J$1)/$D$2)</f>
        <v>1.0073019350127785</v>
      </c>
      <c r="N15" s="19">
        <f>K15-M15</f>
        <v>0.88134281768072209</v>
      </c>
      <c r="O15" s="74">
        <f>N15/($D$4/$D$2)</f>
        <v>1.2002416284456001</v>
      </c>
      <c r="P15" s="74"/>
      <c r="Q15" s="30"/>
      <c r="R15" s="108">
        <v>100</v>
      </c>
      <c r="S15" s="109">
        <v>31</v>
      </c>
      <c r="T15" s="13">
        <v>60</v>
      </c>
      <c r="U15" s="14">
        <v>472.73</v>
      </c>
      <c r="V15" s="15"/>
      <c r="W15" s="110"/>
      <c r="X15" s="69">
        <v>0.17100000000000001</v>
      </c>
      <c r="Y15" s="30">
        <v>110</v>
      </c>
      <c r="Z15" s="71">
        <v>48.215000000000003</v>
      </c>
      <c r="AA15" s="40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19"/>
      <c r="AY15" s="74"/>
      <c r="AZ15" s="74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40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40"/>
      <c r="CH15" s="40"/>
      <c r="CI15" s="40"/>
      <c r="CJ15" s="40"/>
      <c r="CK15" s="40"/>
      <c r="CL15" s="40"/>
      <c r="CM15" s="40"/>
      <c r="CN15" s="40"/>
      <c r="CO15" s="13"/>
      <c r="CP15" s="13"/>
      <c r="CQ15" s="13"/>
      <c r="CR15" s="13"/>
      <c r="CS15" s="13"/>
      <c r="CT15" s="13"/>
      <c r="CU15" s="13"/>
    </row>
    <row r="16" spans="1:99" ht="14.1" customHeight="1">
      <c r="A16" s="12">
        <v>110</v>
      </c>
      <c r="B16" s="75">
        <v>98</v>
      </c>
      <c r="C16" s="65">
        <f>INTERCEPT(G15:G18,A15:A18)</f>
        <v>2261.9368974999979</v>
      </c>
      <c r="D16" s="104">
        <f>AVERAGE(U21:U22)</f>
        <v>480.76</v>
      </c>
      <c r="E16" s="66">
        <f>D16-$E$5</f>
        <v>435.54499999999996</v>
      </c>
      <c r="F16" s="116">
        <v>210</v>
      </c>
      <c r="G16" s="66">
        <f t="shared" si="0"/>
        <v>3110.8801624999996</v>
      </c>
      <c r="H16" s="78">
        <f t="shared" si="1"/>
        <v>3174.3675127551019</v>
      </c>
      <c r="I16" s="33">
        <f>$C$15*A16+$C$16</f>
        <v>3089.7240775</v>
      </c>
      <c r="J16" s="113">
        <f>((($N$2-(130*$D$2*(((B16+B15)*0.01)/2))*((I16-I15)/(A16-A15))))/((I16+I15)/2))/$D$2</f>
        <v>1.5276949996797144</v>
      </c>
      <c r="K16" s="67">
        <f>$N$2/H16/$D$2</f>
        <v>1.7739549360281384</v>
      </c>
      <c r="L16" s="67">
        <f>J16/($D$4/$D$2)</f>
        <v>2.0804652825207768</v>
      </c>
      <c r="M16" s="107">
        <f>(((S16/60)*$J$1)/$D$2)</f>
        <v>1.0073019350127785</v>
      </c>
      <c r="N16" s="19">
        <f>K16-M16</f>
        <v>0.76665300101535983</v>
      </c>
      <c r="O16" s="67">
        <f>N16/($D$4/$D$2)</f>
        <v>1.0440532650085372</v>
      </c>
      <c r="P16" s="67"/>
      <c r="Q16" s="30"/>
      <c r="R16" s="108">
        <v>110</v>
      </c>
      <c r="S16" s="109">
        <v>31</v>
      </c>
      <c r="U16" s="14">
        <v>459.65</v>
      </c>
      <c r="V16" s="15"/>
      <c r="W16" s="110"/>
      <c r="X16" s="69">
        <v>0.189</v>
      </c>
      <c r="Y16" s="30">
        <v>115</v>
      </c>
      <c r="Z16" s="71">
        <v>48.215000000000003</v>
      </c>
      <c r="AA16" s="40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19"/>
      <c r="AY16" s="74"/>
      <c r="AZ16" s="74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40"/>
    </row>
    <row r="17" spans="1:67" ht="14.1" customHeight="1">
      <c r="A17" s="12">
        <v>115</v>
      </c>
      <c r="B17" s="75">
        <v>99</v>
      </c>
      <c r="C17" s="65"/>
      <c r="D17" s="104">
        <f>AVERAGE(U23:U24)</f>
        <v>495.55</v>
      </c>
      <c r="E17" s="66">
        <f>D17-$E$5</f>
        <v>450.33500000000004</v>
      </c>
      <c r="F17" s="116">
        <v>220</v>
      </c>
      <c r="G17" s="66">
        <f t="shared" si="0"/>
        <v>3216.5177375000003</v>
      </c>
      <c r="H17" s="78">
        <f t="shared" si="1"/>
        <v>3249.007815656566</v>
      </c>
      <c r="I17" s="33">
        <f>$C$15*A17+$C$16</f>
        <v>3127.3507675000001</v>
      </c>
      <c r="J17" s="113">
        <f>((($N$2-(130*$D$2*(((B17+B16)*0.01)/2))*((I17-I16)/(A17-A16))))/((I17+I16)/2))/$D$2</f>
        <v>1.5015310265640771</v>
      </c>
      <c r="K17" s="67">
        <f>$N$2/H17/$D$2</f>
        <v>1.7332014071752291</v>
      </c>
      <c r="L17" s="67">
        <f>J17/($D$4/$D$2)</f>
        <v>2.0448343236374247</v>
      </c>
      <c r="M17" s="107">
        <f>(((S17/60)*$J$1)/$D$2)</f>
        <v>1.0073019350127785</v>
      </c>
      <c r="N17" s="19">
        <f>K17-M17</f>
        <v>0.72589947216245054</v>
      </c>
      <c r="O17" s="67">
        <f>N17/($D$4/$D$2)</f>
        <v>0.98855376940472739</v>
      </c>
      <c r="P17" s="67"/>
      <c r="Q17" s="30"/>
      <c r="R17" s="108">
        <v>115</v>
      </c>
      <c r="S17" s="117">
        <v>31</v>
      </c>
      <c r="T17" s="40">
        <v>90</v>
      </c>
      <c r="U17" s="14">
        <v>441.81</v>
      </c>
      <c r="V17" s="15"/>
      <c r="W17" s="110"/>
      <c r="X17" s="69">
        <v>0.14199999999999999</v>
      </c>
      <c r="Y17" s="30">
        <v>120</v>
      </c>
      <c r="Z17" s="71">
        <v>48.215000000000003</v>
      </c>
      <c r="AA17" s="40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19"/>
      <c r="AY17" s="74"/>
      <c r="AZ17" s="74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40"/>
    </row>
    <row r="18" spans="1:67" ht="14.1" customHeight="1">
      <c r="A18" s="12">
        <v>120</v>
      </c>
      <c r="B18" s="198">
        <v>99</v>
      </c>
      <c r="C18" s="65"/>
      <c r="D18" s="104">
        <f>AVERAGE(U25:U26)</f>
        <v>477.49</v>
      </c>
      <c r="E18" s="66">
        <f>D18-$E$5</f>
        <v>432.27499999999998</v>
      </c>
      <c r="F18" s="116">
        <v>225</v>
      </c>
      <c r="G18" s="66">
        <f t="shared" si="0"/>
        <v>3087.5241874999997</v>
      </c>
      <c r="H18" s="78">
        <f t="shared" si="1"/>
        <v>3118.7113005050501</v>
      </c>
      <c r="I18" s="33">
        <f>$C$15*A18+$C$16</f>
        <v>3164.9774575000001</v>
      </c>
      <c r="J18" s="113">
        <f>((($N$2-(130*$D$2*(((B18+B17)*0.01)/2))*((I18-I17)/(A18-A17))))/((I18+I17)/2))/$D$2</f>
        <v>1.4820186584971973</v>
      </c>
      <c r="K18" s="67">
        <f>$N$2/H18/$D$2</f>
        <v>1.8056127597021732</v>
      </c>
      <c r="L18" s="67">
        <f>J18/($D$4/$D$2)</f>
        <v>2.0182617392201023</v>
      </c>
      <c r="M18" s="107">
        <f>(((S18/60)*$J$1)/$D$2)</f>
        <v>1.0073019350127785</v>
      </c>
      <c r="N18" s="19">
        <f>K18-M18</f>
        <v>0.79831082468939463</v>
      </c>
      <c r="O18" s="67">
        <f>N18/($D$4/$D$2)</f>
        <v>1.0871659302249594</v>
      </c>
      <c r="P18" s="67"/>
      <c r="Q18" s="30"/>
      <c r="R18" s="108">
        <v>120</v>
      </c>
      <c r="S18" s="117">
        <v>31</v>
      </c>
      <c r="T18" s="30"/>
      <c r="U18" s="14">
        <v>463.03</v>
      </c>
      <c r="V18" s="15"/>
      <c r="W18" s="110"/>
      <c r="X18" s="96">
        <f>AVERAGE(X13:X17)</f>
        <v>0.1812</v>
      </c>
      <c r="Y18" s="30" t="s">
        <v>107</v>
      </c>
      <c r="Z18" s="96">
        <f>AVERAGE(Z13:Z17)</f>
        <v>49.316600000000001</v>
      </c>
      <c r="AA18" s="30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5"/>
      <c r="AY18" s="95"/>
      <c r="AZ18" s="95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2"/>
      <c r="BO18" s="40"/>
    </row>
    <row r="19" spans="1:67" ht="14.1" customHeight="1" thickBot="1">
      <c r="A19" s="63"/>
      <c r="B19" s="98"/>
      <c r="C19" s="65"/>
      <c r="D19" s="99"/>
      <c r="E19" s="66"/>
      <c r="F19" s="63"/>
      <c r="G19" s="66"/>
      <c r="H19" s="66"/>
      <c r="I19" s="33"/>
      <c r="J19" s="113"/>
      <c r="K19" s="67"/>
      <c r="L19" s="67"/>
      <c r="M19" s="107"/>
      <c r="O19" s="67"/>
      <c r="P19" s="67"/>
      <c r="Q19" s="30"/>
      <c r="R19" s="108"/>
      <c r="S19" s="117"/>
      <c r="T19" s="41">
        <v>100</v>
      </c>
      <c r="U19" s="14">
        <v>459.77</v>
      </c>
      <c r="V19" s="15"/>
      <c r="W19" s="110"/>
      <c r="Y19" s="30"/>
      <c r="Z19" s="96"/>
      <c r="AA19" s="30"/>
      <c r="AB19" s="96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30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40"/>
    </row>
    <row r="20" spans="1:67" ht="14.1" customHeight="1" thickBot="1">
      <c r="A20" s="119" t="s">
        <v>112</v>
      </c>
      <c r="B20" s="120">
        <f>AVERAGE(B14:B19)</f>
        <v>99</v>
      </c>
      <c r="C20" s="121"/>
      <c r="D20" s="122">
        <f>AVERAGE(D14:D18)</f>
        <v>473.77600000000001</v>
      </c>
      <c r="E20" s="122">
        <f>AVERAGE(E14:E18)</f>
        <v>428.56099999999998</v>
      </c>
      <c r="F20" s="122"/>
      <c r="G20" s="122">
        <f>AVERAGE(G14:G18)</f>
        <v>3060.9969424999995</v>
      </c>
      <c r="H20" s="122">
        <f>AVERAGE(H14:H18)</f>
        <v>3092.3055310106165</v>
      </c>
      <c r="I20" s="122"/>
      <c r="J20" s="122">
        <f t="shared" ref="J20:O20" si="2">AVERAGE(J14:J18)</f>
        <v>1.5189790016110474</v>
      </c>
      <c r="K20" s="123">
        <f t="shared" si="2"/>
        <v>1.8003534638997603</v>
      </c>
      <c r="L20" s="122">
        <f t="shared" si="2"/>
        <v>2.0685955497611737</v>
      </c>
      <c r="M20" s="122">
        <f t="shared" si="2"/>
        <v>1.0073019350127785</v>
      </c>
      <c r="N20" s="123">
        <f t="shared" si="2"/>
        <v>0.79305152888698172</v>
      </c>
      <c r="O20" s="122">
        <f t="shared" si="2"/>
        <v>1.0800036482709561</v>
      </c>
      <c r="P20" s="124"/>
      <c r="Q20" s="30"/>
      <c r="R20" s="108"/>
      <c r="S20" s="117"/>
      <c r="T20" s="41"/>
      <c r="U20" s="14">
        <v>465.55</v>
      </c>
      <c r="V20" s="15"/>
      <c r="W20" s="110"/>
      <c r="X20" s="69">
        <v>8.5000000000000006E-2</v>
      </c>
      <c r="Y20" s="70">
        <v>210</v>
      </c>
      <c r="Z20" s="71">
        <v>305</v>
      </c>
      <c r="AA20" s="40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4"/>
      <c r="AY20" s="74"/>
      <c r="AZ20" s="74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40"/>
    </row>
    <row r="21" spans="1:67" ht="14.1" customHeight="1" thickBot="1">
      <c r="A21" s="70"/>
      <c r="B21" s="118"/>
      <c r="C21" s="36"/>
      <c r="D21" s="99"/>
      <c r="E21" s="33"/>
      <c r="F21" s="125" t="s">
        <v>113</v>
      </c>
      <c r="G21" s="33"/>
      <c r="H21" s="33"/>
      <c r="I21" s="126" t="s">
        <v>114</v>
      </c>
      <c r="J21" s="127">
        <f>J20-((B18-B15)*0.25*$D$2*10)/(30*$D$2)</f>
        <v>1.6023123349443806</v>
      </c>
      <c r="K21" s="74"/>
      <c r="L21" s="128" t="s">
        <v>33</v>
      </c>
      <c r="M21" s="129">
        <f>J21-M20</f>
        <v>0.5950103999316021</v>
      </c>
      <c r="N21" s="19"/>
      <c r="O21" s="74"/>
      <c r="P21" s="130">
        <f>$M$20-(((B18-B14)*1.3)/(A18-A14))</f>
        <v>1.0073019350127785</v>
      </c>
      <c r="Q21" s="30"/>
      <c r="R21" s="131"/>
      <c r="S21" s="117"/>
      <c r="T21" s="41">
        <v>110</v>
      </c>
      <c r="U21" s="14">
        <v>498.4</v>
      </c>
      <c r="V21" s="15"/>
      <c r="W21" s="110"/>
      <c r="X21" s="69">
        <v>8.5000000000000006E-2</v>
      </c>
      <c r="Y21" s="70">
        <v>220</v>
      </c>
      <c r="Z21" s="71">
        <v>228.98</v>
      </c>
      <c r="AA21" s="40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4"/>
      <c r="AY21" s="74"/>
      <c r="AZ21" s="74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40"/>
    </row>
    <row r="22" spans="1:67" ht="14.1" customHeight="1" thickBot="1">
      <c r="A22" s="63"/>
      <c r="B22" s="98"/>
      <c r="C22" s="65"/>
      <c r="D22" s="99"/>
      <c r="E22" s="66"/>
      <c r="F22" s="63"/>
      <c r="G22" s="66"/>
      <c r="H22" s="66"/>
      <c r="I22" s="33"/>
      <c r="J22" s="132"/>
      <c r="K22" s="67"/>
      <c r="L22" s="133"/>
      <c r="M22" s="134"/>
      <c r="N22" s="101"/>
      <c r="O22" s="133"/>
      <c r="P22" s="133"/>
      <c r="Q22" s="30"/>
      <c r="R22" s="102" t="s">
        <v>25</v>
      </c>
      <c r="S22" s="103" t="s">
        <v>109</v>
      </c>
      <c r="T22" s="30"/>
      <c r="U22" s="14">
        <v>463.12</v>
      </c>
      <c r="V22" s="15"/>
      <c r="W22" s="110"/>
      <c r="X22" s="69">
        <v>6.7000000000000004E-2</v>
      </c>
      <c r="Y22" s="70">
        <v>230</v>
      </c>
      <c r="Z22" s="71">
        <v>299.20999999999998</v>
      </c>
      <c r="AA22" s="40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4"/>
      <c r="AY22" s="74"/>
      <c r="AZ22" s="74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40"/>
    </row>
    <row r="23" spans="1:67" ht="14.1" customHeight="1">
      <c r="A23" s="63">
        <v>210</v>
      </c>
      <c r="B23" s="75">
        <v>100</v>
      </c>
      <c r="C23" s="65"/>
      <c r="D23" s="104">
        <f>AVERAGE(U31:U32)</f>
        <v>228.33999999999997</v>
      </c>
      <c r="E23" s="78">
        <f>D23-$E$5</f>
        <v>183.12499999999997</v>
      </c>
      <c r="F23" s="78"/>
      <c r="G23" s="78">
        <f t="shared" si="0"/>
        <v>1307.9703124999999</v>
      </c>
      <c r="H23" s="78">
        <f t="shared" si="1"/>
        <v>1307.9703124999999</v>
      </c>
      <c r="I23" s="33">
        <f>$C$24*A23+$C$25</f>
        <v>1491.4448117857137</v>
      </c>
      <c r="J23" s="105" t="s">
        <v>110</v>
      </c>
      <c r="K23" s="106" t="s">
        <v>111</v>
      </c>
      <c r="L23" s="67"/>
      <c r="M23" s="19">
        <f>(((S23/60)*$J$1)/$D$2)</f>
        <v>5.4914202263599865</v>
      </c>
      <c r="N23" s="101"/>
      <c r="O23" s="133"/>
      <c r="P23" s="133"/>
      <c r="Q23" s="30"/>
      <c r="R23" s="131">
        <v>210</v>
      </c>
      <c r="S23" s="117">
        <v>169</v>
      </c>
      <c r="T23" s="13">
        <v>115</v>
      </c>
      <c r="U23" s="14">
        <v>485.56</v>
      </c>
      <c r="V23" s="15"/>
      <c r="W23" s="110"/>
      <c r="X23" s="69">
        <v>7.8E-2</v>
      </c>
      <c r="Y23" s="70">
        <v>235</v>
      </c>
      <c r="Z23" s="71">
        <v>236.33</v>
      </c>
      <c r="AA23" s="40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4"/>
      <c r="AY23" s="74"/>
      <c r="AZ23" s="74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40"/>
    </row>
    <row r="24" spans="1:67" ht="14.1" customHeight="1">
      <c r="A24" s="63">
        <v>220</v>
      </c>
      <c r="B24" s="75">
        <v>108</v>
      </c>
      <c r="C24" s="65">
        <f>SLOPE(G24:G27,A24:A27)</f>
        <v>-17.789518642857136</v>
      </c>
      <c r="D24" s="104">
        <f>AVERAGE(U33:U34)</f>
        <v>227.02499999999998</v>
      </c>
      <c r="E24" s="66">
        <f>D24-$E$5</f>
        <v>181.80999999999997</v>
      </c>
      <c r="F24" s="111">
        <v>180</v>
      </c>
      <c r="G24" s="112">
        <f t="shared" si="0"/>
        <v>1298.5779249999998</v>
      </c>
      <c r="H24" s="112">
        <f t="shared" si="1"/>
        <v>1202.3869675925923</v>
      </c>
      <c r="I24" s="33">
        <f>$C$24*A24+$C$25</f>
        <v>1313.5496253571423</v>
      </c>
      <c r="J24" s="113">
        <f>((($N$2-(130*$D$2*(((B24+B23)*0.01)/2))*((I24-I23)/(A24-A23))))/((I24+I23)/2))/$D$2</f>
        <v>5.7300133876338801</v>
      </c>
      <c r="K24" s="114">
        <f>$N$2/H24/$D$2</f>
        <v>4.683338284424341</v>
      </c>
      <c r="L24" s="114">
        <f>J24/($D$4/$D$2)</f>
        <v>7.8033206391660936</v>
      </c>
      <c r="M24" s="107">
        <f>(((S24/60)*$J$1)/$D$2)</f>
        <v>5.4914202263599865</v>
      </c>
      <c r="N24" s="19">
        <f>K24-M24</f>
        <v>-0.80808194193564553</v>
      </c>
      <c r="O24" s="74">
        <f>N24/($D$4/$D$2)</f>
        <v>-1.1004725589738438</v>
      </c>
      <c r="P24" s="74"/>
      <c r="Q24" s="30"/>
      <c r="R24" s="131">
        <v>220</v>
      </c>
      <c r="S24" s="117">
        <v>169</v>
      </c>
      <c r="U24" s="14">
        <v>505.54</v>
      </c>
      <c r="V24" s="15"/>
      <c r="W24" s="110"/>
      <c r="X24" s="69">
        <v>6.5000000000000002E-2</v>
      </c>
      <c r="Y24" s="70">
        <v>240</v>
      </c>
      <c r="Z24" s="71">
        <v>298.27999999999997</v>
      </c>
      <c r="AA24" s="40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4"/>
      <c r="AY24" s="74"/>
      <c r="AZ24" s="74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40"/>
    </row>
    <row r="25" spans="1:67" ht="14.1" customHeight="1">
      <c r="A25" s="63">
        <v>230</v>
      </c>
      <c r="B25" s="75">
        <v>96</v>
      </c>
      <c r="C25" s="65">
        <f>INTERCEPT(G24:G27,A24:A27)</f>
        <v>5227.2437267857122</v>
      </c>
      <c r="D25" s="104">
        <f>AVERAGE(U35:U36)</f>
        <v>210.065</v>
      </c>
      <c r="E25" s="66">
        <f>D25-$E$5</f>
        <v>164.85</v>
      </c>
      <c r="F25" s="111">
        <v>180</v>
      </c>
      <c r="G25" s="112">
        <f t="shared" si="0"/>
        <v>1177.4411250000001</v>
      </c>
      <c r="H25" s="112">
        <f t="shared" si="1"/>
        <v>1226.5011718750002</v>
      </c>
      <c r="I25" s="33">
        <f>$C$24*A25+$C$25</f>
        <v>1135.6544389285709</v>
      </c>
      <c r="J25" s="113">
        <f>((($N$2-(130*$D$2*(((B25+B24)*0.01)/2))*((I25-I24)/(A25-A24))))/((I25+I24)/2))/$D$2</f>
        <v>6.5246299453552163</v>
      </c>
      <c r="K25" s="114">
        <f>$N$2/H25/$D$2</f>
        <v>4.5912593050446624</v>
      </c>
      <c r="L25" s="114">
        <f>J25/($D$4/$D$2)</f>
        <v>8.885455595163199</v>
      </c>
      <c r="M25" s="107">
        <f>(((S25/60)*$J$1)/$D$2)</f>
        <v>5.0040160642570291</v>
      </c>
      <c r="N25" s="19">
        <f>K25-M25</f>
        <v>-0.41275675921236665</v>
      </c>
      <c r="O25" s="114">
        <f>N25/($D$4/$D$2)</f>
        <v>-0.56210572650113466</v>
      </c>
      <c r="P25" s="74"/>
      <c r="Q25" s="30"/>
      <c r="R25" s="131">
        <v>230</v>
      </c>
      <c r="S25" s="117">
        <v>154</v>
      </c>
      <c r="T25" s="13">
        <v>120</v>
      </c>
      <c r="U25" s="14">
        <v>487.87</v>
      </c>
      <c r="V25" s="15"/>
      <c r="W25" s="110"/>
      <c r="X25" s="96">
        <f>AVERAGE(X20:X24)</f>
        <v>7.5999999999999998E-2</v>
      </c>
      <c r="Y25" s="57" t="s">
        <v>107</v>
      </c>
      <c r="Z25" s="96">
        <f>AVERAGE(Z20:Z24)</f>
        <v>273.56</v>
      </c>
      <c r="AA25" s="30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5"/>
      <c r="AY25" s="95"/>
      <c r="AZ25" s="95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40"/>
    </row>
    <row r="26" spans="1:67" ht="14.1" customHeight="1">
      <c r="A26" s="63">
        <v>235</v>
      </c>
      <c r="B26" s="75">
        <v>84</v>
      </c>
      <c r="C26" s="65"/>
      <c r="D26" s="104">
        <f>AVERAGE(U37:U38)</f>
        <v>188.44499999999999</v>
      </c>
      <c r="E26" s="66">
        <f>D26-$E$5</f>
        <v>143.22999999999999</v>
      </c>
      <c r="F26" s="111">
        <v>180</v>
      </c>
      <c r="G26" s="112">
        <f t="shared" si="0"/>
        <v>1023.020275</v>
      </c>
      <c r="H26" s="112">
        <f t="shared" si="1"/>
        <v>1217.8812797619048</v>
      </c>
      <c r="I26" s="33">
        <f>$C$24*A26+$C$25</f>
        <v>1046.706845714285</v>
      </c>
      <c r="J26" s="113">
        <f>((($N$2-(130*$D$2*(((B26+B25)*0.01)/2))*((I26-I25)/(A26-A25))))/((I26+I25)/2))/$D$2</f>
        <v>7.0680859796280062</v>
      </c>
      <c r="K26" s="114">
        <f>$N$2/H26/$D$2</f>
        <v>4.6237552145642402</v>
      </c>
      <c r="L26" s="114">
        <f>J26/($D$4/$D$2)</f>
        <v>9.6255518919488825</v>
      </c>
      <c r="M26" s="107">
        <f>(((S26/60)*$J$1)/$D$2)</f>
        <v>5.0040160642570291</v>
      </c>
      <c r="N26" s="19">
        <f>K26-M26</f>
        <v>-0.38026084969278884</v>
      </c>
      <c r="O26" s="114">
        <f>N26/($D$4/$D$2)</f>
        <v>-0.51785172842325133</v>
      </c>
      <c r="P26" s="74"/>
      <c r="Q26" s="30"/>
      <c r="R26" s="131">
        <v>235</v>
      </c>
      <c r="S26" s="117">
        <v>154</v>
      </c>
      <c r="U26" s="14">
        <v>467.11</v>
      </c>
      <c r="V26" s="15"/>
      <c r="W26" s="11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</row>
    <row r="27" spans="1:67" ht="14.1" customHeight="1">
      <c r="A27" s="63">
        <v>240</v>
      </c>
      <c r="B27" s="118">
        <v>84</v>
      </c>
      <c r="C27" s="65"/>
      <c r="D27" s="104">
        <f>AVERAGE(U39:U40)</f>
        <v>178.87</v>
      </c>
      <c r="E27" s="66">
        <f>D27-$E$5</f>
        <v>133.655</v>
      </c>
      <c r="F27" s="111">
        <v>180</v>
      </c>
      <c r="G27" s="112">
        <f t="shared" si="0"/>
        <v>954.63083749999998</v>
      </c>
      <c r="H27" s="112">
        <f t="shared" si="1"/>
        <v>1136.4652827380953</v>
      </c>
      <c r="I27" s="33">
        <f>$C$24*A27+$C$25</f>
        <v>957.7592525</v>
      </c>
      <c r="J27" s="113">
        <f>((($N$2-(130*$D$2*(((B27+B26)*0.01)/2))*((I27-I26)/(A27-A26))))/((I27+I26)/2))/$D$2</f>
        <v>7.5569253683726743</v>
      </c>
      <c r="K27" s="114">
        <f>$N$2/H27/$D$2</f>
        <v>4.9549995090496877</v>
      </c>
      <c r="L27" s="114">
        <f>J27/($D$4/$D$2)</f>
        <v>10.291269445010965</v>
      </c>
      <c r="M27" s="107">
        <f>(((S27/60)*$J$1)/$D$2)</f>
        <v>6.0113179992698074</v>
      </c>
      <c r="N27" s="19">
        <f>K27-M27</f>
        <v>-1.0563184902201197</v>
      </c>
      <c r="O27" s="114">
        <f>N27/($D$4/$D$2)</f>
        <v>-1.4385292526639557</v>
      </c>
      <c r="P27" s="74"/>
      <c r="Q27" s="30"/>
      <c r="R27" s="131">
        <v>240</v>
      </c>
      <c r="S27" s="117">
        <v>185</v>
      </c>
      <c r="T27" s="13">
        <v>150</v>
      </c>
      <c r="U27" s="14">
        <v>376.62</v>
      </c>
      <c r="V27" s="15"/>
      <c r="W27" s="11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</row>
    <row r="28" spans="1:67" ht="14.1" customHeight="1" thickBot="1">
      <c r="A28" s="63"/>
      <c r="B28" s="118"/>
      <c r="C28" s="65"/>
      <c r="D28" s="99"/>
      <c r="E28" s="66"/>
      <c r="F28" s="135"/>
      <c r="G28" s="112"/>
      <c r="H28" s="112"/>
      <c r="I28" s="33"/>
      <c r="J28" s="113"/>
      <c r="K28" s="114"/>
      <c r="L28" s="114"/>
      <c r="M28" s="107"/>
      <c r="N28" s="107"/>
      <c r="O28" s="114"/>
      <c r="P28" s="74"/>
      <c r="Q28" s="30"/>
      <c r="R28" s="108"/>
      <c r="S28" s="117"/>
      <c r="U28" s="14">
        <v>383.64</v>
      </c>
      <c r="V28" s="15"/>
      <c r="W28" s="110"/>
      <c r="X28" s="69"/>
      <c r="Y28" s="13" t="s">
        <v>115</v>
      </c>
    </row>
    <row r="29" spans="1:67" ht="14.1" customHeight="1" thickBot="1">
      <c r="A29" s="119" t="s">
        <v>112</v>
      </c>
      <c r="B29" s="122">
        <f>AVERAGE(B23:B28)</f>
        <v>94.4</v>
      </c>
      <c r="C29" s="121"/>
      <c r="D29" s="122">
        <f>AVERAGE(D23:D28)</f>
        <v>206.54899999999998</v>
      </c>
      <c r="E29" s="122">
        <f>AVERAGE(E23:E28)</f>
        <v>161.334</v>
      </c>
      <c r="F29" s="122">
        <f>AVERAGE(F24:F28)</f>
        <v>180</v>
      </c>
      <c r="G29" s="122">
        <f>AVERAGE(G23:G28)</f>
        <v>1152.3280949999998</v>
      </c>
      <c r="H29" s="122">
        <f>AVERAGE(H23:H28)</f>
        <v>1218.2410028935185</v>
      </c>
      <c r="I29" s="122"/>
      <c r="J29" s="122">
        <f t="shared" ref="J29:O29" si="3">AVERAGE(J23:J28)</f>
        <v>6.7199136702474442</v>
      </c>
      <c r="K29" s="123">
        <f t="shared" si="3"/>
        <v>4.7133380782707333</v>
      </c>
      <c r="L29" s="122">
        <f t="shared" si="3"/>
        <v>9.1513993928222845</v>
      </c>
      <c r="M29" s="122">
        <f t="shared" si="3"/>
        <v>5.4004381161007675</v>
      </c>
      <c r="N29" s="123">
        <f t="shared" si="3"/>
        <v>-0.66435451026523018</v>
      </c>
      <c r="O29" s="122">
        <f t="shared" si="3"/>
        <v>-0.90473981664054626</v>
      </c>
      <c r="P29" s="122"/>
      <c r="Q29" s="136"/>
      <c r="R29" s="137"/>
      <c r="S29" s="138"/>
      <c r="T29" s="13">
        <v>180</v>
      </c>
      <c r="U29" s="14">
        <v>245.71</v>
      </c>
      <c r="V29" s="15"/>
      <c r="W29" s="110"/>
      <c r="X29" s="69"/>
      <c r="Y29" s="13" t="s">
        <v>116</v>
      </c>
    </row>
    <row r="30" spans="1:67" ht="14.1" customHeight="1">
      <c r="A30" s="70"/>
      <c r="B30" s="139"/>
      <c r="C30" s="36"/>
      <c r="D30" s="99"/>
      <c r="E30" s="33"/>
      <c r="F30" s="125" t="s">
        <v>117</v>
      </c>
      <c r="G30" s="33"/>
      <c r="H30" s="33"/>
      <c r="I30" s="140" t="s">
        <v>114</v>
      </c>
      <c r="J30" s="141">
        <f>J29-((B27-B24)*0.25*$D$2*10)/(20*$D$2)</f>
        <v>9.7199136702474433</v>
      </c>
      <c r="K30" s="74"/>
      <c r="L30" s="142" t="s">
        <v>33</v>
      </c>
      <c r="M30" s="143">
        <f>J30-M29</f>
        <v>4.3194755541466758</v>
      </c>
      <c r="N30" s="19">
        <f>AVERAGE(J24:J25)-M29</f>
        <v>0.72688355039378116</v>
      </c>
      <c r="O30" s="74"/>
      <c r="P30" s="130">
        <f>$M$29-(((B27-B23)*1.3)/(A27-A23))</f>
        <v>6.0937714494341009</v>
      </c>
      <c r="Q30" s="30"/>
      <c r="R30" s="63"/>
      <c r="S30" s="144"/>
      <c r="U30" s="14">
        <v>244.6</v>
      </c>
      <c r="V30" s="15"/>
      <c r="W30" s="110"/>
      <c r="X30" s="69"/>
      <c r="Y30" s="13" t="s">
        <v>118</v>
      </c>
    </row>
    <row r="31" spans="1:67" ht="14.1" customHeight="1">
      <c r="A31" s="145"/>
      <c r="B31" s="139"/>
      <c r="C31" s="146"/>
      <c r="D31" s="147"/>
      <c r="E31" s="148"/>
      <c r="F31" s="145"/>
      <c r="G31" s="148"/>
      <c r="H31" s="148"/>
      <c r="I31" s="148"/>
      <c r="J31" s="149"/>
      <c r="K31" s="150"/>
      <c r="L31" s="133"/>
      <c r="M31" s="134"/>
      <c r="N31" s="101"/>
      <c r="O31" s="150"/>
      <c r="P31" s="150"/>
      <c r="Q31" s="96"/>
      <c r="R31" s="151"/>
      <c r="S31" s="101" t="s">
        <v>32</v>
      </c>
      <c r="T31" s="13">
        <v>210</v>
      </c>
      <c r="U31" s="14">
        <v>230.67</v>
      </c>
      <c r="V31" s="15"/>
      <c r="W31" s="110"/>
      <c r="X31" s="69"/>
      <c r="Y31" s="13" t="s">
        <v>119</v>
      </c>
    </row>
    <row r="32" spans="1:67" ht="14.1" customHeight="1">
      <c r="A32" s="145"/>
      <c r="B32" s="148"/>
      <c r="C32" s="146"/>
      <c r="D32" s="147"/>
      <c r="E32" s="148"/>
      <c r="F32" s="148"/>
      <c r="G32" s="148"/>
      <c r="H32" s="148"/>
      <c r="I32" s="148"/>
      <c r="J32" s="152"/>
      <c r="K32" s="153"/>
      <c r="L32" s="58"/>
      <c r="M32" s="124"/>
      <c r="N32" s="101"/>
      <c r="O32" s="150"/>
      <c r="P32" s="150"/>
      <c r="Q32" s="96"/>
      <c r="R32" s="145"/>
      <c r="S32" s="58"/>
      <c r="U32" s="14">
        <v>226.01</v>
      </c>
      <c r="V32" s="15"/>
      <c r="W32" s="110"/>
      <c r="X32" s="69"/>
      <c r="Y32" s="13" t="s">
        <v>120</v>
      </c>
    </row>
    <row r="33" spans="1:99" ht="14.1" customHeight="1">
      <c r="A33" s="145"/>
      <c r="B33" s="148"/>
      <c r="C33" s="146"/>
      <c r="D33" s="147"/>
      <c r="E33" s="148"/>
      <c r="F33" s="145"/>
      <c r="G33" s="148"/>
      <c r="H33" s="148"/>
      <c r="I33" s="148"/>
      <c r="J33" s="149"/>
      <c r="K33" s="150"/>
      <c r="L33" s="150"/>
      <c r="M33" s="124"/>
      <c r="N33" s="124"/>
      <c r="O33" s="150"/>
      <c r="P33" s="150"/>
      <c r="Q33" s="96"/>
      <c r="R33" s="145"/>
      <c r="S33" s="58"/>
      <c r="T33" s="13">
        <v>220</v>
      </c>
      <c r="U33" s="14">
        <v>227.82</v>
      </c>
      <c r="V33" s="15"/>
      <c r="W33" s="110"/>
      <c r="X33" s="69"/>
      <c r="Y33" s="20" t="s">
        <v>121</v>
      </c>
    </row>
    <row r="34" spans="1:99" ht="14.1" customHeight="1">
      <c r="A34" s="145"/>
      <c r="B34" s="148"/>
      <c r="C34" s="146"/>
      <c r="D34" s="147"/>
      <c r="E34" s="148"/>
      <c r="F34" s="145"/>
      <c r="G34" s="148"/>
      <c r="H34" s="148"/>
      <c r="I34" s="148"/>
      <c r="J34" s="149"/>
      <c r="K34" s="150"/>
      <c r="L34" s="150"/>
      <c r="M34" s="124"/>
      <c r="N34" s="124"/>
      <c r="O34" s="150"/>
      <c r="P34" s="150"/>
      <c r="Q34" s="96"/>
      <c r="R34" s="145"/>
      <c r="S34" s="58"/>
      <c r="U34" s="14">
        <v>226.23</v>
      </c>
      <c r="V34" s="15"/>
      <c r="W34" s="110"/>
    </row>
    <row r="35" spans="1:99" ht="14.1" customHeight="1">
      <c r="A35" s="145"/>
      <c r="B35" s="148"/>
      <c r="C35" s="146"/>
      <c r="D35" s="147"/>
      <c r="E35" s="148"/>
      <c r="F35" s="145"/>
      <c r="G35" s="148"/>
      <c r="H35" s="148"/>
      <c r="I35" s="148"/>
      <c r="J35" s="149"/>
      <c r="K35" s="150"/>
      <c r="L35" s="150"/>
      <c r="M35" s="124"/>
      <c r="N35" s="124"/>
      <c r="O35" s="150"/>
      <c r="P35" s="150"/>
      <c r="Q35" s="96"/>
      <c r="R35" s="145"/>
      <c r="S35" s="58"/>
      <c r="T35" s="13">
        <v>230</v>
      </c>
      <c r="U35" s="14">
        <v>227.01</v>
      </c>
      <c r="V35" s="15"/>
      <c r="W35" s="110"/>
    </row>
    <row r="36" spans="1:99" ht="14.1" customHeight="1">
      <c r="A36" s="145"/>
      <c r="B36" s="139"/>
      <c r="C36" s="146"/>
      <c r="D36" s="147"/>
      <c r="E36" s="148"/>
      <c r="F36" s="145"/>
      <c r="G36" s="148"/>
      <c r="H36" s="148"/>
      <c r="I36" s="148"/>
      <c r="J36" s="149"/>
      <c r="K36" s="150"/>
      <c r="L36" s="150"/>
      <c r="M36" s="124"/>
      <c r="N36" s="124"/>
      <c r="O36" s="150"/>
      <c r="P36" s="150"/>
      <c r="Q36" s="96"/>
      <c r="R36" s="145"/>
      <c r="S36" s="58"/>
      <c r="U36" s="14">
        <v>193.12</v>
      </c>
      <c r="V36" s="15"/>
      <c r="W36" s="110"/>
      <c r="X36"/>
    </row>
    <row r="37" spans="1:99" ht="14.1" customHeight="1">
      <c r="A37" s="145"/>
      <c r="B37" s="139"/>
      <c r="C37" s="146"/>
      <c r="D37" s="147"/>
      <c r="E37" s="148"/>
      <c r="F37" s="145"/>
      <c r="G37" s="148"/>
      <c r="H37" s="148"/>
      <c r="I37" s="148"/>
      <c r="J37" s="149"/>
      <c r="K37" s="150"/>
      <c r="L37" s="150"/>
      <c r="M37" s="124"/>
      <c r="N37" s="124"/>
      <c r="O37" s="150"/>
      <c r="P37" s="150"/>
      <c r="Q37" s="96"/>
      <c r="R37" s="96"/>
      <c r="S37" s="58"/>
      <c r="T37" s="13">
        <v>235</v>
      </c>
      <c r="U37" s="14">
        <v>188.6</v>
      </c>
      <c r="V37" s="15"/>
      <c r="W37" s="15"/>
      <c r="X37" s="6"/>
    </row>
    <row r="38" spans="1:99" s="156" customFormat="1" ht="14.1" customHeight="1">
      <c r="A38" s="154"/>
      <c r="B38" s="139"/>
      <c r="C38" s="155"/>
      <c r="D38" s="139"/>
      <c r="E38" s="139"/>
      <c r="F38" s="139"/>
      <c r="G38" s="139"/>
      <c r="H38" s="139"/>
      <c r="I38" s="139"/>
      <c r="J38" s="124"/>
      <c r="K38" s="124"/>
      <c r="L38" s="124"/>
      <c r="M38" s="124"/>
      <c r="N38" s="124"/>
      <c r="O38" s="124"/>
      <c r="P38" s="124"/>
      <c r="Q38" s="155"/>
      <c r="R38" s="145"/>
      <c r="S38" s="58"/>
      <c r="T38" s="13"/>
      <c r="U38" s="14">
        <v>188.29</v>
      </c>
      <c r="V38" s="15"/>
      <c r="W38" s="15"/>
      <c r="X38" s="6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</row>
    <row r="39" spans="1:99" s="3" customFormat="1" ht="14.1" customHeight="1">
      <c r="A39" s="157"/>
      <c r="B39" s="158"/>
      <c r="C39" s="159"/>
      <c r="D39" s="160"/>
      <c r="E39" s="160"/>
      <c r="F39" s="161"/>
      <c r="G39" s="160"/>
      <c r="H39" s="148"/>
      <c r="I39" s="162"/>
      <c r="J39" s="163"/>
      <c r="K39" s="150"/>
      <c r="L39" s="155"/>
      <c r="M39" s="134"/>
      <c r="N39" s="155"/>
      <c r="O39" s="155"/>
      <c r="P39" s="155"/>
      <c r="Q39" s="58"/>
      <c r="R39" s="58"/>
      <c r="S39" s="58"/>
      <c r="T39" s="13">
        <v>240</v>
      </c>
      <c r="U39" s="14">
        <v>168.03</v>
      </c>
      <c r="V39" s="15"/>
      <c r="W39" s="15"/>
      <c r="X39" s="6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</row>
    <row r="40" spans="1:99" ht="14.1" customHeight="1">
      <c r="A40" s="164"/>
      <c r="B40" s="165"/>
      <c r="C40" s="164"/>
      <c r="D40" s="148"/>
      <c r="E40" s="164"/>
      <c r="F40" s="164"/>
      <c r="G40" s="96"/>
      <c r="H40" s="101"/>
      <c r="I40" s="58"/>
      <c r="J40" s="155"/>
      <c r="K40" s="166"/>
      <c r="L40" s="167"/>
      <c r="M40" s="168"/>
      <c r="N40" s="134"/>
      <c r="O40" s="169"/>
      <c r="P40" s="169"/>
      <c r="Q40" s="58"/>
      <c r="R40" s="58"/>
      <c r="S40" s="58"/>
      <c r="U40" s="14">
        <v>189.71</v>
      </c>
      <c r="V40" s="15"/>
      <c r="W40" s="15"/>
    </row>
    <row r="41" spans="1:99" ht="14.1" customHeight="1">
      <c r="A41" s="164"/>
      <c r="B41" s="170"/>
      <c r="C41" s="164"/>
      <c r="D41" s="171"/>
      <c r="E41" s="164"/>
      <c r="F41" s="164"/>
      <c r="G41" s="124"/>
      <c r="H41" s="58"/>
      <c r="I41" s="58"/>
      <c r="J41" s="170"/>
      <c r="K41" s="170"/>
      <c r="L41" s="96"/>
      <c r="M41" s="172"/>
      <c r="N41" s="160"/>
      <c r="O41" s="58"/>
      <c r="P41" s="58"/>
      <c r="Q41" s="58"/>
      <c r="R41" s="58"/>
      <c r="S41" s="58"/>
      <c r="U41" s="173"/>
      <c r="V41" s="174"/>
      <c r="W41" s="175"/>
    </row>
    <row r="42" spans="1:99" ht="14.1" customHeight="1">
      <c r="A42" s="3"/>
      <c r="B42" s="3"/>
      <c r="C42" s="3"/>
      <c r="D42" s="33"/>
      <c r="E42" s="3"/>
      <c r="F42" s="3"/>
      <c r="G42" s="19"/>
      <c r="H42" s="40"/>
      <c r="I42" s="40"/>
      <c r="J42" s="30"/>
      <c r="K42" s="30"/>
      <c r="L42" s="30"/>
      <c r="M42" s="30"/>
      <c r="N42" s="33"/>
      <c r="O42" s="33"/>
      <c r="P42" s="33"/>
      <c r="Q42" s="40"/>
      <c r="R42" s="40"/>
      <c r="U42" s="173"/>
      <c r="V42" s="174"/>
      <c r="W42" s="175"/>
    </row>
    <row r="43" spans="1:99" ht="14.1" customHeight="1">
      <c r="A43" s="30"/>
      <c r="B43" s="176"/>
      <c r="C43" s="3"/>
      <c r="D43" s="33"/>
      <c r="E43" s="177"/>
      <c r="F43" s="177"/>
      <c r="G43" s="33"/>
      <c r="H43" s="174"/>
      <c r="I43" s="40"/>
      <c r="J43" s="30"/>
      <c r="K43" s="30"/>
      <c r="L43" s="30"/>
      <c r="M43" s="33"/>
      <c r="N43" s="178"/>
      <c r="O43" s="33"/>
      <c r="P43" s="33"/>
      <c r="Q43" s="40"/>
      <c r="R43" s="40"/>
      <c r="U43" s="173"/>
      <c r="V43" s="174"/>
      <c r="W43" s="175"/>
    </row>
    <row r="44" spans="1:99" ht="14.1" customHeight="1">
      <c r="A44" s="3"/>
      <c r="B44" s="30"/>
      <c r="C44" s="3"/>
      <c r="D44" s="41"/>
      <c r="E44" s="42"/>
      <c r="F44" s="42"/>
      <c r="G44" s="19"/>
      <c r="H44" s="19"/>
      <c r="I44" s="30"/>
      <c r="J44" s="179"/>
      <c r="K44" s="179"/>
      <c r="L44" s="180"/>
      <c r="M44" s="39"/>
      <c r="N44" s="179"/>
      <c r="O44" s="180"/>
      <c r="P44" s="180"/>
      <c r="Q44" s="46"/>
      <c r="R44" s="46"/>
      <c r="U44" s="173"/>
      <c r="V44" s="174"/>
      <c r="W44" s="175"/>
    </row>
    <row r="45" spans="1:99" s="1" customFormat="1" ht="14.1" customHeight="1">
      <c r="A45" s="3"/>
      <c r="B45" s="181"/>
      <c r="C45" s="181"/>
      <c r="D45" s="25"/>
      <c r="E45" s="181"/>
      <c r="F45" s="181"/>
      <c r="G45" s="181"/>
      <c r="H45" s="95"/>
      <c r="I45" s="95"/>
      <c r="J45" s="182"/>
      <c r="K45" s="182"/>
      <c r="L45" s="182"/>
      <c r="M45" s="182"/>
      <c r="N45" s="182"/>
      <c r="O45" s="54"/>
      <c r="P45" s="54"/>
      <c r="Q45" s="55"/>
      <c r="R45" s="55"/>
      <c r="S45" s="13"/>
      <c r="T45" s="13"/>
      <c r="U45" s="173"/>
      <c r="V45" s="40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</row>
    <row r="46" spans="1:99" ht="14.1" customHeight="1">
      <c r="A46" s="70"/>
      <c r="B46" s="33"/>
      <c r="C46" s="36"/>
      <c r="D46" s="33"/>
      <c r="E46" s="33"/>
      <c r="F46" s="33"/>
      <c r="G46" s="33"/>
      <c r="H46" s="33"/>
      <c r="I46" s="33"/>
      <c r="J46" s="74"/>
      <c r="K46" s="74"/>
      <c r="L46" s="74"/>
      <c r="M46" s="30"/>
      <c r="N46" s="19"/>
      <c r="O46" s="74"/>
      <c r="P46" s="74"/>
      <c r="Q46" s="30"/>
      <c r="R46" s="30"/>
      <c r="U46" s="173"/>
    </row>
    <row r="47" spans="1:99" ht="14.1" customHeight="1">
      <c r="A47" s="70"/>
      <c r="B47" s="33"/>
      <c r="C47" s="36"/>
      <c r="D47" s="33"/>
      <c r="E47" s="33"/>
      <c r="F47" s="33"/>
      <c r="G47" s="33"/>
      <c r="H47" s="33"/>
      <c r="I47" s="33"/>
      <c r="J47" s="74"/>
      <c r="K47" s="74"/>
      <c r="L47" s="74"/>
      <c r="M47" s="30"/>
      <c r="N47" s="19"/>
      <c r="O47" s="74"/>
      <c r="P47" s="74"/>
      <c r="Q47" s="30"/>
      <c r="R47" s="30"/>
      <c r="T47" s="40"/>
      <c r="U47" s="173"/>
    </row>
    <row r="48" spans="1:99" s="80" customFormat="1" ht="14.1" customHeight="1">
      <c r="A48" s="183"/>
      <c r="B48" s="25"/>
      <c r="C48" s="184"/>
      <c r="D48" s="25"/>
      <c r="E48" s="25"/>
      <c r="F48" s="25"/>
      <c r="G48" s="25"/>
      <c r="H48" s="25"/>
      <c r="I48" s="25"/>
      <c r="J48" s="95"/>
      <c r="K48" s="95"/>
      <c r="L48" s="95"/>
      <c r="M48" s="95"/>
      <c r="N48" s="95"/>
      <c r="O48" s="95"/>
      <c r="P48" s="95"/>
      <c r="Q48" s="95"/>
      <c r="R48" s="95"/>
      <c r="S48" s="13"/>
      <c r="T48" s="40"/>
      <c r="U48" s="17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</row>
    <row r="49" spans="1:99" ht="14.1" customHeight="1">
      <c r="A49" s="30"/>
      <c r="B49" s="176"/>
      <c r="C49" s="185"/>
      <c r="D49" s="33"/>
      <c r="E49" s="40"/>
      <c r="F49" s="40"/>
      <c r="G49" s="40"/>
      <c r="H49" s="40"/>
      <c r="I49" s="40"/>
      <c r="J49" s="40"/>
      <c r="K49" s="40"/>
      <c r="L49" s="40"/>
      <c r="M49" s="30"/>
      <c r="N49" s="40"/>
      <c r="O49" s="40"/>
      <c r="P49" s="40"/>
      <c r="Q49" s="30"/>
      <c r="R49" s="30"/>
      <c r="T49" s="40"/>
      <c r="U49" s="173"/>
    </row>
    <row r="50" spans="1:99" ht="14.1" customHeight="1">
      <c r="A50" s="30"/>
      <c r="B50" s="176"/>
      <c r="C50" s="185"/>
      <c r="D50" s="33"/>
      <c r="E50" s="40"/>
      <c r="F50" s="40"/>
      <c r="G50" s="40"/>
      <c r="H50" s="40"/>
      <c r="I50" s="40"/>
      <c r="J50" s="40"/>
      <c r="K50" s="40"/>
      <c r="L50" s="40"/>
      <c r="M50" s="30"/>
      <c r="N50" s="40"/>
      <c r="O50" s="40"/>
      <c r="P50" s="40"/>
      <c r="Q50" s="30"/>
      <c r="R50" s="30"/>
      <c r="T50" s="40"/>
      <c r="U50" s="173"/>
    </row>
    <row r="51" spans="1:99" ht="14.1" customHeight="1">
      <c r="A51" s="30"/>
      <c r="B51" s="176"/>
      <c r="C51" s="185"/>
      <c r="D51" s="33"/>
      <c r="E51" s="40"/>
      <c r="F51" s="40"/>
      <c r="G51" s="40"/>
      <c r="H51" s="40"/>
      <c r="I51" s="40"/>
      <c r="J51" s="40"/>
      <c r="K51" s="40"/>
      <c r="L51" s="40"/>
      <c r="M51" s="19"/>
      <c r="N51" s="40"/>
      <c r="O51" s="40"/>
      <c r="P51" s="40"/>
      <c r="Q51" s="30"/>
      <c r="R51" s="30"/>
      <c r="T51" s="40"/>
      <c r="U51" s="173"/>
    </row>
    <row r="52" spans="1:99" ht="14.1" customHeight="1">
      <c r="A52" s="30"/>
      <c r="B52" s="176"/>
      <c r="C52" s="185"/>
      <c r="D52" s="33"/>
      <c r="E52" s="40"/>
      <c r="F52" s="40"/>
      <c r="G52" s="40"/>
      <c r="H52" s="40"/>
      <c r="I52" s="40"/>
      <c r="J52" s="40"/>
      <c r="K52" s="40"/>
      <c r="L52" s="40"/>
      <c r="M52" s="19"/>
      <c r="N52" s="40"/>
      <c r="O52" s="40"/>
      <c r="P52" s="40"/>
      <c r="Q52" s="30"/>
      <c r="R52" s="30"/>
      <c r="U52" s="173"/>
    </row>
    <row r="53" spans="1:99" ht="14.1" customHeight="1">
      <c r="A53" s="30"/>
      <c r="B53" s="176"/>
      <c r="C53" s="186"/>
      <c r="D53" s="33"/>
      <c r="E53" s="33"/>
      <c r="F53" s="33"/>
      <c r="G53" s="33"/>
      <c r="H53" s="33"/>
      <c r="I53" s="33"/>
      <c r="J53" s="187"/>
      <c r="K53" s="188"/>
      <c r="L53" s="40"/>
      <c r="M53" s="19"/>
      <c r="N53" s="40"/>
      <c r="O53" s="40"/>
      <c r="P53" s="40"/>
      <c r="Q53" s="30"/>
      <c r="R53" s="30"/>
      <c r="U53" s="173"/>
    </row>
    <row r="54" spans="1:99" ht="14.1" customHeight="1">
      <c r="A54" s="70"/>
      <c r="B54" s="189"/>
      <c r="C54" s="36"/>
      <c r="D54" s="33"/>
      <c r="E54" s="33"/>
      <c r="F54" s="33"/>
      <c r="G54" s="33"/>
      <c r="H54" s="33"/>
      <c r="I54" s="33"/>
      <c r="J54" s="132"/>
      <c r="K54" s="74"/>
      <c r="L54" s="74"/>
      <c r="M54" s="19"/>
      <c r="N54" s="19"/>
      <c r="O54" s="74"/>
      <c r="P54" s="74"/>
      <c r="Q54" s="30"/>
      <c r="R54" s="30"/>
      <c r="U54" s="173"/>
    </row>
    <row r="55" spans="1:99" ht="14.1" customHeight="1">
      <c r="A55" s="70"/>
      <c r="B55" s="189"/>
      <c r="C55" s="36"/>
      <c r="D55" s="33"/>
      <c r="E55" s="33"/>
      <c r="F55" s="33"/>
      <c r="G55" s="33"/>
      <c r="H55" s="33"/>
      <c r="I55" s="33"/>
      <c r="J55" s="132"/>
      <c r="K55" s="74"/>
      <c r="L55" s="74"/>
      <c r="M55" s="19"/>
      <c r="N55" s="19"/>
      <c r="O55" s="74"/>
      <c r="P55" s="74"/>
      <c r="Q55" s="30"/>
      <c r="R55" s="30"/>
      <c r="U55" s="173"/>
    </row>
    <row r="56" spans="1:99" s="30" customFormat="1" ht="14.1" customHeight="1">
      <c r="A56" s="70"/>
      <c r="B56" s="189"/>
      <c r="C56" s="36"/>
      <c r="D56" s="33"/>
      <c r="E56" s="33"/>
      <c r="F56" s="33"/>
      <c r="G56" s="33"/>
      <c r="H56" s="33"/>
      <c r="I56" s="33"/>
      <c r="J56" s="132"/>
      <c r="K56" s="74"/>
      <c r="L56" s="74"/>
      <c r="M56" s="19"/>
      <c r="N56" s="19"/>
      <c r="O56" s="74"/>
      <c r="P56" s="74"/>
      <c r="S56" s="13"/>
      <c r="T56" s="13"/>
      <c r="U56" s="17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</row>
    <row r="57" spans="1:99" ht="14.1" customHeight="1">
      <c r="A57" s="70"/>
      <c r="B57" s="189"/>
      <c r="C57" s="36"/>
      <c r="D57" s="33"/>
      <c r="E57" s="33"/>
      <c r="F57" s="33"/>
      <c r="G57" s="33"/>
      <c r="H57" s="33"/>
      <c r="I57" s="33"/>
      <c r="J57" s="132"/>
      <c r="K57" s="74"/>
      <c r="L57" s="74"/>
      <c r="M57" s="19"/>
      <c r="N57" s="19"/>
      <c r="O57" s="74"/>
      <c r="P57" s="74"/>
      <c r="Q57" s="30"/>
      <c r="R57" s="30"/>
      <c r="U57" s="173"/>
    </row>
    <row r="58" spans="1:99" ht="14.1" customHeight="1">
      <c r="A58" s="183"/>
      <c r="B58" s="25"/>
      <c r="C58" s="184"/>
      <c r="D58" s="25"/>
      <c r="E58" s="25"/>
      <c r="F58" s="25"/>
      <c r="G58" s="25"/>
      <c r="H58" s="25"/>
      <c r="I58" s="25"/>
      <c r="J58" s="95"/>
      <c r="K58" s="95"/>
      <c r="L58" s="95"/>
      <c r="M58" s="95"/>
      <c r="N58" s="95"/>
      <c r="O58" s="95"/>
      <c r="P58" s="95"/>
      <c r="Q58" s="95"/>
      <c r="R58" s="95"/>
      <c r="U58" s="173"/>
    </row>
    <row r="59" spans="1:99" s="115" customFormat="1" ht="14.1" customHeight="1">
      <c r="A59" s="40"/>
      <c r="B59" s="40"/>
      <c r="C59" s="40"/>
      <c r="D59" s="19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13"/>
      <c r="T59" s="13"/>
      <c r="U59" s="17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</row>
    <row r="60" spans="1:99" s="30" customFormat="1" ht="14.1" customHeight="1">
      <c r="A60" s="191"/>
      <c r="B60" s="40"/>
      <c r="C60" s="40"/>
      <c r="D60" s="19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13"/>
      <c r="T60" s="13"/>
      <c r="U60" s="17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</row>
    <row r="61" spans="1:99" ht="14.1" customHeight="1">
      <c r="A61" s="40"/>
      <c r="B61" s="40"/>
      <c r="C61" s="40"/>
      <c r="D61" s="19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U61" s="173"/>
    </row>
    <row r="62" spans="1:99" ht="14.1" customHeight="1">
      <c r="A62" s="40"/>
      <c r="B62" s="40"/>
      <c r="C62" s="40"/>
      <c r="D62" s="19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U62" s="173"/>
    </row>
    <row r="63" spans="1:99" ht="14.1" customHeight="1">
      <c r="A63" s="40"/>
      <c r="B63" s="40"/>
      <c r="C63" s="40"/>
      <c r="D63" s="19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U63" s="173"/>
    </row>
    <row r="64" spans="1:99" s="156" customFormat="1" ht="14.1" customHeight="1">
      <c r="A64" s="30"/>
      <c r="B64" s="189"/>
      <c r="C64" s="36"/>
      <c r="D64" s="33"/>
      <c r="E64" s="189"/>
      <c r="F64" s="189"/>
      <c r="G64" s="19"/>
      <c r="H64" s="30"/>
      <c r="I64" s="30"/>
      <c r="J64" s="30"/>
      <c r="K64" s="30"/>
      <c r="L64" s="30"/>
      <c r="M64" s="30"/>
      <c r="N64" s="19"/>
      <c r="O64" s="30"/>
      <c r="P64" s="30"/>
      <c r="Q64" s="40"/>
      <c r="R64" s="40"/>
      <c r="S64" s="13"/>
      <c r="T64" s="13"/>
      <c r="U64" s="17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</row>
    <row r="65" spans="1:21" s="13" customFormat="1" ht="14.1" customHeight="1">
      <c r="A65" s="30"/>
      <c r="B65" s="189"/>
      <c r="C65" s="36"/>
      <c r="D65" s="33"/>
      <c r="E65" s="189"/>
      <c r="F65" s="189"/>
      <c r="G65" s="19"/>
      <c r="H65" s="30"/>
      <c r="I65" s="30"/>
      <c r="J65" s="30"/>
      <c r="K65" s="30"/>
      <c r="L65" s="30"/>
      <c r="M65" s="30"/>
      <c r="N65" s="19"/>
      <c r="O65" s="30"/>
      <c r="P65" s="30"/>
      <c r="Q65" s="40"/>
      <c r="R65" s="40"/>
      <c r="U65" s="173"/>
    </row>
    <row r="66" spans="1:21" s="13" customFormat="1" ht="14.1" customHeight="1">
      <c r="A66" s="12"/>
      <c r="B66" s="192"/>
      <c r="C66" s="65"/>
      <c r="D66" s="66"/>
      <c r="E66" s="192"/>
      <c r="F66" s="192"/>
      <c r="G66" s="68"/>
      <c r="H66" s="12"/>
      <c r="I66" s="12"/>
      <c r="J66" s="12"/>
      <c r="K66" s="12"/>
      <c r="L66" s="12"/>
      <c r="M66" s="12"/>
      <c r="N66" s="68"/>
      <c r="O66" s="12"/>
      <c r="P66" s="12"/>
      <c r="U66" s="173"/>
    </row>
    <row r="67" spans="1:21" ht="14.1" customHeight="1">
      <c r="C67" s="65"/>
      <c r="U67" s="173"/>
    </row>
    <row r="68" spans="1:21" ht="14.1" customHeight="1">
      <c r="A68" s="13"/>
      <c r="B68" s="13"/>
      <c r="C68" s="13"/>
      <c r="D68" s="97"/>
      <c r="E68" s="13"/>
      <c r="F68" s="13"/>
      <c r="G68" s="13"/>
      <c r="H68" s="13"/>
      <c r="I68" s="13"/>
      <c r="J68" s="13"/>
      <c r="M68" s="13"/>
      <c r="N68" s="13"/>
      <c r="O68" s="13"/>
      <c r="P68" s="13"/>
      <c r="U68" s="173"/>
    </row>
    <row r="69" spans="1:21" ht="14.1" customHeight="1">
      <c r="A69" s="13"/>
      <c r="B69" s="13"/>
      <c r="C69" s="13"/>
      <c r="D69" s="97"/>
      <c r="E69" s="13"/>
      <c r="F69" s="13"/>
      <c r="G69" s="13"/>
      <c r="H69" s="13"/>
      <c r="I69" s="13"/>
      <c r="J69" s="13"/>
      <c r="M69" s="13"/>
      <c r="N69" s="13"/>
      <c r="O69" s="13"/>
      <c r="P69" s="13"/>
      <c r="U69" s="173"/>
    </row>
    <row r="70" spans="1:21" ht="14.1" customHeight="1">
      <c r="C70" s="65"/>
      <c r="U70" s="173"/>
    </row>
    <row r="71" spans="1:21" ht="14.1" customHeight="1">
      <c r="C71" s="65"/>
      <c r="Q71" s="13"/>
      <c r="R71" s="13"/>
    </row>
    <row r="72" spans="1:21" ht="14.1" customHeight="1">
      <c r="C72" s="65"/>
      <c r="Q72" s="13"/>
      <c r="R72" s="13"/>
    </row>
    <row r="73" spans="1:21" ht="14.1" customHeight="1">
      <c r="C73" s="65"/>
    </row>
    <row r="74" spans="1:21" ht="14.1" customHeight="1">
      <c r="C74" s="65"/>
    </row>
  </sheetData>
  <pageMargins left="0.75" right="0.5" top="1" bottom="0.5" header="0.5" footer="0.5"/>
  <pageSetup scale="70" orientation="landscape" r:id="rId1"/>
  <headerFooter alignWithMargins="0">
    <oddHeader>&amp;R&amp;D</oddHead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U74"/>
  <sheetViews>
    <sheetView topLeftCell="P1" zoomScale="87" zoomScaleNormal="87" workbookViewId="0">
      <selection activeCell="AB11" sqref="AB11:CQ11"/>
    </sheetView>
  </sheetViews>
  <sheetFormatPr defaultColWidth="13.7109375" defaultRowHeight="14.1" customHeight="1"/>
  <cols>
    <col min="1" max="1" width="6.28515625" style="12" customWidth="1"/>
    <col min="2" max="2" width="16.5703125" style="192" customWidth="1"/>
    <col min="3" max="3" width="8.28515625" style="12" customWidth="1"/>
    <col min="4" max="4" width="11.140625" style="66" customWidth="1"/>
    <col min="5" max="5" width="12.85546875" style="192" customWidth="1"/>
    <col min="6" max="6" width="9.28515625" style="192" customWidth="1"/>
    <col min="7" max="7" width="9.140625" style="68" customWidth="1"/>
    <col min="8" max="8" width="10.85546875" style="12" customWidth="1"/>
    <col min="9" max="9" width="13.140625" style="12" customWidth="1"/>
    <col min="10" max="10" width="12.28515625" style="12" customWidth="1"/>
    <col min="11" max="11" width="10.140625" style="12" customWidth="1"/>
    <col min="12" max="12" width="14.42578125" style="12" customWidth="1"/>
    <col min="13" max="13" width="8.85546875" style="12" customWidth="1"/>
    <col min="14" max="14" width="17.140625" style="68" customWidth="1"/>
    <col min="15" max="15" width="15.7109375" style="12" customWidth="1"/>
    <col min="16" max="16" width="10.85546875" style="12" customWidth="1"/>
    <col min="17" max="17" width="6.140625" style="12" customWidth="1"/>
    <col min="18" max="18" width="7.28515625" style="12" customWidth="1"/>
    <col min="19" max="19" width="12" style="13" customWidth="1"/>
    <col min="20" max="20" width="10.42578125" style="13" customWidth="1"/>
    <col min="21" max="21" width="13.7109375" style="13" customWidth="1"/>
    <col min="22" max="22" width="2.5703125" style="13" customWidth="1"/>
    <col min="23" max="29" width="13.7109375" style="13" customWidth="1"/>
    <col min="30" max="31" width="25" style="13" customWidth="1"/>
    <col min="32" max="34" width="13.7109375" style="13" customWidth="1"/>
    <col min="35" max="35" width="19.85546875" style="13" customWidth="1"/>
    <col min="36" max="36" width="19.5703125" style="13" customWidth="1"/>
    <col min="37" max="37" width="27.42578125" style="13" customWidth="1"/>
    <col min="38" max="38" width="31.42578125" style="13" customWidth="1"/>
    <col min="39" max="39" width="31.28515625" style="13" customWidth="1"/>
    <col min="40" max="45" width="27.42578125" style="13" customWidth="1"/>
    <col min="46" max="46" width="31.28515625" style="13" customWidth="1"/>
    <col min="47" max="47" width="35.42578125" style="13" customWidth="1"/>
    <col min="48" max="50" width="13.7109375" style="13" customWidth="1"/>
    <col min="51" max="52" width="17.28515625" style="13" customWidth="1"/>
    <col min="53" max="60" width="17.5703125" style="13" customWidth="1"/>
    <col min="61" max="65" width="20.42578125" style="13" customWidth="1"/>
    <col min="66" max="68" width="13.7109375" style="13" customWidth="1"/>
    <col min="69" max="69" width="18.7109375" style="13" customWidth="1"/>
    <col min="70" max="72" width="13.7109375" style="13" customWidth="1"/>
    <col min="73" max="73" width="17.28515625" style="13" customWidth="1"/>
    <col min="74" max="74" width="16.85546875" style="13" customWidth="1"/>
    <col min="75" max="75" width="13.7109375" style="13" customWidth="1"/>
    <col min="76" max="76" width="17" style="13" customWidth="1"/>
    <col min="77" max="81" width="17.85546875" style="13" customWidth="1"/>
    <col min="82" max="92" width="13.7109375" style="13" customWidth="1"/>
    <col min="93" max="93" width="26.140625" style="13" customWidth="1"/>
    <col min="94" max="94" width="25.7109375" style="13" customWidth="1"/>
    <col min="95" max="95" width="22.85546875" style="13" customWidth="1"/>
    <col min="96" max="99" width="13.7109375" style="13" customWidth="1"/>
    <col min="100" max="16384" width="13.7109375" style="12"/>
  </cols>
  <sheetData>
    <row r="1" spans="1:99" ht="14.1" customHeight="1">
      <c r="A1" s="1" t="s">
        <v>0</v>
      </c>
      <c r="B1" s="2" t="s">
        <v>129</v>
      </c>
      <c r="C1" s="3" t="s">
        <v>1</v>
      </c>
      <c r="D1" s="4" t="s">
        <v>165</v>
      </c>
      <c r="E1" s="1" t="s">
        <v>2</v>
      </c>
      <c r="F1" s="1"/>
      <c r="G1" s="5">
        <v>57</v>
      </c>
      <c r="H1" s="6"/>
      <c r="I1" s="6" t="s">
        <v>3</v>
      </c>
      <c r="J1" s="5">
        <v>178</v>
      </c>
      <c r="K1" s="7"/>
      <c r="L1" s="7"/>
      <c r="M1" s="8" t="s">
        <v>4</v>
      </c>
      <c r="N1" s="9">
        <f>((AVERAGE(W7:W8))*20)</f>
        <v>7493848</v>
      </c>
      <c r="O1" s="10">
        <f>(O3*20)</f>
        <v>7456543.9720199993</v>
      </c>
      <c r="P1" s="10"/>
      <c r="Q1" s="11" t="s">
        <v>5</v>
      </c>
      <c r="S1" s="13">
        <v>-120</v>
      </c>
      <c r="T1" s="13" t="s">
        <v>6</v>
      </c>
      <c r="U1" s="14">
        <v>32.43</v>
      </c>
      <c r="V1" s="15"/>
      <c r="W1" s="15" t="s">
        <v>7</v>
      </c>
    </row>
    <row r="2" spans="1:99" ht="14.1" customHeight="1" thickBot="1">
      <c r="A2" s="16" t="s">
        <v>8</v>
      </c>
      <c r="B2" s="17">
        <v>42397</v>
      </c>
      <c r="C2" s="3" t="s">
        <v>9</v>
      </c>
      <c r="D2" s="18">
        <v>91.9</v>
      </c>
      <c r="E2" s="3" t="s">
        <v>10</v>
      </c>
      <c r="F2" s="3"/>
      <c r="G2" s="19">
        <f>D2/(D3/100*D3/100)</f>
        <v>30.354075835645396</v>
      </c>
      <c r="H2" s="13"/>
      <c r="I2" s="20" t="s">
        <v>11</v>
      </c>
      <c r="J2" s="21"/>
      <c r="K2" s="22"/>
      <c r="L2" s="23"/>
      <c r="M2" s="24" t="s">
        <v>12</v>
      </c>
      <c r="N2" s="25">
        <f>(O1*0.068)</f>
        <v>507044.99009735999</v>
      </c>
      <c r="O2" s="13"/>
      <c r="P2" s="13"/>
      <c r="Q2" s="11"/>
      <c r="R2" s="26"/>
      <c r="T2" s="13" t="s">
        <v>6</v>
      </c>
      <c r="U2" s="14">
        <v>27.98</v>
      </c>
      <c r="V2" s="15"/>
      <c r="W2" s="27">
        <v>131096.70000000001</v>
      </c>
    </row>
    <row r="3" spans="1:99" ht="14.1" customHeight="1" thickTop="1" thickBot="1">
      <c r="A3" s="16" t="s">
        <v>13</v>
      </c>
      <c r="B3" s="28" t="s">
        <v>167</v>
      </c>
      <c r="C3" s="3" t="s">
        <v>15</v>
      </c>
      <c r="D3" s="29">
        <v>174</v>
      </c>
      <c r="E3" s="3" t="s">
        <v>16</v>
      </c>
      <c r="F3" s="3"/>
      <c r="G3" s="19">
        <f>SQRT(((D2*D3)/3600))</f>
        <v>2.1075657364204168</v>
      </c>
      <c r="H3" s="13"/>
      <c r="I3" s="20"/>
      <c r="J3" s="30"/>
      <c r="K3" s="30"/>
      <c r="L3" s="30"/>
      <c r="M3" s="31" t="s">
        <v>17</v>
      </c>
      <c r="N3" s="32">
        <f>($O$1/$N$1)*100</f>
        <v>99.502204635322187</v>
      </c>
      <c r="O3" s="33">
        <f>((AVERAGE(W2:W5))*2.85714)</f>
        <v>372827.19860099995</v>
      </c>
      <c r="P3" s="33"/>
      <c r="Q3" s="34" t="s">
        <v>18</v>
      </c>
      <c r="R3" s="13"/>
      <c r="T3" s="13">
        <v>-30</v>
      </c>
      <c r="U3" s="14">
        <v>452.8</v>
      </c>
      <c r="V3" s="15"/>
      <c r="W3" s="27">
        <v>130324</v>
      </c>
    </row>
    <row r="4" spans="1:99" ht="14.1" customHeight="1" thickTop="1">
      <c r="B4" s="35"/>
      <c r="C4" s="3" t="s">
        <v>19</v>
      </c>
      <c r="D4" s="19">
        <v>67.042000000000002</v>
      </c>
      <c r="E4" s="37" t="s">
        <v>20</v>
      </c>
      <c r="F4" s="37"/>
      <c r="G4" s="38">
        <v>0.253</v>
      </c>
      <c r="H4" s="13"/>
      <c r="I4" s="20"/>
      <c r="J4" s="30"/>
      <c r="K4" s="30"/>
      <c r="L4" s="30"/>
      <c r="M4" s="33"/>
      <c r="N4" s="39"/>
      <c r="O4" s="30"/>
      <c r="P4" s="30"/>
      <c r="Q4" s="30"/>
      <c r="R4" s="30"/>
      <c r="U4" s="14">
        <v>451.31</v>
      </c>
      <c r="V4" s="15"/>
      <c r="W4" s="27">
        <v>130465.5</v>
      </c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</row>
    <row r="5" spans="1:99" ht="14.1" customHeight="1" thickBot="1">
      <c r="A5" s="16"/>
      <c r="B5" s="30"/>
      <c r="C5" s="3"/>
      <c r="D5" s="41" t="s">
        <v>21</v>
      </c>
      <c r="E5" s="42">
        <f>AVERAGE(U1:U2)</f>
        <v>30.204999999999998</v>
      </c>
      <c r="F5" s="42"/>
      <c r="G5" s="19"/>
      <c r="H5" s="30"/>
      <c r="I5" s="30"/>
      <c r="J5" s="43" t="s">
        <v>22</v>
      </c>
      <c r="K5" s="43"/>
      <c r="L5" s="44" t="s">
        <v>23</v>
      </c>
      <c r="M5" s="45"/>
      <c r="N5" s="43" t="s">
        <v>22</v>
      </c>
      <c r="O5" s="44" t="s">
        <v>23</v>
      </c>
      <c r="P5" s="44" t="s">
        <v>24</v>
      </c>
      <c r="Q5" s="46"/>
      <c r="R5" s="46"/>
      <c r="T5" s="13">
        <v>-20</v>
      </c>
      <c r="U5" s="14">
        <v>417.97</v>
      </c>
      <c r="V5" s="15"/>
      <c r="W5" s="27">
        <v>130072.4</v>
      </c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</row>
    <row r="6" spans="1:99" s="1" customFormat="1" ht="14.1" customHeight="1">
      <c r="A6" s="47" t="s">
        <v>25</v>
      </c>
      <c r="B6" s="48" t="s">
        <v>26</v>
      </c>
      <c r="C6" s="48"/>
      <c r="D6" s="49" t="s">
        <v>27</v>
      </c>
      <c r="E6" s="48" t="s">
        <v>28</v>
      </c>
      <c r="F6" s="48"/>
      <c r="G6" s="48" t="s">
        <v>29</v>
      </c>
      <c r="H6" s="50" t="s">
        <v>30</v>
      </c>
      <c r="I6" s="50"/>
      <c r="J6" s="51" t="s">
        <v>31</v>
      </c>
      <c r="K6" s="52"/>
      <c r="L6" s="52" t="s">
        <v>31</v>
      </c>
      <c r="M6" s="52" t="s">
        <v>32</v>
      </c>
      <c r="N6" s="52" t="s">
        <v>33</v>
      </c>
      <c r="O6" s="53" t="s">
        <v>34</v>
      </c>
      <c r="P6" s="54"/>
      <c r="Q6" s="55"/>
      <c r="R6" s="55"/>
      <c r="S6" s="13"/>
      <c r="T6" s="13"/>
      <c r="U6" s="14">
        <v>446.44</v>
      </c>
      <c r="V6" s="15"/>
      <c r="W6" s="56" t="s">
        <v>35</v>
      </c>
      <c r="X6" s="13" t="s">
        <v>36</v>
      </c>
      <c r="Y6" s="57" t="s">
        <v>37</v>
      </c>
      <c r="Z6" s="58" t="s">
        <v>38</v>
      </c>
      <c r="AA6" s="40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60"/>
      <c r="AY6" s="60"/>
      <c r="AZ6" s="60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60"/>
      <c r="BO6" s="60"/>
      <c r="BP6" s="60"/>
      <c r="BQ6" s="59"/>
      <c r="BR6" s="59"/>
      <c r="BS6" s="59"/>
      <c r="BT6" s="59"/>
      <c r="BU6" s="59"/>
      <c r="BV6" s="59"/>
      <c r="BW6" s="59"/>
      <c r="BX6" s="59"/>
      <c r="BY6" s="59"/>
      <c r="BZ6" s="61"/>
      <c r="CA6" s="61"/>
      <c r="CB6" s="61"/>
      <c r="CC6" s="61"/>
      <c r="CD6" s="40"/>
      <c r="CE6" s="61"/>
      <c r="CF6" s="61"/>
      <c r="CG6" s="33"/>
      <c r="CH6" s="40"/>
      <c r="CI6" s="30"/>
      <c r="CJ6" s="30"/>
      <c r="CK6" s="30"/>
      <c r="CL6" s="30"/>
      <c r="CM6" s="30"/>
      <c r="CN6" s="30"/>
      <c r="CO6" s="30"/>
      <c r="CP6" s="62"/>
      <c r="CQ6" s="62"/>
      <c r="CR6" s="13"/>
      <c r="CS6" s="13"/>
      <c r="CT6" s="13"/>
      <c r="CU6" s="13"/>
    </row>
    <row r="7" spans="1:99" ht="14.1" customHeight="1">
      <c r="A7" s="63">
        <v>-30</v>
      </c>
      <c r="B7" s="64">
        <v>100</v>
      </c>
      <c r="C7" s="65"/>
      <c r="D7" s="42">
        <f>AVERAGE(U3:U4)</f>
        <v>452.05500000000001</v>
      </c>
      <c r="E7" s="66">
        <f>D7-$E$5</f>
        <v>421.85</v>
      </c>
      <c r="F7" s="66"/>
      <c r="G7" s="66">
        <f>($E7*7.1425)</f>
        <v>3013.0636250000002</v>
      </c>
      <c r="H7" s="66">
        <f>($G7/($B7*0.01))</f>
        <v>3013.0636250000002</v>
      </c>
      <c r="I7" s="66"/>
      <c r="J7" s="67">
        <f>$N$2/$H7/$D$2</f>
        <v>1.8311447750429235</v>
      </c>
      <c r="K7" s="67"/>
      <c r="L7" s="67">
        <f>J7/($D$4/$D$2)</f>
        <v>2.5101012026258864</v>
      </c>
      <c r="N7" s="68">
        <f>J7-M7</f>
        <v>1.8311447750429235</v>
      </c>
      <c r="O7" s="67">
        <f>N7/($D$4/$D$2)</f>
        <v>2.5101012026258864</v>
      </c>
      <c r="P7" s="67"/>
      <c r="Q7" s="30"/>
      <c r="R7" s="30"/>
      <c r="T7" s="13">
        <v>-10</v>
      </c>
      <c r="U7" s="14">
        <v>435.91</v>
      </c>
      <c r="V7" s="15"/>
      <c r="W7" s="27">
        <v>376389.6</v>
      </c>
      <c r="X7" s="69">
        <v>0.45100000000000001</v>
      </c>
      <c r="Y7" s="70">
        <v>-30</v>
      </c>
      <c r="Z7" s="71">
        <v>20.901</v>
      </c>
      <c r="AA7" s="40"/>
      <c r="AB7" s="72"/>
      <c r="AC7" s="72"/>
      <c r="AD7" s="72"/>
      <c r="AE7" s="72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19"/>
      <c r="AY7" s="74"/>
      <c r="AZ7" s="74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</row>
    <row r="8" spans="1:99" ht="14.1" customHeight="1">
      <c r="A8" s="63">
        <v>-20</v>
      </c>
      <c r="B8" s="64">
        <v>102</v>
      </c>
      <c r="C8" s="65"/>
      <c r="D8" s="66">
        <f>AVERAGE(U5:U6)</f>
        <v>432.20500000000004</v>
      </c>
      <c r="E8" s="66">
        <f>D8-$E$5</f>
        <v>402.00000000000006</v>
      </c>
      <c r="F8" s="66"/>
      <c r="G8" s="66">
        <f>($E8*7.1425)</f>
        <v>2871.2850000000003</v>
      </c>
      <c r="H8" s="66">
        <f>($G8/($B8*0.01))</f>
        <v>2814.9852941176473</v>
      </c>
      <c r="I8" s="66"/>
      <c r="J8" s="67">
        <f>$N$2/H8/$D$2</f>
        <v>1.9599945070121754</v>
      </c>
      <c r="K8" s="67"/>
      <c r="L8" s="67">
        <f>J8/($D$4/$D$2)</f>
        <v>2.6867261596375243</v>
      </c>
      <c r="N8" s="68">
        <f>J8-M8</f>
        <v>1.9599945070121754</v>
      </c>
      <c r="O8" s="67">
        <f>N8/($D$4/$D$2)</f>
        <v>2.6867261596375243</v>
      </c>
      <c r="P8" s="67"/>
      <c r="Q8" s="30"/>
      <c r="R8" s="30"/>
      <c r="U8" s="14">
        <v>463.32</v>
      </c>
      <c r="V8" s="15"/>
      <c r="W8" s="27">
        <v>372995.2</v>
      </c>
      <c r="X8" s="69">
        <v>0.50700000000000001</v>
      </c>
      <c r="Y8" s="70">
        <v>-20</v>
      </c>
      <c r="Z8" s="71">
        <v>22.050999999999998</v>
      </c>
      <c r="AA8" s="40"/>
      <c r="AB8" s="72"/>
      <c r="AC8" s="72"/>
      <c r="AD8" s="72"/>
      <c r="AE8" s="72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19"/>
      <c r="AY8" s="74"/>
      <c r="AZ8" s="74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</row>
    <row r="9" spans="1:99" ht="14.1" customHeight="1" thickBot="1">
      <c r="A9" s="63">
        <v>-10</v>
      </c>
      <c r="B9" s="195">
        <v>103</v>
      </c>
      <c r="C9" s="65"/>
      <c r="D9" s="66">
        <f>AVERAGE(U7:U8)</f>
        <v>449.61500000000001</v>
      </c>
      <c r="E9" s="66">
        <f>D9-$E$5</f>
        <v>419.41</v>
      </c>
      <c r="F9" s="66"/>
      <c r="G9" s="66">
        <f>($E9*7.1425)</f>
        <v>2995.635925</v>
      </c>
      <c r="H9" s="66">
        <f>($G9/($B9*0.01))</f>
        <v>2908.3843932038835</v>
      </c>
      <c r="I9" s="66"/>
      <c r="J9" s="67">
        <f>$N$2/H9/$D$2</f>
        <v>1.8970517537789111</v>
      </c>
      <c r="K9" s="67"/>
      <c r="L9" s="67">
        <f>J9/($D$4/$D$2)</f>
        <v>2.6004453353462296</v>
      </c>
      <c r="N9" s="68">
        <f>J9-M9</f>
        <v>1.8970517537789111</v>
      </c>
      <c r="O9" s="67">
        <f>N9/($D$4/$D$2)</f>
        <v>2.6004453353462296</v>
      </c>
      <c r="P9" s="67"/>
      <c r="Q9" s="30"/>
      <c r="R9" s="30"/>
      <c r="T9" s="13">
        <v>-5</v>
      </c>
      <c r="U9" s="14">
        <v>437.64</v>
      </c>
      <c r="V9" s="15"/>
      <c r="W9" s="76">
        <v>376083.7</v>
      </c>
      <c r="X9" s="69">
        <v>0.53100000000000003</v>
      </c>
      <c r="Y9" s="70">
        <v>-10</v>
      </c>
      <c r="Z9" s="71">
        <v>21.753</v>
      </c>
      <c r="AA9" s="40"/>
      <c r="AB9" s="72"/>
      <c r="AC9" s="72"/>
      <c r="AD9" s="72"/>
      <c r="AE9" s="72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19"/>
      <c r="AY9" s="74"/>
      <c r="AZ9" s="74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</row>
    <row r="10" spans="1:99" s="80" customFormat="1" ht="14.1" customHeight="1">
      <c r="A10" s="77">
        <v>0</v>
      </c>
      <c r="B10" s="75">
        <v>104</v>
      </c>
      <c r="C10" s="65"/>
      <c r="D10" s="66">
        <f>AVERAGE(U11:U12)</f>
        <v>479.28500000000003</v>
      </c>
      <c r="E10" s="66">
        <f>D10-$E$5</f>
        <v>449.08000000000004</v>
      </c>
      <c r="F10" s="66"/>
      <c r="G10" s="78">
        <f>($E10*7.1425)</f>
        <v>3207.5539000000003</v>
      </c>
      <c r="H10" s="78">
        <f>($G10/($B10*0.01))</f>
        <v>3084.1864423076927</v>
      </c>
      <c r="I10" s="78"/>
      <c r="J10" s="79">
        <f>$N$2/H10/$D$2</f>
        <v>1.7889176990423348</v>
      </c>
      <c r="K10" s="79"/>
      <c r="L10" s="67">
        <f>J10/($D$4/$D$2)</f>
        <v>2.452217066048008</v>
      </c>
      <c r="N10" s="81">
        <f>J10-M10</f>
        <v>1.7889176990423348</v>
      </c>
      <c r="O10" s="67">
        <f>N10/($D$4/$D$2)</f>
        <v>2.452217066048008</v>
      </c>
      <c r="P10" s="67"/>
      <c r="Q10" s="30"/>
      <c r="R10" s="30"/>
      <c r="S10" s="13"/>
      <c r="T10" s="13" t="s">
        <v>39</v>
      </c>
      <c r="U10" s="14">
        <v>471.01</v>
      </c>
      <c r="V10" s="15"/>
      <c r="W10" s="15"/>
      <c r="X10" s="69">
        <v>0.433</v>
      </c>
      <c r="Y10" s="70">
        <v>0</v>
      </c>
      <c r="Z10" s="82">
        <v>19.137</v>
      </c>
      <c r="AA10" s="30"/>
      <c r="AB10" s="83" t="s">
        <v>40</v>
      </c>
      <c r="AC10" s="83" t="s">
        <v>41</v>
      </c>
      <c r="AD10" s="83" t="s">
        <v>42</v>
      </c>
      <c r="AE10" s="83" t="s">
        <v>43</v>
      </c>
      <c r="AF10" s="83" t="s">
        <v>44</v>
      </c>
      <c r="AG10" s="83" t="s">
        <v>45</v>
      </c>
      <c r="AH10" s="83" t="s">
        <v>46</v>
      </c>
      <c r="AI10" s="83" t="s">
        <v>47</v>
      </c>
      <c r="AJ10" s="83" t="s">
        <v>48</v>
      </c>
      <c r="AK10" s="83" t="s">
        <v>49</v>
      </c>
      <c r="AL10" s="83" t="s">
        <v>50</v>
      </c>
      <c r="AM10" s="83" t="s">
        <v>51</v>
      </c>
      <c r="AN10" s="83" t="s">
        <v>52</v>
      </c>
      <c r="AO10" s="83" t="s">
        <v>53</v>
      </c>
      <c r="AP10" s="83" t="s">
        <v>54</v>
      </c>
      <c r="AQ10" s="83" t="s">
        <v>55</v>
      </c>
      <c r="AR10" s="83" t="s">
        <v>56</v>
      </c>
      <c r="AS10" s="83" t="s">
        <v>57</v>
      </c>
      <c r="AT10" s="83" t="s">
        <v>58</v>
      </c>
      <c r="AU10" s="83" t="s">
        <v>59</v>
      </c>
      <c r="AV10" s="84" t="s">
        <v>60</v>
      </c>
      <c r="AW10" s="84" t="s">
        <v>61</v>
      </c>
      <c r="AX10" s="85" t="s">
        <v>62</v>
      </c>
      <c r="AY10" s="85" t="s">
        <v>63</v>
      </c>
      <c r="AZ10" s="85" t="s">
        <v>64</v>
      </c>
      <c r="BA10" s="86" t="s">
        <v>65</v>
      </c>
      <c r="BB10" s="86" t="s">
        <v>66</v>
      </c>
      <c r="BC10" s="86" t="s">
        <v>67</v>
      </c>
      <c r="BD10" s="86" t="s">
        <v>68</v>
      </c>
      <c r="BE10" s="86" t="s">
        <v>69</v>
      </c>
      <c r="BF10" s="86" t="s">
        <v>70</v>
      </c>
      <c r="BG10" s="86" t="s">
        <v>71</v>
      </c>
      <c r="BH10" s="86" t="s">
        <v>72</v>
      </c>
      <c r="BI10" s="86" t="s">
        <v>73</v>
      </c>
      <c r="BJ10" s="86" t="s">
        <v>74</v>
      </c>
      <c r="BK10" s="86" t="s">
        <v>75</v>
      </c>
      <c r="BL10" s="86" t="s">
        <v>76</v>
      </c>
      <c r="BM10" s="86" t="s">
        <v>77</v>
      </c>
      <c r="BN10" s="87" t="s">
        <v>78</v>
      </c>
      <c r="BO10" s="87" t="s">
        <v>79</v>
      </c>
      <c r="BP10" s="87" t="s">
        <v>80</v>
      </c>
      <c r="BQ10" s="88" t="s">
        <v>81</v>
      </c>
      <c r="BR10" s="88" t="s">
        <v>82</v>
      </c>
      <c r="BS10" s="88" t="s">
        <v>83</v>
      </c>
      <c r="BT10" s="88" t="s">
        <v>84</v>
      </c>
      <c r="BU10" s="88" t="s">
        <v>85</v>
      </c>
      <c r="BV10" s="88" t="s">
        <v>86</v>
      </c>
      <c r="BW10" s="88" t="s">
        <v>87</v>
      </c>
      <c r="BX10" s="88" t="s">
        <v>88</v>
      </c>
      <c r="BY10" s="88" t="s">
        <v>89</v>
      </c>
      <c r="BZ10" s="88" t="s">
        <v>90</v>
      </c>
      <c r="CA10" s="88" t="s">
        <v>91</v>
      </c>
      <c r="CB10" s="88" t="s">
        <v>92</v>
      </c>
      <c r="CC10" s="88" t="s">
        <v>93</v>
      </c>
      <c r="CD10" s="40"/>
      <c r="CE10" s="89" t="s">
        <v>94</v>
      </c>
      <c r="CF10" s="89" t="s">
        <v>95</v>
      </c>
      <c r="CG10" s="90" t="s">
        <v>96</v>
      </c>
      <c r="CH10" s="40"/>
      <c r="CI10" s="91" t="s">
        <v>97</v>
      </c>
      <c r="CJ10" s="91" t="s">
        <v>98</v>
      </c>
      <c r="CK10" s="91" t="s">
        <v>99</v>
      </c>
      <c r="CL10" s="91" t="s">
        <v>100</v>
      </c>
      <c r="CM10" s="91" t="s">
        <v>101</v>
      </c>
      <c r="CN10" s="91" t="s">
        <v>102</v>
      </c>
      <c r="CO10" s="91" t="s">
        <v>103</v>
      </c>
      <c r="CP10" s="92" t="s">
        <v>104</v>
      </c>
      <c r="CQ10" s="92" t="s">
        <v>105</v>
      </c>
      <c r="CR10" s="13"/>
      <c r="CS10" s="13"/>
      <c r="CT10" s="13"/>
      <c r="CU10" s="13"/>
    </row>
    <row r="11" spans="1:99" s="49" customFormat="1" ht="14.1" customHeight="1">
      <c r="A11" s="93" t="s">
        <v>106</v>
      </c>
      <c r="B11" s="49">
        <f>AVERAGE(B7:B10)</f>
        <v>102.25</v>
      </c>
      <c r="E11" s="50">
        <f>AVERAGE(E7:E10)</f>
        <v>423.08500000000004</v>
      </c>
      <c r="G11" s="50">
        <f>AVERAGE(G7:G10)</f>
        <v>3021.8846125000005</v>
      </c>
      <c r="H11" s="50">
        <f>AVERAGE(H7:H10)</f>
        <v>2955.154938657306</v>
      </c>
      <c r="J11" s="94">
        <f>AVERAGE(J7:J10)</f>
        <v>1.869277183719086</v>
      </c>
      <c r="K11" s="50" t="s">
        <v>39</v>
      </c>
      <c r="L11" s="50">
        <f>AVERAGE(L7:L10)</f>
        <v>2.5623724409144124</v>
      </c>
      <c r="M11" s="50"/>
      <c r="N11" s="94">
        <f>AVERAGE(N7:N10)</f>
        <v>1.869277183719086</v>
      </c>
      <c r="O11" s="50">
        <f>AVERAGE(O7:O10)</f>
        <v>2.5623724409144124</v>
      </c>
      <c r="P11" s="95"/>
      <c r="Q11" s="95"/>
      <c r="R11" s="95"/>
      <c r="S11" s="6"/>
      <c r="T11" s="13">
        <v>0</v>
      </c>
      <c r="U11" s="14">
        <v>479.66</v>
      </c>
      <c r="V11" s="15"/>
      <c r="W11" s="15"/>
      <c r="X11" s="96">
        <f>AVERAGE(X7:X10)</f>
        <v>0.48049999999999998</v>
      </c>
      <c r="Y11" s="70" t="s">
        <v>107</v>
      </c>
      <c r="Z11" s="96">
        <f>AVERAGE(Z7:Z10)</f>
        <v>20.9605</v>
      </c>
      <c r="AA11" s="30"/>
      <c r="AB11" s="72">
        <f>J11</f>
        <v>1.869277183719086</v>
      </c>
      <c r="AC11" s="73">
        <f>AB11/($D$4/$D$2)</f>
        <v>2.562372440914412</v>
      </c>
      <c r="AD11" s="73">
        <f>AB11/Z11</f>
        <v>8.9180944334299572E-2</v>
      </c>
      <c r="AE11" s="73">
        <f>AC11/Z11</f>
        <v>0.12224767734139987</v>
      </c>
      <c r="AF11" s="72">
        <f>N20</f>
        <v>-0.13208155600666471</v>
      </c>
      <c r="AG11" s="72">
        <f>AF11/($D$4/$D$2)</f>
        <v>-0.18105508482760788</v>
      </c>
      <c r="AH11" s="72">
        <f>AF11/Z18</f>
        <v>-2.2699963909865411E-3</v>
      </c>
      <c r="AI11" s="72">
        <f>AG11/Z18</f>
        <v>-3.1116713154688575E-3</v>
      </c>
      <c r="AJ11" s="73">
        <f>((AB11-AF11)/AB11)*100</f>
        <v>107.06591602128674</v>
      </c>
      <c r="AK11" s="73">
        <f>((AC11-AG11)/AC11)*100</f>
        <v>107.06591602128674</v>
      </c>
      <c r="AL11" s="73">
        <f>((AD11-AH11)/AD11)*100</f>
        <v>102.54538276975107</v>
      </c>
      <c r="AM11" s="73">
        <f>((AE11-AI11)/AE11)*100</f>
        <v>102.54538276975107</v>
      </c>
      <c r="AN11" s="72">
        <f>N29</f>
        <v>-1.7479148593939808</v>
      </c>
      <c r="AO11" s="72">
        <f>AN11/($D$4/$D$2)</f>
        <v>-2.3960110912309722</v>
      </c>
      <c r="AP11" s="72">
        <f>AN11/Z25</f>
        <v>-7.0069064660460397E-3</v>
      </c>
      <c r="AQ11" s="72">
        <f>AO11/Z25</f>
        <v>-9.6049447246447164E-3</v>
      </c>
      <c r="AR11" s="73">
        <f>((AB11-AN11)/AB11)*100</f>
        <v>193.50752657860809</v>
      </c>
      <c r="AS11" s="73">
        <f>((AC11-AO11)/AC11)*100</f>
        <v>193.50752657860809</v>
      </c>
      <c r="AT11" s="73">
        <f>((AD11-AP11)/AD11)*100</f>
        <v>107.85695477699842</v>
      </c>
      <c r="AU11" s="73">
        <f>((AE11-AQ11)/AE11)*100</f>
        <v>107.85695477699842</v>
      </c>
      <c r="AV11" s="72">
        <f>J11</f>
        <v>1.869277183719086</v>
      </c>
      <c r="AW11" s="72">
        <f>AV11/($D$4/$D$2)</f>
        <v>2.562372440914412</v>
      </c>
      <c r="AX11" s="95">
        <f>M20</f>
        <v>1.8852375770765324</v>
      </c>
      <c r="AY11" s="95">
        <f>AX11/($D$4/$D$2)</f>
        <v>2.5842506687350215</v>
      </c>
      <c r="AZ11" s="95">
        <f>AX11/Z11</f>
        <v>8.9942395318648519E-2</v>
      </c>
      <c r="BA11" s="73">
        <f>AY11/Z11</f>
        <v>0.12329146102120758</v>
      </c>
      <c r="BB11" s="72">
        <f>P21</f>
        <v>2.1885709104098656</v>
      </c>
      <c r="BC11" s="73">
        <f>BB11/($D$4/$D$2)</f>
        <v>3.0000546920835691</v>
      </c>
      <c r="BD11" s="73">
        <f>BB11/Z18</f>
        <v>3.7613488349560638E-2</v>
      </c>
      <c r="BE11" s="73">
        <f>BC11/Z18</f>
        <v>5.155991138875067E-2</v>
      </c>
      <c r="BF11" s="72">
        <f>K20</f>
        <v>1.8532285636886563</v>
      </c>
      <c r="BG11" s="73">
        <f>BF11/($D$4/$D$2)</f>
        <v>2.5403732735149238</v>
      </c>
      <c r="BH11" s="73">
        <f>BF11/Z18</f>
        <v>3.1850186191281313E-2</v>
      </c>
      <c r="BI11" s="73">
        <f>BG11/Z18</f>
        <v>4.3659677679346566E-2</v>
      </c>
      <c r="BJ11" s="72">
        <f>J21</f>
        <v>3.0878642973303467</v>
      </c>
      <c r="BK11" s="73">
        <f>BJ11/($D$4/$D$2)</f>
        <v>4.232790324343827</v>
      </c>
      <c r="BL11" s="73">
        <f>BJ11/Z18</f>
        <v>5.3069035698234727E-2</v>
      </c>
      <c r="BM11" s="73">
        <f>BK11/Z18</f>
        <v>7.2746105138089129E-2</v>
      </c>
      <c r="BN11" s="95">
        <f>M29</f>
        <v>6.0043525571273131</v>
      </c>
      <c r="BO11" s="95">
        <f>BN11/($D$4/$D$2)</f>
        <v>8.230661376450584</v>
      </c>
      <c r="BP11" s="95">
        <f>BN11/Z25</f>
        <v>2.4069786083025919E-2</v>
      </c>
      <c r="BQ11" s="73">
        <f>BO11/Z25</f>
        <v>3.2994441410311173E-2</v>
      </c>
      <c r="BR11" s="72">
        <f>P30</f>
        <v>6.2643525571273129</v>
      </c>
      <c r="BS11" s="73">
        <f>BR11/($D$4/$D$2)</f>
        <v>8.5870648250350534</v>
      </c>
      <c r="BT11" s="73">
        <f>BR11/Z25</f>
        <v>2.5112054058139766E-2</v>
      </c>
      <c r="BU11" s="73">
        <f>BS11/Z25</f>
        <v>3.4423164105233203E-2</v>
      </c>
      <c r="BV11" s="72">
        <f>K29</f>
        <v>4.2564376977333325</v>
      </c>
      <c r="BW11" s="73">
        <f>BV11/($D$4/$D$2)</f>
        <v>5.8346502852196123</v>
      </c>
      <c r="BX11" s="73">
        <f>BV11/Z25</f>
        <v>1.706287961697988E-2</v>
      </c>
      <c r="BY11" s="73">
        <f>BW11/Z25</f>
        <v>2.338949668566646E-2</v>
      </c>
      <c r="BZ11" s="72">
        <f>J30</f>
        <v>5.2518255981139248</v>
      </c>
      <c r="CA11" s="73">
        <f>BZ11/($D$4/$D$2)</f>
        <v>7.1991105943538329</v>
      </c>
      <c r="CB11" s="73">
        <f>BZ11/Z25</f>
        <v>2.105311396845105E-2</v>
      </c>
      <c r="CC11" s="73">
        <f>CA11/Z25</f>
        <v>2.8859240083837764E-2</v>
      </c>
      <c r="CD11" s="13"/>
      <c r="CE11" s="97">
        <f>B11</f>
        <v>102.25</v>
      </c>
      <c r="CF11" s="13">
        <f>Z11</f>
        <v>20.9605</v>
      </c>
      <c r="CG11" s="40">
        <f>((CE11/18)*CF11)/22.5</f>
        <v>5.291879320987654</v>
      </c>
      <c r="CH11" s="40"/>
      <c r="CI11" s="40">
        <f>X28</f>
        <v>0</v>
      </c>
      <c r="CJ11" s="40">
        <f>X29</f>
        <v>0</v>
      </c>
      <c r="CK11" s="40">
        <f>X30</f>
        <v>0</v>
      </c>
      <c r="CL11" s="40">
        <f>X31</f>
        <v>0</v>
      </c>
      <c r="CM11" s="40">
        <f>X32</f>
        <v>0</v>
      </c>
      <c r="CN11" s="40">
        <f>X33</f>
        <v>0</v>
      </c>
      <c r="CO11" s="13">
        <f>X11</f>
        <v>0.48049999999999998</v>
      </c>
      <c r="CP11" s="13">
        <f>X18</f>
        <v>8.9800000000000019E-2</v>
      </c>
      <c r="CQ11" s="13">
        <f>X25</f>
        <v>7.000000000000001E-3</v>
      </c>
      <c r="CR11" s="13"/>
      <c r="CS11" s="13"/>
      <c r="CT11" s="13"/>
      <c r="CU11" s="13"/>
    </row>
    <row r="12" spans="1:99" ht="14.1" customHeight="1" thickBot="1">
      <c r="B12" s="98"/>
      <c r="C12" s="65"/>
      <c r="D12" s="99"/>
      <c r="E12" s="13"/>
      <c r="F12" s="13"/>
      <c r="G12" s="13"/>
      <c r="H12" s="13"/>
      <c r="I12" s="13"/>
      <c r="J12" s="6" t="s">
        <v>108</v>
      </c>
      <c r="K12" s="13"/>
      <c r="L12" s="13"/>
      <c r="M12" s="12" t="s">
        <v>39</v>
      </c>
      <c r="N12" s="13"/>
      <c r="O12" s="13"/>
      <c r="P12" s="13"/>
      <c r="Q12" s="30"/>
      <c r="R12" s="30"/>
      <c r="U12" s="14">
        <v>478.91</v>
      </c>
      <c r="V12" s="15"/>
      <c r="W12" s="15"/>
      <c r="Y12" s="70"/>
      <c r="Z12" s="96"/>
      <c r="AA12" s="30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30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40"/>
      <c r="CG12" s="40"/>
      <c r="CH12" s="40"/>
      <c r="CI12" s="40"/>
      <c r="CJ12" s="40"/>
      <c r="CK12" s="40"/>
      <c r="CL12" s="40"/>
      <c r="CM12" s="40"/>
      <c r="CN12" s="40"/>
    </row>
    <row r="13" spans="1:99" ht="14.1" customHeight="1" thickBot="1">
      <c r="B13" s="98"/>
      <c r="C13" s="65"/>
      <c r="D13" s="99"/>
      <c r="E13" s="13"/>
      <c r="F13" s="13"/>
      <c r="G13" s="13"/>
      <c r="H13" s="13"/>
      <c r="I13" s="13"/>
      <c r="J13" s="6"/>
      <c r="K13" s="13"/>
      <c r="L13" s="13"/>
      <c r="M13" s="100" t="s">
        <v>32</v>
      </c>
      <c r="N13" s="101"/>
      <c r="O13" s="101"/>
      <c r="P13" s="101"/>
      <c r="Q13" s="30"/>
      <c r="R13" s="102" t="s">
        <v>25</v>
      </c>
      <c r="S13" s="103" t="s">
        <v>109</v>
      </c>
      <c r="T13" s="13">
        <v>30</v>
      </c>
      <c r="U13" s="14">
        <v>491.01</v>
      </c>
      <c r="V13" s="15"/>
      <c r="W13" s="15"/>
      <c r="X13" s="69">
        <v>0.13100000000000001</v>
      </c>
      <c r="Y13" s="30">
        <v>90</v>
      </c>
      <c r="Z13" s="71">
        <v>91.274000000000001</v>
      </c>
      <c r="AA13" s="40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19"/>
      <c r="AY13" s="74"/>
      <c r="AZ13" s="74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40"/>
      <c r="CG13" s="40"/>
      <c r="CH13" s="40"/>
      <c r="CI13" s="40"/>
      <c r="CJ13" s="40"/>
      <c r="CK13" s="40"/>
      <c r="CL13" s="40"/>
      <c r="CM13" s="40"/>
      <c r="CN13" s="40"/>
    </row>
    <row r="14" spans="1:99" ht="14.1" customHeight="1">
      <c r="A14" s="12">
        <v>90</v>
      </c>
      <c r="B14" s="75">
        <v>103</v>
      </c>
      <c r="C14" s="65"/>
      <c r="D14" s="104">
        <f>AVERAGE(U17:U18)</f>
        <v>467.11500000000001</v>
      </c>
      <c r="E14" s="78">
        <f>D14-$E$5</f>
        <v>436.91</v>
      </c>
      <c r="F14" s="78"/>
      <c r="G14" s="78">
        <f t="shared" ref="G14:G27" si="0">($E14*7.1425)</f>
        <v>3120.6296750000001</v>
      </c>
      <c r="H14" s="78">
        <f t="shared" ref="H14:H27" si="1">($G14/($B14*0.01))</f>
        <v>3029.7375485436892</v>
      </c>
      <c r="I14" s="33">
        <f>$C$15*A14+$C$16</f>
        <v>3191.5587814285718</v>
      </c>
      <c r="J14" s="105" t="s">
        <v>110</v>
      </c>
      <c r="K14" s="106" t="s">
        <v>111</v>
      </c>
      <c r="L14" s="13"/>
      <c r="M14" s="107">
        <f>(((S14/60)*$J$1)/$D$2)</f>
        <v>1.4849474066013781</v>
      </c>
      <c r="N14" s="101"/>
      <c r="O14" s="101"/>
      <c r="P14" s="101"/>
      <c r="Q14" s="30"/>
      <c r="R14" s="108">
        <v>90</v>
      </c>
      <c r="S14" s="109">
        <v>46</v>
      </c>
      <c r="U14" s="14">
        <v>476.33</v>
      </c>
      <c r="V14" s="15"/>
      <c r="W14" s="110"/>
      <c r="X14" s="69">
        <v>8.3000000000000004E-2</v>
      </c>
      <c r="Y14" s="30">
        <v>100</v>
      </c>
      <c r="Z14" s="71">
        <v>52.177999999999997</v>
      </c>
      <c r="AA14" s="40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19"/>
      <c r="AY14" s="74"/>
      <c r="AZ14" s="74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40"/>
      <c r="CG14" s="40"/>
      <c r="CH14" s="40"/>
      <c r="CI14" s="40"/>
      <c r="CJ14" s="40"/>
      <c r="CK14" s="40"/>
      <c r="CL14" s="40"/>
      <c r="CM14" s="40"/>
      <c r="CN14" s="40"/>
    </row>
    <row r="15" spans="1:99" s="115" customFormat="1" ht="14.1" customHeight="1">
      <c r="A15" s="12">
        <v>100</v>
      </c>
      <c r="B15" s="75">
        <v>104</v>
      </c>
      <c r="C15" s="65">
        <f>SLOPE(G15:G18,A15:A18)</f>
        <v>-12.885682214285712</v>
      </c>
      <c r="D15" s="104">
        <f>AVERAGE(U19:U20)</f>
        <v>459.72500000000002</v>
      </c>
      <c r="E15" s="66">
        <f>D15-$E$5</f>
        <v>429.52000000000004</v>
      </c>
      <c r="F15" s="111">
        <v>180</v>
      </c>
      <c r="G15" s="112">
        <f t="shared" si="0"/>
        <v>3067.8466000000003</v>
      </c>
      <c r="H15" s="78">
        <f t="shared" si="1"/>
        <v>2949.8525000000004</v>
      </c>
      <c r="I15" s="33">
        <f>$C$15*A15+$C$16</f>
        <v>3062.7019592857146</v>
      </c>
      <c r="J15" s="113">
        <f>((($N$2-(130*$D$2*(((B15+B14)*0.01)/2))*((I15-I14)/(A15-A14))))/((I15+I14)/2))/$D$2</f>
        <v>2.3187790072515111</v>
      </c>
      <c r="K15" s="114">
        <f>$N$2/H15/$D$2</f>
        <v>1.8703835916509861</v>
      </c>
      <c r="L15" s="114">
        <f>J15/($D$4/$D$2)</f>
        <v>3.178541671883504</v>
      </c>
      <c r="M15" s="107">
        <f>(((S15/60)*$J$1)/$D$2)</f>
        <v>1.4849474066013781</v>
      </c>
      <c r="N15" s="19">
        <f>K15-M15</f>
        <v>0.38543618504960797</v>
      </c>
      <c r="O15" s="74">
        <f>N15/($D$4/$D$2)</f>
        <v>0.52834917523431535</v>
      </c>
      <c r="P15" s="74"/>
      <c r="Q15" s="30"/>
      <c r="R15" s="108">
        <v>100</v>
      </c>
      <c r="S15" s="109">
        <v>46</v>
      </c>
      <c r="T15" s="13">
        <v>60</v>
      </c>
      <c r="U15" s="14">
        <v>502.79</v>
      </c>
      <c r="V15" s="15"/>
      <c r="W15" s="110"/>
      <c r="X15" s="69">
        <v>9.1999999999999998E-2</v>
      </c>
      <c r="Y15" s="30">
        <v>110</v>
      </c>
      <c r="Z15" s="71">
        <v>58.956000000000003</v>
      </c>
      <c r="AA15" s="40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19"/>
      <c r="AY15" s="74"/>
      <c r="AZ15" s="74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40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40"/>
      <c r="CH15" s="40"/>
      <c r="CI15" s="40"/>
      <c r="CJ15" s="40"/>
      <c r="CK15" s="40"/>
      <c r="CL15" s="40"/>
      <c r="CM15" s="40"/>
      <c r="CN15" s="40"/>
      <c r="CO15" s="13"/>
      <c r="CP15" s="13"/>
      <c r="CQ15" s="13"/>
      <c r="CR15" s="13"/>
      <c r="CS15" s="13"/>
      <c r="CT15" s="13"/>
      <c r="CU15" s="13"/>
    </row>
    <row r="16" spans="1:99" ht="14.1" customHeight="1">
      <c r="A16" s="12">
        <v>110</v>
      </c>
      <c r="B16" s="75">
        <v>96</v>
      </c>
      <c r="C16" s="65">
        <f>INTERCEPT(G15:G18,A15:A18)</f>
        <v>4351.2701807142857</v>
      </c>
      <c r="D16" s="104">
        <f>AVERAGE(U21:U22)</f>
        <v>438.72</v>
      </c>
      <c r="E16" s="66">
        <f>D16-$E$5</f>
        <v>408.51500000000004</v>
      </c>
      <c r="F16" s="116">
        <v>210</v>
      </c>
      <c r="G16" s="66">
        <f t="shared" si="0"/>
        <v>2917.8183875000004</v>
      </c>
      <c r="H16" s="78">
        <f t="shared" si="1"/>
        <v>3039.3941536458337</v>
      </c>
      <c r="I16" s="33">
        <f>$C$15*A16+$C$16</f>
        <v>2933.8451371428573</v>
      </c>
      <c r="J16" s="113">
        <f>((($N$2-(130*$D$2*(((B16+B15)*0.01)/2))*((I16-I15)/(A16-A15))))/((I16+I15)/2))/$D$2</f>
        <v>2.398878649992259</v>
      </c>
      <c r="K16" s="67">
        <f>$N$2/H16/$D$2</f>
        <v>1.8152814129659451</v>
      </c>
      <c r="L16" s="67">
        <f>J16/($D$4/$D$2)</f>
        <v>3.2883408599726827</v>
      </c>
      <c r="M16" s="107">
        <f>(((S16/60)*$J$1)/$D$2)</f>
        <v>1.4849474066013781</v>
      </c>
      <c r="N16" s="19">
        <f>K16-M16</f>
        <v>0.330334006364567</v>
      </c>
      <c r="O16" s="67">
        <f>N16/($D$4/$D$2)</f>
        <v>0.45281607328098367</v>
      </c>
      <c r="P16" s="67"/>
      <c r="Q16" s="30"/>
      <c r="R16" s="108">
        <v>110</v>
      </c>
      <c r="S16" s="109">
        <v>46</v>
      </c>
      <c r="U16" s="14">
        <v>510.54</v>
      </c>
      <c r="V16" s="15"/>
      <c r="W16" s="110"/>
      <c r="X16" s="69">
        <v>7.9000000000000001E-2</v>
      </c>
      <c r="Y16" s="30">
        <v>115</v>
      </c>
      <c r="Z16" s="71">
        <v>45.023000000000003</v>
      </c>
      <c r="AA16" s="40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19"/>
      <c r="AY16" s="74"/>
      <c r="AZ16" s="74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40"/>
    </row>
    <row r="17" spans="1:67" ht="14.1" customHeight="1">
      <c r="A17" s="12">
        <v>115</v>
      </c>
      <c r="B17" s="75">
        <v>96</v>
      </c>
      <c r="C17" s="65"/>
      <c r="D17" s="104">
        <f>AVERAGE(U23:U24)</f>
        <v>433.55</v>
      </c>
      <c r="E17" s="66">
        <f>D17-$E$5</f>
        <v>403.34500000000003</v>
      </c>
      <c r="F17" s="116">
        <v>220</v>
      </c>
      <c r="G17" s="66">
        <f t="shared" si="0"/>
        <v>2880.8916625000002</v>
      </c>
      <c r="H17" s="78">
        <f t="shared" si="1"/>
        <v>3000.9288151041669</v>
      </c>
      <c r="I17" s="33">
        <f>$C$15*A17+$C$16</f>
        <v>2869.4167260714289</v>
      </c>
      <c r="J17" s="113">
        <f>((($N$2-(130*$D$2*(((B17+B16)*0.01)/2))*((I17-I16)/(A17-A16))))/((I17+I16)/2))/$D$2</f>
        <v>2.4556840694370661</v>
      </c>
      <c r="K17" s="67">
        <f>$N$2/H17/$D$2</f>
        <v>1.8385493471290906</v>
      </c>
      <c r="L17" s="67">
        <f>J17/($D$4/$D$2)</f>
        <v>3.3662087345435157</v>
      </c>
      <c r="M17" s="107">
        <f>(((S17/60)*$J$1)/$D$2)</f>
        <v>2.4856728327892639</v>
      </c>
      <c r="N17" s="19">
        <f>K17-M17</f>
        <v>-0.6471234856601733</v>
      </c>
      <c r="O17" s="67">
        <f>N17/($D$4/$D$2)</f>
        <v>-0.88706554595880083</v>
      </c>
      <c r="P17" s="67"/>
      <c r="Q17" s="30"/>
      <c r="R17" s="108">
        <v>115</v>
      </c>
      <c r="S17" s="117">
        <v>77</v>
      </c>
      <c r="T17" s="40">
        <v>90</v>
      </c>
      <c r="U17" s="14">
        <v>465.56</v>
      </c>
      <c r="V17" s="15"/>
      <c r="W17" s="110"/>
      <c r="X17" s="69">
        <v>6.4000000000000001E-2</v>
      </c>
      <c r="Y17" s="30">
        <v>120</v>
      </c>
      <c r="Z17" s="71">
        <v>43.497999999999998</v>
      </c>
      <c r="AA17" s="40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19"/>
      <c r="AY17" s="74"/>
      <c r="AZ17" s="74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40"/>
    </row>
    <row r="18" spans="1:67" ht="14.1" customHeight="1">
      <c r="A18" s="12">
        <v>120</v>
      </c>
      <c r="B18" s="118">
        <v>96</v>
      </c>
      <c r="C18" s="65"/>
      <c r="D18" s="104">
        <f>AVERAGE(U25:U26)</f>
        <v>422.84000000000003</v>
      </c>
      <c r="E18" s="66">
        <f>D18-$E$5</f>
        <v>392.63500000000005</v>
      </c>
      <c r="F18" s="116">
        <v>225</v>
      </c>
      <c r="G18" s="66">
        <f t="shared" si="0"/>
        <v>2804.3954875000004</v>
      </c>
      <c r="H18" s="78">
        <f t="shared" si="1"/>
        <v>2921.245299479167</v>
      </c>
      <c r="I18" s="33">
        <f>$C$15*A18+$C$16</f>
        <v>2804.9883150000005</v>
      </c>
      <c r="J18" s="113">
        <f>((($N$2-(130*$D$2*(((B18+B17)*0.01)/2))*((I18-I17)/(A18-A17))))/((I18+I17)/2))/$D$2</f>
        <v>2.5114487959738856</v>
      </c>
      <c r="K18" s="67">
        <f>$N$2/H18/$D$2</f>
        <v>1.8886999030086034</v>
      </c>
      <c r="L18" s="67">
        <f>J18/($D$4/$D$2)</f>
        <v>3.4426500454938709</v>
      </c>
      <c r="M18" s="107">
        <f>(((S18/60)*$J$1)/$D$2)</f>
        <v>2.4856728327892639</v>
      </c>
      <c r="N18" s="19">
        <f>K18-M18</f>
        <v>-0.59697292978066052</v>
      </c>
      <c r="O18" s="67">
        <f>N18/($D$4/$D$2)</f>
        <v>-0.81832004186692975</v>
      </c>
      <c r="P18" s="67"/>
      <c r="Q18" s="30"/>
      <c r="R18" s="108">
        <v>120</v>
      </c>
      <c r="S18" s="117">
        <v>77</v>
      </c>
      <c r="T18" s="30"/>
      <c r="U18" s="14">
        <v>468.67</v>
      </c>
      <c r="V18" s="15"/>
      <c r="W18" s="110"/>
      <c r="X18" s="96">
        <f>AVERAGE(X13:X17)</f>
        <v>8.9800000000000019E-2</v>
      </c>
      <c r="Y18" s="30" t="s">
        <v>107</v>
      </c>
      <c r="Z18" s="96">
        <f>AVERAGE(Z13:Z17)</f>
        <v>58.185800000000008</v>
      </c>
      <c r="AA18" s="30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5"/>
      <c r="AY18" s="95"/>
      <c r="AZ18" s="95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2"/>
      <c r="BO18" s="40"/>
    </row>
    <row r="19" spans="1:67" ht="14.1" customHeight="1" thickBot="1">
      <c r="A19" s="63"/>
      <c r="B19" s="98"/>
      <c r="C19" s="65"/>
      <c r="D19" s="99"/>
      <c r="E19" s="66"/>
      <c r="F19" s="63"/>
      <c r="G19" s="66"/>
      <c r="H19" s="66"/>
      <c r="I19" s="33"/>
      <c r="J19" s="113"/>
      <c r="K19" s="67"/>
      <c r="L19" s="67"/>
      <c r="M19" s="107"/>
      <c r="O19" s="67"/>
      <c r="P19" s="67"/>
      <c r="Q19" s="30"/>
      <c r="R19" s="108"/>
      <c r="S19" s="117">
        <v>77</v>
      </c>
      <c r="T19" s="41">
        <v>100</v>
      </c>
      <c r="U19" s="14">
        <v>462.92</v>
      </c>
      <c r="V19" s="15"/>
      <c r="W19" s="110"/>
      <c r="Y19" s="30"/>
      <c r="Z19" s="96"/>
      <c r="AA19" s="30"/>
      <c r="AB19" s="96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30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40"/>
    </row>
    <row r="20" spans="1:67" ht="14.1" customHeight="1" thickBot="1">
      <c r="A20" s="119" t="s">
        <v>112</v>
      </c>
      <c r="B20" s="120">
        <f>AVERAGE(B14:B19)</f>
        <v>99</v>
      </c>
      <c r="C20" s="121"/>
      <c r="D20" s="122">
        <f>AVERAGE(D14:D18)</f>
        <v>444.39</v>
      </c>
      <c r="E20" s="122">
        <f>AVERAGE(E14:E18)</f>
        <v>414.18500000000006</v>
      </c>
      <c r="F20" s="122"/>
      <c r="G20" s="122">
        <f>AVERAGE(G14:G18)</f>
        <v>2958.3163625000002</v>
      </c>
      <c r="H20" s="122">
        <f>AVERAGE(H14:H18)</f>
        <v>2988.2316633545715</v>
      </c>
      <c r="I20" s="122"/>
      <c r="J20" s="122">
        <f t="shared" ref="J20:O20" si="2">AVERAGE(J14:J18)</f>
        <v>2.4211976306636802</v>
      </c>
      <c r="K20" s="123">
        <f t="shared" si="2"/>
        <v>1.8532285636886563</v>
      </c>
      <c r="L20" s="122">
        <f t="shared" si="2"/>
        <v>3.3189353279733931</v>
      </c>
      <c r="M20" s="122">
        <f t="shared" si="2"/>
        <v>1.8852375770765324</v>
      </c>
      <c r="N20" s="123">
        <f t="shared" si="2"/>
        <v>-0.13208155600666471</v>
      </c>
      <c r="O20" s="122">
        <f t="shared" si="2"/>
        <v>-0.18105508482760788</v>
      </c>
      <c r="P20" s="124"/>
      <c r="Q20" s="30"/>
      <c r="R20" s="108"/>
      <c r="S20" s="117"/>
      <c r="T20" s="41"/>
      <c r="U20" s="14">
        <v>456.53</v>
      </c>
      <c r="V20" s="15"/>
      <c r="W20" s="110"/>
      <c r="X20" s="69">
        <v>2.5000000000000001E-2</v>
      </c>
      <c r="Y20" s="70">
        <v>210</v>
      </c>
      <c r="Z20" s="71">
        <v>282.93</v>
      </c>
      <c r="AA20" s="40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4"/>
      <c r="AY20" s="74"/>
      <c r="AZ20" s="74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40"/>
    </row>
    <row r="21" spans="1:67" ht="14.1" customHeight="1" thickBot="1">
      <c r="A21" s="70"/>
      <c r="B21" s="118"/>
      <c r="C21" s="36"/>
      <c r="D21" s="99"/>
      <c r="E21" s="33"/>
      <c r="F21" s="125" t="s">
        <v>113</v>
      </c>
      <c r="G21" s="33"/>
      <c r="H21" s="33"/>
      <c r="I21" s="126" t="s">
        <v>114</v>
      </c>
      <c r="J21" s="127">
        <f>J20-((B18-B15)*0.25*$D$2*10)/(30*$D$2)</f>
        <v>3.0878642973303467</v>
      </c>
      <c r="K21" s="74"/>
      <c r="L21" s="128" t="s">
        <v>33</v>
      </c>
      <c r="M21" s="129">
        <f>J21-M20</f>
        <v>1.2026267202538143</v>
      </c>
      <c r="N21" s="19"/>
      <c r="O21" s="74"/>
      <c r="P21" s="130">
        <f>$M$20-(((B18-B14)*1.3)/(A18-A14))</f>
        <v>2.1885709104098656</v>
      </c>
      <c r="Q21" s="30"/>
      <c r="R21" s="131"/>
      <c r="S21" s="117"/>
      <c r="T21" s="41">
        <v>110</v>
      </c>
      <c r="U21" s="14">
        <v>440.01</v>
      </c>
      <c r="V21" s="15"/>
      <c r="W21" s="110"/>
      <c r="X21" s="69">
        <v>3.0000000000000001E-3</v>
      </c>
      <c r="Y21" s="70">
        <v>220</v>
      </c>
      <c r="Z21" s="71">
        <v>295.05</v>
      </c>
      <c r="AA21" s="40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4"/>
      <c r="AY21" s="74"/>
      <c r="AZ21" s="74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40"/>
    </row>
    <row r="22" spans="1:67" ht="14.1" customHeight="1" thickBot="1">
      <c r="A22" s="63"/>
      <c r="B22" s="98"/>
      <c r="C22" s="65"/>
      <c r="D22" s="99"/>
      <c r="E22" s="66"/>
      <c r="F22" s="63"/>
      <c r="G22" s="66"/>
      <c r="H22" s="66"/>
      <c r="I22" s="33"/>
      <c r="J22" s="132"/>
      <c r="K22" s="67"/>
      <c r="L22" s="133"/>
      <c r="M22" s="134"/>
      <c r="N22" s="101"/>
      <c r="O22" s="133"/>
      <c r="P22" s="133"/>
      <c r="Q22" s="30"/>
      <c r="R22" s="102" t="s">
        <v>25</v>
      </c>
      <c r="S22" s="103" t="s">
        <v>109</v>
      </c>
      <c r="T22" s="30"/>
      <c r="U22" s="14">
        <v>437.43</v>
      </c>
      <c r="V22" s="15"/>
      <c r="W22" s="110"/>
      <c r="X22" s="69">
        <v>1E-3</v>
      </c>
      <c r="Y22" s="70">
        <v>230</v>
      </c>
      <c r="Z22" s="71">
        <v>169.4</v>
      </c>
      <c r="AA22" s="40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4"/>
      <c r="AY22" s="74"/>
      <c r="AZ22" s="74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40"/>
    </row>
    <row r="23" spans="1:67" ht="14.1" customHeight="1">
      <c r="A23" s="63">
        <v>210</v>
      </c>
      <c r="B23" s="75">
        <v>104</v>
      </c>
      <c r="C23" s="65"/>
      <c r="D23" s="104">
        <f>AVERAGE(U31:U32)</f>
        <v>240.76</v>
      </c>
      <c r="E23" s="78">
        <f>D23-$E$5</f>
        <v>210.55500000000001</v>
      </c>
      <c r="F23" s="78"/>
      <c r="G23" s="78">
        <f t="shared" si="0"/>
        <v>1503.8890875</v>
      </c>
      <c r="H23" s="78">
        <f t="shared" si="1"/>
        <v>1446.0471995192306</v>
      </c>
      <c r="I23" s="33">
        <f>$C$24*A23+$C$25</f>
        <v>1332.4782707142856</v>
      </c>
      <c r="J23" s="105" t="s">
        <v>110</v>
      </c>
      <c r="K23" s="106" t="s">
        <v>111</v>
      </c>
      <c r="L23" s="67"/>
      <c r="M23" s="19">
        <f>(((S23/60)*$J$1)/$D$2)</f>
        <v>6.0043525571273131</v>
      </c>
      <c r="N23" s="101"/>
      <c r="O23" s="133"/>
      <c r="P23" s="133"/>
      <c r="Q23" s="30"/>
      <c r="R23" s="131">
        <v>210</v>
      </c>
      <c r="S23" s="117">
        <v>186</v>
      </c>
      <c r="T23" s="13">
        <v>115</v>
      </c>
      <c r="U23" s="14">
        <v>441.98</v>
      </c>
      <c r="V23" s="15"/>
      <c r="W23" s="110"/>
      <c r="X23" s="69">
        <v>3.0000000000000001E-3</v>
      </c>
      <c r="Y23" s="70">
        <v>235</v>
      </c>
      <c r="Z23" s="71">
        <v>272.92</v>
      </c>
      <c r="AA23" s="40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4"/>
      <c r="AY23" s="74"/>
      <c r="AZ23" s="74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40"/>
    </row>
    <row r="24" spans="1:67" ht="14.1" customHeight="1">
      <c r="A24" s="63">
        <v>220</v>
      </c>
      <c r="B24" s="75">
        <v>106</v>
      </c>
      <c r="C24" s="65">
        <f>SLOPE(G24:G27,A24:A27)</f>
        <v>-0.71384185714285453</v>
      </c>
      <c r="D24" s="104">
        <f>AVERAGE(U33:U34)</f>
        <v>218.33499999999998</v>
      </c>
      <c r="E24" s="66">
        <f>D24-$E$5</f>
        <v>188.13</v>
      </c>
      <c r="F24" s="111">
        <v>180</v>
      </c>
      <c r="G24" s="112">
        <f t="shared" si="0"/>
        <v>1343.718525</v>
      </c>
      <c r="H24" s="112">
        <f t="shared" si="1"/>
        <v>1267.6589858490565</v>
      </c>
      <c r="I24" s="33">
        <f>$C$24*A24+$C$25</f>
        <v>1325.3398521428571</v>
      </c>
      <c r="J24" s="113">
        <f>((($N$2-(130*$D$2*(((B24+B23)*0.01)/2))*((I24-I23)/(A24-A23))))/((I24+I23)/2))/$D$2</f>
        <v>4.2251161424505304</v>
      </c>
      <c r="K24" s="114">
        <f>$N$2/H24/$D$2</f>
        <v>4.352397431313288</v>
      </c>
      <c r="L24" s="114">
        <f>J24/($D$4/$D$2)</f>
        <v>5.7917152455356904</v>
      </c>
      <c r="M24" s="107">
        <f>(((S24/60)*$J$1)/$D$2)</f>
        <v>6.0043525571273131</v>
      </c>
      <c r="N24" s="19">
        <f>K24-M24</f>
        <v>-1.651955125814025</v>
      </c>
      <c r="O24" s="74">
        <f>N24/($D$4/$D$2)</f>
        <v>-2.2644711682573444</v>
      </c>
      <c r="P24" s="74"/>
      <c r="Q24" s="30"/>
      <c r="R24" s="131">
        <v>220</v>
      </c>
      <c r="S24" s="117">
        <v>186</v>
      </c>
      <c r="U24" s="14">
        <v>425.12</v>
      </c>
      <c r="V24" s="15"/>
      <c r="W24" s="110"/>
      <c r="X24" s="69">
        <v>3.0000000000000001E-3</v>
      </c>
      <c r="Y24" s="70">
        <v>240</v>
      </c>
      <c r="Z24" s="71">
        <v>226.98</v>
      </c>
      <c r="AA24" s="40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4"/>
      <c r="AY24" s="74"/>
      <c r="AZ24" s="74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40"/>
    </row>
    <row r="25" spans="1:67" ht="14.1" customHeight="1">
      <c r="A25" s="63">
        <v>230</v>
      </c>
      <c r="B25" s="75">
        <v>103</v>
      </c>
      <c r="C25" s="65">
        <f>INTERCEPT(G24:G27,A24:A27)</f>
        <v>1482.3850607142851</v>
      </c>
      <c r="D25" s="104">
        <f>AVERAGE(U35:U36)</f>
        <v>205.73000000000002</v>
      </c>
      <c r="E25" s="66">
        <f>D25-$E$5</f>
        <v>175.52500000000003</v>
      </c>
      <c r="F25" s="111">
        <v>180</v>
      </c>
      <c r="G25" s="112">
        <f t="shared" si="0"/>
        <v>1253.6873125000002</v>
      </c>
      <c r="H25" s="112">
        <f t="shared" si="1"/>
        <v>1217.1721480582526</v>
      </c>
      <c r="I25" s="33">
        <f>$C$24*A25+$C$25</f>
        <v>1318.2014335714287</v>
      </c>
      <c r="J25" s="113">
        <f>((($N$2-(130*$D$2*(((B25+B24)*0.01)/2))*((I25-I24)/(A25-A24))))/((I25+I24)/2))/$D$2</f>
        <v>4.2475834672402355</v>
      </c>
      <c r="K25" s="114">
        <f>$N$2/H25/$D$2</f>
        <v>4.5329296456482728</v>
      </c>
      <c r="L25" s="114">
        <f>J25/($D$4/$D$2)</f>
        <v>5.822513061056914</v>
      </c>
      <c r="M25" s="107">
        <f>(((S25/60)*$J$1)/$D$2)</f>
        <v>6.0043525571273131</v>
      </c>
      <c r="N25" s="19">
        <f>K25-M25</f>
        <v>-1.4714229114790403</v>
      </c>
      <c r="O25" s="114">
        <f>N25/($D$4/$D$2)</f>
        <v>-2.0170007691435785</v>
      </c>
      <c r="P25" s="74"/>
      <c r="Q25" s="30"/>
      <c r="R25" s="131">
        <v>230</v>
      </c>
      <c r="S25" s="117">
        <v>186</v>
      </c>
      <c r="T25" s="13">
        <v>120</v>
      </c>
      <c r="U25" s="14">
        <v>421.29</v>
      </c>
      <c r="V25" s="15"/>
      <c r="W25" s="110"/>
      <c r="X25" s="96">
        <f>AVERAGE(X20:X24)</f>
        <v>7.000000000000001E-3</v>
      </c>
      <c r="Y25" s="57" t="s">
        <v>107</v>
      </c>
      <c r="Z25" s="96">
        <f>AVERAGE(Z20:Z24)</f>
        <v>249.45599999999999</v>
      </c>
      <c r="AA25" s="30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5"/>
      <c r="AY25" s="95"/>
      <c r="AZ25" s="95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40"/>
    </row>
    <row r="26" spans="1:67" ht="14.1" customHeight="1">
      <c r="A26" s="63">
        <v>235</v>
      </c>
      <c r="B26" s="75">
        <v>99</v>
      </c>
      <c r="C26" s="65"/>
      <c r="D26" s="104">
        <f>AVERAGE(U37:U38)</f>
        <v>222.035</v>
      </c>
      <c r="E26" s="66">
        <f>D26-$E$5</f>
        <v>191.82999999999998</v>
      </c>
      <c r="F26" s="111">
        <v>180</v>
      </c>
      <c r="G26" s="112">
        <f t="shared" si="0"/>
        <v>1370.145775</v>
      </c>
      <c r="H26" s="112">
        <f t="shared" si="1"/>
        <v>1383.9856313131313</v>
      </c>
      <c r="I26" s="33">
        <f>$C$24*A26+$C$25</f>
        <v>1314.6322242857143</v>
      </c>
      <c r="J26" s="113">
        <f>((($N$2-(130*$D$2*(((B26+B25)*0.01)/2))*((I26-I25)/(A26-A25))))/((I26+I25)/2))/$D$2</f>
        <v>4.2623909284115937</v>
      </c>
      <c r="K26" s="114">
        <f>$N$2/H26/$D$2</f>
        <v>3.9865700835027833</v>
      </c>
      <c r="L26" s="114">
        <f>J26/($D$4/$D$2)</f>
        <v>5.8428108696194245</v>
      </c>
      <c r="M26" s="107">
        <f>(((S26/60)*$J$1)/$D$2)</f>
        <v>6.0043525571273131</v>
      </c>
      <c r="N26" s="19">
        <f>K26-M26</f>
        <v>-2.0177824736245298</v>
      </c>
      <c r="O26" s="114">
        <f>N26/($D$4/$D$2)</f>
        <v>-2.7659408926657063</v>
      </c>
      <c r="P26" s="74"/>
      <c r="Q26" s="30"/>
      <c r="R26" s="131">
        <v>235</v>
      </c>
      <c r="S26" s="117">
        <v>186</v>
      </c>
      <c r="U26" s="14">
        <v>424.39</v>
      </c>
      <c r="V26" s="15"/>
      <c r="W26" s="11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</row>
    <row r="27" spans="1:67" ht="14.1" customHeight="1">
      <c r="A27" s="63">
        <v>240</v>
      </c>
      <c r="B27" s="118">
        <v>98</v>
      </c>
      <c r="C27" s="65"/>
      <c r="D27" s="104">
        <f>AVERAGE(U39:U40)</f>
        <v>212.45</v>
      </c>
      <c r="E27" s="66">
        <f>D27-$E$5</f>
        <v>182.245</v>
      </c>
      <c r="F27" s="111">
        <v>180</v>
      </c>
      <c r="G27" s="112">
        <f t="shared" si="0"/>
        <v>1301.6849125000001</v>
      </c>
      <c r="H27" s="112">
        <f t="shared" si="1"/>
        <v>1328.2499107142858</v>
      </c>
      <c r="I27" s="33">
        <f>$C$24*A27+$C$25</f>
        <v>1311.0630150000002</v>
      </c>
      <c r="J27" s="113">
        <f>((($N$2-(130*$D$2*(((B27+B26)*0.01)/2))*((I27-I26)/(A27-A26))))/((I27+I26)/2))/$D$2</f>
        <v>4.2722118543533396</v>
      </c>
      <c r="K27" s="114">
        <f>$N$2/H27/$D$2</f>
        <v>4.1538536304689853</v>
      </c>
      <c r="L27" s="114">
        <f>J27/($D$4/$D$2)</f>
        <v>5.8562732229806969</v>
      </c>
      <c r="M27" s="107">
        <f>(((S27/60)*$J$1)/$D$2)</f>
        <v>6.0043525571273131</v>
      </c>
      <c r="N27" s="19">
        <f>K27-M27</f>
        <v>-1.8504989266583278</v>
      </c>
      <c r="O27" s="114">
        <f>N27/($D$4/$D$2)</f>
        <v>-2.5366315348572583</v>
      </c>
      <c r="P27" s="74"/>
      <c r="Q27" s="30"/>
      <c r="R27" s="131">
        <v>240</v>
      </c>
      <c r="S27" s="117">
        <v>186</v>
      </c>
      <c r="T27" s="13">
        <v>150</v>
      </c>
      <c r="U27" s="14">
        <v>379.57</v>
      </c>
      <c r="V27" s="15"/>
      <c r="W27" s="11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</row>
    <row r="28" spans="1:67" ht="14.1" customHeight="1" thickBot="1">
      <c r="A28" s="63"/>
      <c r="B28" s="118"/>
      <c r="C28" s="65"/>
      <c r="D28" s="99"/>
      <c r="E28" s="66"/>
      <c r="F28" s="135"/>
      <c r="G28" s="112"/>
      <c r="H28" s="112"/>
      <c r="I28" s="33"/>
      <c r="J28" s="113"/>
      <c r="K28" s="114"/>
      <c r="L28" s="114"/>
      <c r="M28" s="107"/>
      <c r="N28" s="107"/>
      <c r="O28" s="114"/>
      <c r="P28" s="74"/>
      <c r="Q28" s="30"/>
      <c r="R28" s="108"/>
      <c r="S28" s="117"/>
      <c r="U28" s="14">
        <v>369.66</v>
      </c>
      <c r="V28" s="15"/>
      <c r="W28" s="110"/>
      <c r="X28" s="69"/>
      <c r="Y28" s="13" t="s">
        <v>115</v>
      </c>
    </row>
    <row r="29" spans="1:67" ht="14.1" customHeight="1" thickBot="1">
      <c r="A29" s="119" t="s">
        <v>112</v>
      </c>
      <c r="B29" s="122">
        <f>AVERAGE(B23:B28)</f>
        <v>102</v>
      </c>
      <c r="C29" s="121"/>
      <c r="D29" s="122">
        <f>AVERAGE(D23:D28)</f>
        <v>219.86199999999999</v>
      </c>
      <c r="E29" s="122">
        <f>AVERAGE(E23:E28)</f>
        <v>189.65699999999998</v>
      </c>
      <c r="F29" s="122">
        <f>AVERAGE(F24:F28)</f>
        <v>180</v>
      </c>
      <c r="G29" s="122">
        <f>AVERAGE(G23:G28)</f>
        <v>1354.6251225000001</v>
      </c>
      <c r="H29" s="122">
        <f>AVERAGE(H23:H28)</f>
        <v>1328.6227750907915</v>
      </c>
      <c r="I29" s="122"/>
      <c r="J29" s="122">
        <f t="shared" ref="J29:O29" si="3">AVERAGE(J23:J28)</f>
        <v>4.2518255981139248</v>
      </c>
      <c r="K29" s="123">
        <f t="shared" si="3"/>
        <v>4.2564376977333325</v>
      </c>
      <c r="L29" s="122">
        <f t="shared" si="3"/>
        <v>5.8283280997981812</v>
      </c>
      <c r="M29" s="122">
        <f t="shared" si="3"/>
        <v>6.0043525571273131</v>
      </c>
      <c r="N29" s="123">
        <f t="shared" si="3"/>
        <v>-1.7479148593939808</v>
      </c>
      <c r="O29" s="122">
        <f t="shared" si="3"/>
        <v>-2.3960110912309718</v>
      </c>
      <c r="P29" s="122"/>
      <c r="Q29" s="136"/>
      <c r="R29" s="137"/>
      <c r="S29" s="138"/>
      <c r="T29" s="13">
        <v>180</v>
      </c>
      <c r="U29" s="14">
        <v>269.79000000000002</v>
      </c>
      <c r="V29" s="15"/>
      <c r="W29" s="110"/>
      <c r="X29" s="69"/>
      <c r="Y29" s="13" t="s">
        <v>116</v>
      </c>
    </row>
    <row r="30" spans="1:67" ht="14.1" customHeight="1">
      <c r="A30" s="70"/>
      <c r="B30" s="139"/>
      <c r="C30" s="36"/>
      <c r="D30" s="99"/>
      <c r="E30" s="33"/>
      <c r="F30" s="125" t="s">
        <v>117</v>
      </c>
      <c r="G30" s="33"/>
      <c r="H30" s="33"/>
      <c r="I30" s="140" t="s">
        <v>114</v>
      </c>
      <c r="J30" s="141">
        <f>J29-((B27-B24)*0.25*$D$2*10)/(20*$D$2)</f>
        <v>5.2518255981139248</v>
      </c>
      <c r="K30" s="74"/>
      <c r="L30" s="142" t="s">
        <v>33</v>
      </c>
      <c r="M30" s="143">
        <f>J30-M29</f>
        <v>-0.75252695901338829</v>
      </c>
      <c r="N30" s="19">
        <f>AVERAGE(J24:J25)-M29</f>
        <v>-1.7680027522819302</v>
      </c>
      <c r="O30" s="74"/>
      <c r="P30" s="130">
        <f>$M$29-(((B27-B23)*1.3)/(A27-A23))</f>
        <v>6.2643525571273129</v>
      </c>
      <c r="Q30" s="30"/>
      <c r="R30" s="63"/>
      <c r="S30" s="144"/>
      <c r="U30" s="14">
        <v>256.60000000000002</v>
      </c>
      <c r="V30" s="15"/>
      <c r="W30" s="110"/>
      <c r="X30" s="69"/>
      <c r="Y30" s="13" t="s">
        <v>118</v>
      </c>
    </row>
    <row r="31" spans="1:67" ht="14.1" customHeight="1">
      <c r="A31" s="145"/>
      <c r="B31" s="139"/>
      <c r="C31" s="146"/>
      <c r="D31" s="147"/>
      <c r="E31" s="148"/>
      <c r="F31" s="145"/>
      <c r="G31" s="148"/>
      <c r="H31" s="148"/>
      <c r="I31" s="148"/>
      <c r="J31" s="149"/>
      <c r="K31" s="150"/>
      <c r="L31" s="133"/>
      <c r="M31" s="134"/>
      <c r="N31" s="101"/>
      <c r="O31" s="150"/>
      <c r="P31" s="150"/>
      <c r="Q31" s="96"/>
      <c r="R31" s="151"/>
      <c r="S31" s="101" t="s">
        <v>32</v>
      </c>
      <c r="T31" s="13">
        <v>210</v>
      </c>
      <c r="U31" s="196">
        <v>263.19</v>
      </c>
      <c r="V31" s="15"/>
      <c r="W31" s="110"/>
      <c r="X31" s="69"/>
      <c r="Y31" s="13" t="s">
        <v>119</v>
      </c>
    </row>
    <row r="32" spans="1:67" ht="14.1" customHeight="1">
      <c r="A32" s="145"/>
      <c r="B32" s="148"/>
      <c r="C32" s="146"/>
      <c r="D32" s="147"/>
      <c r="E32" s="148"/>
      <c r="F32" s="148"/>
      <c r="G32" s="148"/>
      <c r="H32" s="148"/>
      <c r="I32" s="148"/>
      <c r="J32" s="152"/>
      <c r="K32" s="153"/>
      <c r="L32" s="58"/>
      <c r="M32" s="124"/>
      <c r="N32" s="101"/>
      <c r="O32" s="150"/>
      <c r="P32" s="150"/>
      <c r="Q32" s="96"/>
      <c r="R32" s="145"/>
      <c r="S32" s="58"/>
      <c r="U32" s="196">
        <v>218.33</v>
      </c>
      <c r="V32" s="15"/>
      <c r="W32" s="110"/>
      <c r="X32" s="69"/>
      <c r="Y32" s="13" t="s">
        <v>120</v>
      </c>
    </row>
    <row r="33" spans="1:99" ht="14.1" customHeight="1">
      <c r="A33" s="145"/>
      <c r="B33" s="148"/>
      <c r="C33" s="146"/>
      <c r="D33" s="147"/>
      <c r="E33" s="148"/>
      <c r="F33" s="145"/>
      <c r="G33" s="148"/>
      <c r="H33" s="148"/>
      <c r="I33" s="148"/>
      <c r="J33" s="149"/>
      <c r="K33" s="150"/>
      <c r="L33" s="150"/>
      <c r="M33" s="124"/>
      <c r="N33" s="124"/>
      <c r="O33" s="150"/>
      <c r="P33" s="150"/>
      <c r="Q33" s="96"/>
      <c r="R33" s="145"/>
      <c r="S33" s="58"/>
      <c r="T33" s="13">
        <v>220</v>
      </c>
      <c r="U33" s="14">
        <v>212.38</v>
      </c>
      <c r="V33" s="15"/>
      <c r="W33" s="110"/>
      <c r="X33" s="69"/>
      <c r="Y33" s="20" t="s">
        <v>121</v>
      </c>
    </row>
    <row r="34" spans="1:99" ht="14.1" customHeight="1">
      <c r="A34" s="145"/>
      <c r="B34" s="148"/>
      <c r="C34" s="146"/>
      <c r="D34" s="147"/>
      <c r="E34" s="148"/>
      <c r="F34" s="145"/>
      <c r="G34" s="148"/>
      <c r="H34" s="148"/>
      <c r="I34" s="148"/>
      <c r="J34" s="149"/>
      <c r="K34" s="150"/>
      <c r="L34" s="150"/>
      <c r="M34" s="124"/>
      <c r="N34" s="124"/>
      <c r="O34" s="150"/>
      <c r="P34" s="150"/>
      <c r="Q34" s="96"/>
      <c r="R34" s="145"/>
      <c r="S34" s="58"/>
      <c r="U34" s="14">
        <v>224.29</v>
      </c>
      <c r="V34" s="15"/>
      <c r="W34" s="110"/>
    </row>
    <row r="35" spans="1:99" ht="14.1" customHeight="1">
      <c r="A35" s="145"/>
      <c r="B35" s="148"/>
      <c r="C35" s="146"/>
      <c r="D35" s="147"/>
      <c r="E35" s="148"/>
      <c r="F35" s="145"/>
      <c r="G35" s="148"/>
      <c r="H35" s="148"/>
      <c r="I35" s="148"/>
      <c r="J35" s="149"/>
      <c r="K35" s="150"/>
      <c r="L35" s="150"/>
      <c r="M35" s="124"/>
      <c r="N35" s="124"/>
      <c r="O35" s="150"/>
      <c r="P35" s="150"/>
      <c r="Q35" s="96"/>
      <c r="R35" s="145"/>
      <c r="S35" s="58"/>
      <c r="T35" s="13">
        <v>230</v>
      </c>
      <c r="U35" s="14">
        <v>208.13</v>
      </c>
      <c r="V35" s="15"/>
      <c r="W35" s="110"/>
    </row>
    <row r="36" spans="1:99" ht="14.1" customHeight="1">
      <c r="A36" s="145"/>
      <c r="B36" s="139"/>
      <c r="C36" s="146"/>
      <c r="D36" s="147"/>
      <c r="E36" s="148"/>
      <c r="F36" s="145"/>
      <c r="G36" s="148"/>
      <c r="H36" s="148"/>
      <c r="I36" s="148"/>
      <c r="J36" s="149"/>
      <c r="K36" s="150"/>
      <c r="L36" s="150"/>
      <c r="M36" s="124"/>
      <c r="N36" s="124"/>
      <c r="O36" s="150"/>
      <c r="P36" s="150"/>
      <c r="Q36" s="96"/>
      <c r="R36" s="145"/>
      <c r="S36" s="58"/>
      <c r="U36" s="14">
        <v>203.33</v>
      </c>
      <c r="V36" s="15"/>
      <c r="W36" s="110"/>
      <c r="X36"/>
    </row>
    <row r="37" spans="1:99" ht="14.1" customHeight="1">
      <c r="A37" s="145"/>
      <c r="B37" s="139"/>
      <c r="C37" s="146"/>
      <c r="D37" s="147"/>
      <c r="E37" s="148"/>
      <c r="F37" s="145"/>
      <c r="G37" s="148"/>
      <c r="H37" s="148"/>
      <c r="I37" s="148"/>
      <c r="J37" s="149"/>
      <c r="K37" s="150"/>
      <c r="L37" s="150"/>
      <c r="M37" s="124"/>
      <c r="N37" s="124"/>
      <c r="O37" s="150"/>
      <c r="P37" s="150"/>
      <c r="Q37" s="96"/>
      <c r="R37" s="96"/>
      <c r="S37" s="58"/>
      <c r="T37" s="13">
        <v>235</v>
      </c>
      <c r="U37" s="14">
        <v>214.1</v>
      </c>
      <c r="V37" s="15"/>
      <c r="W37" s="15"/>
      <c r="X37" s="6"/>
    </row>
    <row r="38" spans="1:99" s="156" customFormat="1" ht="14.1" customHeight="1">
      <c r="A38" s="154"/>
      <c r="B38" s="139"/>
      <c r="C38" s="155"/>
      <c r="D38" s="139"/>
      <c r="E38" s="139"/>
      <c r="F38" s="139"/>
      <c r="G38" s="139"/>
      <c r="H38" s="139"/>
      <c r="I38" s="139"/>
      <c r="J38" s="124"/>
      <c r="K38" s="124"/>
      <c r="L38" s="124"/>
      <c r="M38" s="124"/>
      <c r="N38" s="124"/>
      <c r="O38" s="124"/>
      <c r="P38" s="124"/>
      <c r="Q38" s="155"/>
      <c r="R38" s="145"/>
      <c r="S38" s="58"/>
      <c r="T38" s="13"/>
      <c r="U38" s="14">
        <v>229.97</v>
      </c>
      <c r="V38" s="15"/>
      <c r="W38" s="15"/>
      <c r="X38" s="6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</row>
    <row r="39" spans="1:99" s="3" customFormat="1" ht="14.1" customHeight="1">
      <c r="A39" s="157"/>
      <c r="B39" s="158"/>
      <c r="C39" s="159"/>
      <c r="D39" s="160"/>
      <c r="E39" s="160"/>
      <c r="F39" s="161"/>
      <c r="G39" s="160"/>
      <c r="H39" s="148"/>
      <c r="I39" s="162"/>
      <c r="J39" s="163"/>
      <c r="K39" s="150"/>
      <c r="L39" s="155"/>
      <c r="M39" s="134"/>
      <c r="N39" s="155"/>
      <c r="O39" s="155"/>
      <c r="P39" s="155"/>
      <c r="Q39" s="58"/>
      <c r="R39" s="58"/>
      <c r="S39" s="58"/>
      <c r="T39" s="13">
        <v>240</v>
      </c>
      <c r="U39" s="14">
        <v>218.04</v>
      </c>
      <c r="V39" s="15"/>
      <c r="W39" s="15"/>
      <c r="X39" s="6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</row>
    <row r="40" spans="1:99" ht="14.1" customHeight="1">
      <c r="A40" s="164"/>
      <c r="B40" s="165"/>
      <c r="C40" s="164"/>
      <c r="D40" s="148"/>
      <c r="E40" s="164"/>
      <c r="F40" s="164"/>
      <c r="G40" s="96"/>
      <c r="H40" s="101"/>
      <c r="I40" s="58"/>
      <c r="J40" s="155"/>
      <c r="K40" s="166"/>
      <c r="L40" s="167"/>
      <c r="M40" s="168"/>
      <c r="N40" s="134"/>
      <c r="O40" s="169"/>
      <c r="P40" s="169"/>
      <c r="Q40" s="58"/>
      <c r="R40" s="58"/>
      <c r="S40" s="58"/>
      <c r="U40" s="14">
        <v>206.86</v>
      </c>
      <c r="V40" s="15"/>
      <c r="W40" s="15"/>
    </row>
    <row r="41" spans="1:99" ht="14.1" customHeight="1">
      <c r="A41" s="164"/>
      <c r="B41" s="170"/>
      <c r="C41" s="164"/>
      <c r="D41" s="171"/>
      <c r="E41" s="164"/>
      <c r="F41" s="164"/>
      <c r="G41" s="124"/>
      <c r="H41" s="58"/>
      <c r="I41" s="58"/>
      <c r="J41" s="170"/>
      <c r="K41" s="170"/>
      <c r="L41" s="96"/>
      <c r="M41" s="172"/>
      <c r="N41" s="160"/>
      <c r="O41" s="58"/>
      <c r="P41" s="58"/>
      <c r="Q41" s="58"/>
      <c r="R41" s="58"/>
      <c r="S41" s="58"/>
      <c r="U41" s="173"/>
      <c r="V41" s="174"/>
      <c r="W41" s="175"/>
    </row>
    <row r="42" spans="1:99" ht="14.1" customHeight="1">
      <c r="A42" s="3"/>
      <c r="B42" s="3"/>
      <c r="C42" s="3"/>
      <c r="D42" s="33"/>
      <c r="E42" s="3"/>
      <c r="F42" s="3"/>
      <c r="G42" s="19"/>
      <c r="H42" s="40"/>
      <c r="I42" s="40"/>
      <c r="J42" s="30"/>
      <c r="K42" s="30"/>
      <c r="L42" s="30"/>
      <c r="M42" s="30"/>
      <c r="N42" s="33"/>
      <c r="O42" s="33"/>
      <c r="P42" s="33"/>
      <c r="Q42" s="40"/>
      <c r="R42" s="40"/>
      <c r="U42" s="173"/>
      <c r="V42" s="174"/>
      <c r="W42" s="175"/>
    </row>
    <row r="43" spans="1:99" ht="14.1" customHeight="1">
      <c r="A43" s="30"/>
      <c r="B43" s="176"/>
      <c r="C43" s="3"/>
      <c r="D43" s="33"/>
      <c r="E43" s="177"/>
      <c r="F43" s="177"/>
      <c r="G43" s="33"/>
      <c r="H43" s="174"/>
      <c r="I43" s="40"/>
      <c r="J43" s="30"/>
      <c r="K43" s="30"/>
      <c r="L43" s="30"/>
      <c r="M43" s="33"/>
      <c r="N43" s="178"/>
      <c r="O43" s="33"/>
      <c r="P43" s="33"/>
      <c r="Q43" s="40"/>
      <c r="R43" s="40"/>
      <c r="U43" s="173"/>
      <c r="V43" s="174"/>
      <c r="W43" s="175"/>
    </row>
    <row r="44" spans="1:99" ht="14.1" customHeight="1">
      <c r="A44" s="3"/>
      <c r="B44" s="30"/>
      <c r="C44" s="3"/>
      <c r="D44" s="41"/>
      <c r="E44" s="42"/>
      <c r="F44" s="42"/>
      <c r="G44" s="19"/>
      <c r="H44" s="19"/>
      <c r="I44" s="30"/>
      <c r="J44" s="179"/>
      <c r="K44" s="179"/>
      <c r="L44" s="180"/>
      <c r="M44" s="39"/>
      <c r="N44" s="179"/>
      <c r="O44" s="180"/>
      <c r="P44" s="180"/>
      <c r="Q44" s="46"/>
      <c r="R44" s="46"/>
      <c r="U44" s="173"/>
      <c r="V44" s="174"/>
      <c r="W44" s="175"/>
    </row>
    <row r="45" spans="1:99" s="1" customFormat="1" ht="14.1" customHeight="1">
      <c r="A45" s="3"/>
      <c r="B45" s="181"/>
      <c r="C45" s="181"/>
      <c r="D45" s="25"/>
      <c r="E45" s="181"/>
      <c r="F45" s="181"/>
      <c r="G45" s="181"/>
      <c r="H45" s="95"/>
      <c r="I45" s="95"/>
      <c r="J45" s="182"/>
      <c r="K45" s="182"/>
      <c r="L45" s="182"/>
      <c r="M45" s="182"/>
      <c r="N45" s="182"/>
      <c r="O45" s="54"/>
      <c r="P45" s="54"/>
      <c r="Q45" s="55"/>
      <c r="R45" s="55"/>
      <c r="S45" s="13"/>
      <c r="T45" s="13"/>
      <c r="U45" s="173"/>
      <c r="V45" s="40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</row>
    <row r="46" spans="1:99" ht="14.1" customHeight="1">
      <c r="A46" s="70"/>
      <c r="B46" s="33"/>
      <c r="C46" s="36"/>
      <c r="D46" s="33"/>
      <c r="E46" s="33"/>
      <c r="F46" s="33"/>
      <c r="G46" s="33"/>
      <c r="H46" s="33"/>
      <c r="I46" s="33"/>
      <c r="J46" s="74"/>
      <c r="K46" s="74"/>
      <c r="L46" s="74"/>
      <c r="M46" s="30"/>
      <c r="N46" s="19"/>
      <c r="O46" s="74"/>
      <c r="P46" s="74"/>
      <c r="Q46" s="30"/>
      <c r="R46" s="30"/>
      <c r="U46" s="173"/>
    </row>
    <row r="47" spans="1:99" ht="14.1" customHeight="1">
      <c r="A47" s="70"/>
      <c r="B47" s="33"/>
      <c r="C47" s="36"/>
      <c r="D47" s="33"/>
      <c r="E47" s="33"/>
      <c r="F47" s="33"/>
      <c r="G47" s="33"/>
      <c r="H47" s="33"/>
      <c r="I47" s="33"/>
      <c r="J47" s="74"/>
      <c r="K47" s="74"/>
      <c r="L47" s="74"/>
      <c r="M47" s="30"/>
      <c r="N47" s="19"/>
      <c r="O47" s="74"/>
      <c r="P47" s="74"/>
      <c r="Q47" s="30"/>
      <c r="R47" s="30"/>
      <c r="T47" s="40"/>
      <c r="U47" s="173"/>
    </row>
    <row r="48" spans="1:99" s="80" customFormat="1" ht="14.1" customHeight="1">
      <c r="A48" s="183"/>
      <c r="B48" s="25"/>
      <c r="C48" s="184"/>
      <c r="D48" s="25"/>
      <c r="E48" s="25"/>
      <c r="F48" s="25"/>
      <c r="G48" s="25"/>
      <c r="H48" s="25"/>
      <c r="I48" s="25"/>
      <c r="J48" s="95"/>
      <c r="K48" s="95"/>
      <c r="L48" s="95"/>
      <c r="M48" s="95"/>
      <c r="N48" s="95"/>
      <c r="O48" s="95"/>
      <c r="P48" s="95"/>
      <c r="Q48" s="95"/>
      <c r="R48" s="95"/>
      <c r="S48" s="13"/>
      <c r="T48" s="40"/>
      <c r="U48" s="17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</row>
    <row r="49" spans="1:99" ht="14.1" customHeight="1">
      <c r="A49" s="30"/>
      <c r="B49" s="176"/>
      <c r="C49" s="185"/>
      <c r="D49" s="33"/>
      <c r="E49" s="40"/>
      <c r="F49" s="40"/>
      <c r="G49" s="40"/>
      <c r="H49" s="40"/>
      <c r="I49" s="40"/>
      <c r="J49" s="40"/>
      <c r="K49" s="40"/>
      <c r="L49" s="40"/>
      <c r="M49" s="30"/>
      <c r="N49" s="40"/>
      <c r="O49" s="40"/>
      <c r="P49" s="40"/>
      <c r="Q49" s="30"/>
      <c r="R49" s="30"/>
      <c r="T49" s="40"/>
      <c r="U49" s="173"/>
    </row>
    <row r="50" spans="1:99" ht="14.1" customHeight="1">
      <c r="A50" s="30"/>
      <c r="B50" s="176"/>
      <c r="C50" s="185"/>
      <c r="D50" s="33"/>
      <c r="E50" s="40"/>
      <c r="F50" s="40"/>
      <c r="G50" s="40"/>
      <c r="H50" s="40"/>
      <c r="I50" s="40"/>
      <c r="J50" s="40"/>
      <c r="K50" s="40"/>
      <c r="L50" s="40"/>
      <c r="M50" s="30"/>
      <c r="N50" s="40"/>
      <c r="O50" s="40"/>
      <c r="P50" s="40"/>
      <c r="Q50" s="30"/>
      <c r="R50" s="30"/>
      <c r="T50" s="40"/>
      <c r="U50" s="173"/>
    </row>
    <row r="51" spans="1:99" ht="14.1" customHeight="1">
      <c r="A51" s="30"/>
      <c r="B51" s="176"/>
      <c r="C51" s="185"/>
      <c r="D51" s="33"/>
      <c r="E51" s="40"/>
      <c r="F51" s="40"/>
      <c r="G51" s="40"/>
      <c r="H51" s="40"/>
      <c r="I51" s="40"/>
      <c r="J51" s="40"/>
      <c r="K51" s="40"/>
      <c r="L51" s="40"/>
      <c r="M51" s="19"/>
      <c r="N51" s="40"/>
      <c r="O51" s="40"/>
      <c r="P51" s="40"/>
      <c r="Q51" s="30"/>
      <c r="R51" s="30"/>
      <c r="T51" s="40"/>
      <c r="U51" s="173"/>
    </row>
    <row r="52" spans="1:99" ht="14.1" customHeight="1">
      <c r="A52" s="30"/>
      <c r="B52" s="176"/>
      <c r="C52" s="185"/>
      <c r="D52" s="33"/>
      <c r="E52" s="40"/>
      <c r="F52" s="40"/>
      <c r="G52" s="40"/>
      <c r="H52" s="40"/>
      <c r="I52" s="40"/>
      <c r="J52" s="40"/>
      <c r="K52" s="40"/>
      <c r="L52" s="40"/>
      <c r="M52" s="19"/>
      <c r="N52" s="40"/>
      <c r="O52" s="40"/>
      <c r="P52" s="40"/>
      <c r="Q52" s="30"/>
      <c r="R52" s="30"/>
      <c r="U52" s="173"/>
    </row>
    <row r="53" spans="1:99" ht="14.1" customHeight="1">
      <c r="A53" s="30"/>
      <c r="B53" s="176"/>
      <c r="C53" s="186"/>
      <c r="D53" s="33"/>
      <c r="E53" s="33"/>
      <c r="F53" s="33"/>
      <c r="G53" s="33"/>
      <c r="H53" s="33"/>
      <c r="I53" s="33"/>
      <c r="J53" s="187"/>
      <c r="K53" s="188"/>
      <c r="L53" s="40"/>
      <c r="M53" s="19"/>
      <c r="N53" s="40"/>
      <c r="O53" s="40"/>
      <c r="P53" s="40"/>
      <c r="Q53" s="30"/>
      <c r="R53" s="30"/>
      <c r="U53" s="173"/>
    </row>
    <row r="54" spans="1:99" ht="14.1" customHeight="1">
      <c r="A54" s="70"/>
      <c r="B54" s="189"/>
      <c r="C54" s="36"/>
      <c r="D54" s="33"/>
      <c r="E54" s="33"/>
      <c r="F54" s="33"/>
      <c r="G54" s="33"/>
      <c r="H54" s="33"/>
      <c r="I54" s="33"/>
      <c r="J54" s="132"/>
      <c r="K54" s="74"/>
      <c r="L54" s="74"/>
      <c r="M54" s="19"/>
      <c r="N54" s="19"/>
      <c r="O54" s="74"/>
      <c r="P54" s="74"/>
      <c r="Q54" s="30"/>
      <c r="R54" s="30"/>
      <c r="U54" s="173"/>
    </row>
    <row r="55" spans="1:99" ht="14.1" customHeight="1">
      <c r="A55" s="70"/>
      <c r="B55" s="189"/>
      <c r="C55" s="36"/>
      <c r="D55" s="33"/>
      <c r="E55" s="33"/>
      <c r="F55" s="33"/>
      <c r="G55" s="33"/>
      <c r="H55" s="33"/>
      <c r="I55" s="33"/>
      <c r="J55" s="132"/>
      <c r="K55" s="74"/>
      <c r="L55" s="74"/>
      <c r="M55" s="19"/>
      <c r="N55" s="19"/>
      <c r="O55" s="74"/>
      <c r="P55" s="74"/>
      <c r="Q55" s="30"/>
      <c r="R55" s="30"/>
      <c r="U55" s="173"/>
    </row>
    <row r="56" spans="1:99" s="30" customFormat="1" ht="14.1" customHeight="1">
      <c r="A56" s="70"/>
      <c r="B56" s="189"/>
      <c r="C56" s="36"/>
      <c r="D56" s="33"/>
      <c r="E56" s="33"/>
      <c r="F56" s="33"/>
      <c r="G56" s="33"/>
      <c r="H56" s="33"/>
      <c r="I56" s="33"/>
      <c r="J56" s="132"/>
      <c r="K56" s="74"/>
      <c r="L56" s="74"/>
      <c r="M56" s="19"/>
      <c r="N56" s="19"/>
      <c r="O56" s="74"/>
      <c r="P56" s="74"/>
      <c r="S56" s="13"/>
      <c r="T56" s="13"/>
      <c r="U56" s="17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</row>
    <row r="57" spans="1:99" ht="14.1" customHeight="1">
      <c r="A57" s="70"/>
      <c r="B57" s="189"/>
      <c r="C57" s="36"/>
      <c r="D57" s="33"/>
      <c r="E57" s="33"/>
      <c r="F57" s="33"/>
      <c r="G57" s="33"/>
      <c r="H57" s="33"/>
      <c r="I57" s="33"/>
      <c r="J57" s="132"/>
      <c r="K57" s="74"/>
      <c r="L57" s="74"/>
      <c r="M57" s="19"/>
      <c r="N57" s="19"/>
      <c r="O57" s="74"/>
      <c r="P57" s="74"/>
      <c r="Q57" s="30"/>
      <c r="R57" s="30"/>
      <c r="U57" s="173"/>
    </row>
    <row r="58" spans="1:99" ht="14.1" customHeight="1">
      <c r="A58" s="183"/>
      <c r="B58" s="25"/>
      <c r="C58" s="184"/>
      <c r="D58" s="25"/>
      <c r="E58" s="25"/>
      <c r="F58" s="25"/>
      <c r="G58" s="25"/>
      <c r="H58" s="25"/>
      <c r="I58" s="25"/>
      <c r="J58" s="95"/>
      <c r="K58" s="95"/>
      <c r="L58" s="95"/>
      <c r="M58" s="95"/>
      <c r="N58" s="95"/>
      <c r="O58" s="95"/>
      <c r="P58" s="95"/>
      <c r="Q58" s="95"/>
      <c r="R58" s="95"/>
      <c r="U58" s="173"/>
    </row>
    <row r="59" spans="1:99" s="115" customFormat="1" ht="14.1" customHeight="1">
      <c r="A59" s="40"/>
      <c r="B59" s="40"/>
      <c r="C59" s="40"/>
      <c r="D59" s="19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13"/>
      <c r="T59" s="13"/>
      <c r="U59" s="17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</row>
    <row r="60" spans="1:99" s="30" customFormat="1" ht="14.1" customHeight="1">
      <c r="A60" s="191"/>
      <c r="B60" s="40"/>
      <c r="C60" s="40"/>
      <c r="D60" s="19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13"/>
      <c r="T60" s="13"/>
      <c r="U60" s="17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</row>
    <row r="61" spans="1:99" ht="14.1" customHeight="1">
      <c r="A61" s="40"/>
      <c r="B61" s="40"/>
      <c r="C61" s="40"/>
      <c r="D61" s="19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U61" s="173"/>
    </row>
    <row r="62" spans="1:99" ht="14.1" customHeight="1">
      <c r="A62" s="40"/>
      <c r="B62" s="40"/>
      <c r="C62" s="40"/>
      <c r="D62" s="19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U62" s="173"/>
    </row>
    <row r="63" spans="1:99" ht="14.1" customHeight="1">
      <c r="A63" s="40"/>
      <c r="B63" s="40"/>
      <c r="C63" s="40"/>
      <c r="D63" s="19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U63" s="173"/>
    </row>
    <row r="64" spans="1:99" s="156" customFormat="1" ht="14.1" customHeight="1">
      <c r="A64" s="30"/>
      <c r="B64" s="189"/>
      <c r="C64" s="36"/>
      <c r="D64" s="33"/>
      <c r="E64" s="189"/>
      <c r="F64" s="189"/>
      <c r="G64" s="19"/>
      <c r="H64" s="30"/>
      <c r="I64" s="30"/>
      <c r="J64" s="30"/>
      <c r="K64" s="30"/>
      <c r="L64" s="30"/>
      <c r="M64" s="30"/>
      <c r="N64" s="19"/>
      <c r="O64" s="30"/>
      <c r="P64" s="30"/>
      <c r="Q64" s="40"/>
      <c r="R64" s="40"/>
      <c r="S64" s="13"/>
      <c r="T64" s="13"/>
      <c r="U64" s="17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</row>
    <row r="65" spans="1:21" s="13" customFormat="1" ht="14.1" customHeight="1">
      <c r="A65" s="30"/>
      <c r="B65" s="189"/>
      <c r="C65" s="36"/>
      <c r="D65" s="33"/>
      <c r="E65" s="189"/>
      <c r="F65" s="189"/>
      <c r="G65" s="19"/>
      <c r="H65" s="30"/>
      <c r="I65" s="30"/>
      <c r="J65" s="30"/>
      <c r="K65" s="30"/>
      <c r="L65" s="30"/>
      <c r="M65" s="30"/>
      <c r="N65" s="19"/>
      <c r="O65" s="30"/>
      <c r="P65" s="30"/>
      <c r="Q65" s="40"/>
      <c r="R65" s="40"/>
      <c r="U65" s="173"/>
    </row>
    <row r="66" spans="1:21" s="13" customFormat="1" ht="14.1" customHeight="1">
      <c r="A66" s="12"/>
      <c r="B66" s="192"/>
      <c r="C66" s="65"/>
      <c r="D66" s="66"/>
      <c r="E66" s="192"/>
      <c r="F66" s="192"/>
      <c r="G66" s="68"/>
      <c r="H66" s="12"/>
      <c r="I66" s="12"/>
      <c r="J66" s="12"/>
      <c r="K66" s="12"/>
      <c r="L66" s="12"/>
      <c r="M66" s="12"/>
      <c r="N66" s="68"/>
      <c r="O66" s="12"/>
      <c r="P66" s="12"/>
      <c r="U66" s="173"/>
    </row>
    <row r="67" spans="1:21" ht="14.1" customHeight="1">
      <c r="C67" s="65"/>
      <c r="U67" s="173"/>
    </row>
    <row r="68" spans="1:21" ht="14.1" customHeight="1">
      <c r="A68" s="13"/>
      <c r="B68" s="13"/>
      <c r="C68" s="13"/>
      <c r="D68" s="97"/>
      <c r="E68" s="13"/>
      <c r="F68" s="13"/>
      <c r="G68" s="13"/>
      <c r="H68" s="13"/>
      <c r="I68" s="13"/>
      <c r="J68" s="13"/>
      <c r="M68" s="13"/>
      <c r="N68" s="13"/>
      <c r="O68" s="13"/>
      <c r="P68" s="13"/>
      <c r="U68" s="173"/>
    </row>
    <row r="69" spans="1:21" ht="14.1" customHeight="1">
      <c r="A69" s="13"/>
      <c r="B69" s="13"/>
      <c r="C69" s="13"/>
      <c r="D69" s="97"/>
      <c r="E69" s="13"/>
      <c r="F69" s="13"/>
      <c r="G69" s="13"/>
      <c r="H69" s="13"/>
      <c r="I69" s="13"/>
      <c r="J69" s="13"/>
      <c r="M69" s="13"/>
      <c r="N69" s="13"/>
      <c r="O69" s="13"/>
      <c r="P69" s="13"/>
      <c r="U69" s="173"/>
    </row>
    <row r="70" spans="1:21" ht="14.1" customHeight="1">
      <c r="C70" s="65"/>
      <c r="U70" s="173"/>
    </row>
    <row r="71" spans="1:21" ht="14.1" customHeight="1">
      <c r="C71" s="65"/>
      <c r="Q71" s="13"/>
      <c r="R71" s="13"/>
    </row>
    <row r="72" spans="1:21" ht="14.1" customHeight="1">
      <c r="C72" s="65"/>
      <c r="Q72" s="13"/>
      <c r="R72" s="13"/>
    </row>
    <row r="73" spans="1:21" ht="14.1" customHeight="1">
      <c r="C73" s="65"/>
    </row>
    <row r="74" spans="1:21" ht="14.1" customHeight="1">
      <c r="C74" s="65"/>
    </row>
  </sheetData>
  <pageMargins left="0.75" right="0.5" top="1" bottom="0.5" header="0.5" footer="0.5"/>
  <pageSetup scale="70" orientation="landscape" r:id="rId1"/>
  <headerFooter alignWithMargins="0">
    <oddHeader>&amp;R&amp;D</oddHead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U74"/>
  <sheetViews>
    <sheetView zoomScale="87" zoomScaleNormal="87" workbookViewId="0">
      <selection activeCell="AB11" sqref="AB11:CQ11"/>
    </sheetView>
  </sheetViews>
  <sheetFormatPr defaultColWidth="13.7109375" defaultRowHeight="14.1" customHeight="1"/>
  <cols>
    <col min="1" max="1" width="6.28515625" style="12" customWidth="1"/>
    <col min="2" max="2" width="16.5703125" style="192" customWidth="1"/>
    <col min="3" max="3" width="8.28515625" style="12" customWidth="1"/>
    <col min="4" max="4" width="11.140625" style="66" customWidth="1"/>
    <col min="5" max="5" width="12.85546875" style="192" customWidth="1"/>
    <col min="6" max="6" width="9.28515625" style="192" customWidth="1"/>
    <col min="7" max="7" width="9.140625" style="68" customWidth="1"/>
    <col min="8" max="8" width="10.85546875" style="12" customWidth="1"/>
    <col min="9" max="9" width="13.140625" style="12" customWidth="1"/>
    <col min="10" max="10" width="12.28515625" style="12" customWidth="1"/>
    <col min="11" max="11" width="10.140625" style="12" customWidth="1"/>
    <col min="12" max="12" width="14.42578125" style="12" customWidth="1"/>
    <col min="13" max="13" width="8.85546875" style="12" customWidth="1"/>
    <col min="14" max="14" width="17.140625" style="68" customWidth="1"/>
    <col min="15" max="15" width="15.7109375" style="12" customWidth="1"/>
    <col min="16" max="16" width="10.85546875" style="12" customWidth="1"/>
    <col min="17" max="17" width="6.140625" style="12" customWidth="1"/>
    <col min="18" max="18" width="7.28515625" style="12" customWidth="1"/>
    <col min="19" max="19" width="12" style="13" customWidth="1"/>
    <col min="20" max="20" width="10.42578125" style="13" customWidth="1"/>
    <col min="21" max="21" width="13.7109375" style="13" customWidth="1"/>
    <col min="22" max="22" width="2.5703125" style="13" customWidth="1"/>
    <col min="23" max="29" width="13.7109375" style="13" customWidth="1"/>
    <col min="30" max="31" width="25" style="13" customWidth="1"/>
    <col min="32" max="34" width="13.7109375" style="13" customWidth="1"/>
    <col min="35" max="35" width="19.85546875" style="13" customWidth="1"/>
    <col min="36" max="36" width="19.5703125" style="13" customWidth="1"/>
    <col min="37" max="37" width="27.42578125" style="13" customWidth="1"/>
    <col min="38" max="38" width="31.42578125" style="13" customWidth="1"/>
    <col min="39" max="39" width="31.28515625" style="13" customWidth="1"/>
    <col min="40" max="45" width="27.42578125" style="13" customWidth="1"/>
    <col min="46" max="46" width="31.28515625" style="13" customWidth="1"/>
    <col min="47" max="47" width="35.42578125" style="13" customWidth="1"/>
    <col min="48" max="50" width="13.7109375" style="13" customWidth="1"/>
    <col min="51" max="52" width="17.28515625" style="13" customWidth="1"/>
    <col min="53" max="60" width="17.5703125" style="13" customWidth="1"/>
    <col min="61" max="65" width="20.42578125" style="13" customWidth="1"/>
    <col min="66" max="68" width="13.7109375" style="13" customWidth="1"/>
    <col min="69" max="69" width="18.7109375" style="13" customWidth="1"/>
    <col min="70" max="72" width="13.7109375" style="13" customWidth="1"/>
    <col min="73" max="73" width="17.28515625" style="13" customWidth="1"/>
    <col min="74" max="74" width="16.85546875" style="13" customWidth="1"/>
    <col min="75" max="75" width="13.7109375" style="13" customWidth="1"/>
    <col min="76" max="76" width="17" style="13" customWidth="1"/>
    <col min="77" max="81" width="17.85546875" style="13" customWidth="1"/>
    <col min="82" max="92" width="13.7109375" style="13" customWidth="1"/>
    <col min="93" max="93" width="26.140625" style="13" customWidth="1"/>
    <col min="94" max="94" width="25.7109375" style="13" customWidth="1"/>
    <col min="95" max="95" width="22.85546875" style="13" customWidth="1"/>
    <col min="96" max="99" width="13.7109375" style="13" customWidth="1"/>
    <col min="100" max="16384" width="13.7109375" style="12"/>
  </cols>
  <sheetData>
    <row r="1" spans="1:99" ht="14.1" customHeight="1">
      <c r="A1" s="1" t="s">
        <v>0</v>
      </c>
      <c r="B1" s="2" t="s">
        <v>130</v>
      </c>
      <c r="C1" s="3" t="s">
        <v>1</v>
      </c>
      <c r="D1" s="4" t="s">
        <v>165</v>
      </c>
      <c r="E1" s="1" t="s">
        <v>2</v>
      </c>
      <c r="F1" s="1"/>
      <c r="G1" s="5">
        <v>62</v>
      </c>
      <c r="H1" s="6"/>
      <c r="I1" s="6" t="s">
        <v>3</v>
      </c>
      <c r="J1" s="5">
        <v>178</v>
      </c>
      <c r="K1" s="7"/>
      <c r="L1" s="7"/>
      <c r="M1" s="8" t="s">
        <v>4</v>
      </c>
      <c r="N1" s="9">
        <f>((AVERAGE(W7:W8))*20)</f>
        <v>7037686</v>
      </c>
      <c r="O1" s="10">
        <f>(O3*20)</f>
        <v>7417372.5826199995</v>
      </c>
      <c r="P1" s="10"/>
      <c r="Q1" s="11" t="s">
        <v>5</v>
      </c>
      <c r="S1" s="13">
        <v>-120</v>
      </c>
      <c r="T1" s="13" t="s">
        <v>6</v>
      </c>
      <c r="U1" s="14">
        <v>29.16</v>
      </c>
      <c r="V1" s="15"/>
      <c r="W1" s="15" t="s">
        <v>7</v>
      </c>
    </row>
    <row r="2" spans="1:99" ht="14.1" customHeight="1" thickBot="1">
      <c r="A2" s="16" t="s">
        <v>8</v>
      </c>
      <c r="B2" s="17">
        <v>42341</v>
      </c>
      <c r="C2" s="3" t="s">
        <v>9</v>
      </c>
      <c r="D2" s="18">
        <v>96.7</v>
      </c>
      <c r="E2" s="3" t="s">
        <v>10</v>
      </c>
      <c r="F2" s="3"/>
      <c r="G2" s="19">
        <f>D2/(D3/100*D3/100)</f>
        <v>32.422149122439386</v>
      </c>
      <c r="H2" s="13"/>
      <c r="I2" s="20" t="s">
        <v>11</v>
      </c>
      <c r="J2" s="21"/>
      <c r="K2" s="22"/>
      <c r="L2" s="23"/>
      <c r="M2" s="24" t="s">
        <v>12</v>
      </c>
      <c r="N2" s="25">
        <f>(O1*0.068)</f>
        <v>504381.33561816002</v>
      </c>
      <c r="O2" s="13"/>
      <c r="P2" s="13"/>
      <c r="Q2" s="11"/>
      <c r="R2" s="26"/>
      <c r="T2" s="13" t="s">
        <v>6</v>
      </c>
      <c r="U2" s="14">
        <v>32.42</v>
      </c>
      <c r="V2" s="15"/>
      <c r="W2" s="27">
        <v>128742.6</v>
      </c>
    </row>
    <row r="3" spans="1:99" ht="14.1" customHeight="1" thickTop="1" thickBot="1">
      <c r="A3" s="16" t="s">
        <v>13</v>
      </c>
      <c r="B3" s="28" t="s">
        <v>167</v>
      </c>
      <c r="C3" s="3" t="s">
        <v>15</v>
      </c>
      <c r="D3" s="29">
        <v>172.7</v>
      </c>
      <c r="E3" s="3" t="s">
        <v>16</v>
      </c>
      <c r="F3" s="3"/>
      <c r="G3" s="19">
        <f>SQRT(((D2*D3)/3600))</f>
        <v>2.1538138008864389</v>
      </c>
      <c r="H3" s="13"/>
      <c r="I3" s="20"/>
      <c r="J3" s="30"/>
      <c r="K3" s="30"/>
      <c r="L3" s="30"/>
      <c r="M3" s="31" t="s">
        <v>17</v>
      </c>
      <c r="N3" s="32">
        <f>($O$1/$N$1)*100</f>
        <v>105.39504863700937</v>
      </c>
      <c r="O3" s="33">
        <f>((AVERAGE(W2:W5))*2.85714)</f>
        <v>370868.62913099997</v>
      </c>
      <c r="P3" s="33"/>
      <c r="Q3" s="34" t="s">
        <v>18</v>
      </c>
      <c r="R3" s="13"/>
      <c r="T3" s="13">
        <v>-30</v>
      </c>
      <c r="U3" s="196">
        <v>442.09</v>
      </c>
      <c r="V3" s="15"/>
      <c r="W3" s="27">
        <v>131446.29999999999</v>
      </c>
    </row>
    <row r="4" spans="1:99" ht="14.1" customHeight="1" thickTop="1">
      <c r="B4" s="35"/>
      <c r="C4" s="3" t="s">
        <v>19</v>
      </c>
      <c r="D4" s="19">
        <v>63.970999999999997</v>
      </c>
      <c r="E4" s="37" t="s">
        <v>20</v>
      </c>
      <c r="F4" s="37"/>
      <c r="G4" s="38">
        <v>0.314</v>
      </c>
      <c r="H4" s="13"/>
      <c r="I4" s="20"/>
      <c r="J4" s="30"/>
      <c r="K4" s="30"/>
      <c r="L4" s="30"/>
      <c r="M4" s="33"/>
      <c r="N4" s="39"/>
      <c r="O4" s="30"/>
      <c r="P4" s="30"/>
      <c r="Q4" s="30"/>
      <c r="R4" s="30"/>
      <c r="U4" s="196">
        <v>472.79</v>
      </c>
      <c r="V4" s="15"/>
      <c r="W4" s="27">
        <v>129254.3</v>
      </c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</row>
    <row r="5" spans="1:99" ht="14.1" customHeight="1" thickBot="1">
      <c r="A5" s="16"/>
      <c r="B5" s="30"/>
      <c r="C5" s="3"/>
      <c r="D5" s="41" t="s">
        <v>21</v>
      </c>
      <c r="E5" s="42">
        <f>AVERAGE(U1:U2)</f>
        <v>30.79</v>
      </c>
      <c r="F5" s="42"/>
      <c r="G5" s="19"/>
      <c r="H5" s="30"/>
      <c r="I5" s="30"/>
      <c r="J5" s="43" t="s">
        <v>22</v>
      </c>
      <c r="K5" s="43"/>
      <c r="L5" s="44" t="s">
        <v>23</v>
      </c>
      <c r="M5" s="45"/>
      <c r="N5" s="43" t="s">
        <v>22</v>
      </c>
      <c r="O5" s="44" t="s">
        <v>23</v>
      </c>
      <c r="P5" s="44" t="s">
        <v>24</v>
      </c>
      <c r="Q5" s="46"/>
      <c r="R5" s="46"/>
      <c r="T5" s="13">
        <v>-20</v>
      </c>
      <c r="U5" s="14">
        <v>442.09</v>
      </c>
      <c r="V5" s="15"/>
      <c r="W5" s="27">
        <v>129773.4</v>
      </c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</row>
    <row r="6" spans="1:99" s="1" customFormat="1" ht="14.1" customHeight="1">
      <c r="A6" s="47" t="s">
        <v>25</v>
      </c>
      <c r="B6" s="48" t="s">
        <v>26</v>
      </c>
      <c r="C6" s="48"/>
      <c r="D6" s="49" t="s">
        <v>27</v>
      </c>
      <c r="E6" s="48" t="s">
        <v>28</v>
      </c>
      <c r="F6" s="48"/>
      <c r="G6" s="48" t="s">
        <v>29</v>
      </c>
      <c r="H6" s="50" t="s">
        <v>30</v>
      </c>
      <c r="I6" s="50"/>
      <c r="J6" s="51" t="s">
        <v>31</v>
      </c>
      <c r="K6" s="52"/>
      <c r="L6" s="52" t="s">
        <v>31</v>
      </c>
      <c r="M6" s="52" t="s">
        <v>32</v>
      </c>
      <c r="N6" s="52" t="s">
        <v>33</v>
      </c>
      <c r="O6" s="53" t="s">
        <v>34</v>
      </c>
      <c r="P6" s="54"/>
      <c r="Q6" s="55"/>
      <c r="R6" s="55"/>
      <c r="S6" s="13"/>
      <c r="T6" s="13"/>
      <c r="U6" s="14">
        <v>472.79</v>
      </c>
      <c r="V6" s="15"/>
      <c r="W6" s="56" t="s">
        <v>35</v>
      </c>
      <c r="X6" s="13" t="s">
        <v>36</v>
      </c>
      <c r="Y6" s="57" t="s">
        <v>37</v>
      </c>
      <c r="Z6" s="58" t="s">
        <v>38</v>
      </c>
      <c r="AA6" s="40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60"/>
      <c r="AY6" s="60"/>
      <c r="AZ6" s="60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60"/>
      <c r="BO6" s="60"/>
      <c r="BP6" s="60"/>
      <c r="BQ6" s="59"/>
      <c r="BR6" s="59"/>
      <c r="BS6" s="59"/>
      <c r="BT6" s="59"/>
      <c r="BU6" s="59"/>
      <c r="BV6" s="59"/>
      <c r="BW6" s="59"/>
      <c r="BX6" s="59"/>
      <c r="BY6" s="59"/>
      <c r="BZ6" s="61"/>
      <c r="CA6" s="61"/>
      <c r="CB6" s="61"/>
      <c r="CC6" s="61"/>
      <c r="CD6" s="40"/>
      <c r="CE6" s="61"/>
      <c r="CF6" s="61"/>
      <c r="CG6" s="33"/>
      <c r="CH6" s="40"/>
      <c r="CI6" s="30"/>
      <c r="CJ6" s="30"/>
      <c r="CK6" s="30"/>
      <c r="CL6" s="30"/>
      <c r="CM6" s="30"/>
      <c r="CN6" s="30"/>
      <c r="CO6" s="30"/>
      <c r="CP6" s="62"/>
      <c r="CQ6" s="62"/>
      <c r="CR6" s="13"/>
      <c r="CS6" s="13"/>
      <c r="CT6" s="13"/>
      <c r="CU6" s="13"/>
    </row>
    <row r="7" spans="1:99" ht="14.1" customHeight="1">
      <c r="A7" s="63">
        <v>-30</v>
      </c>
      <c r="B7" s="64">
        <v>98</v>
      </c>
      <c r="C7" s="65"/>
      <c r="D7" s="42">
        <f>AVERAGE(U3:U4)</f>
        <v>457.44</v>
      </c>
      <c r="E7" s="66">
        <f>D7-$E$5</f>
        <v>426.65</v>
      </c>
      <c r="F7" s="66"/>
      <c r="G7" s="66">
        <f>($E7*7.1425)</f>
        <v>3047.3476249999999</v>
      </c>
      <c r="H7" s="66">
        <f>($G7/($B7*0.01))</f>
        <v>3109.5383928571428</v>
      </c>
      <c r="I7" s="66"/>
      <c r="J7" s="67">
        <f>$N$2/$H7/$D$2</f>
        <v>1.6773998889592421</v>
      </c>
      <c r="K7" s="67"/>
      <c r="L7" s="67">
        <f>J7/($D$4/$D$2)</f>
        <v>2.5355953363611436</v>
      </c>
      <c r="N7" s="68">
        <f>J7-M7</f>
        <v>1.6773998889592421</v>
      </c>
      <c r="O7" s="67">
        <f>N7/($D$4/$D$2)</f>
        <v>2.5355953363611436</v>
      </c>
      <c r="P7" s="67"/>
      <c r="Q7" s="30"/>
      <c r="R7" s="30"/>
      <c r="T7" s="13">
        <v>-10</v>
      </c>
      <c r="U7" s="14">
        <v>427.58</v>
      </c>
      <c r="V7" s="15"/>
      <c r="W7" s="27">
        <v>351966</v>
      </c>
      <c r="X7" s="69" t="s">
        <v>39</v>
      </c>
      <c r="Y7" s="70">
        <v>-30</v>
      </c>
      <c r="Z7" s="71">
        <v>21.5</v>
      </c>
      <c r="AA7" s="40"/>
      <c r="AB7" s="72"/>
      <c r="AC7" s="72"/>
      <c r="AD7" s="72"/>
      <c r="AE7" s="72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19"/>
      <c r="AY7" s="74"/>
      <c r="AZ7" s="74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</row>
    <row r="8" spans="1:99" ht="14.1" customHeight="1">
      <c r="A8" s="63">
        <v>-20</v>
      </c>
      <c r="B8" s="64">
        <v>94</v>
      </c>
      <c r="C8" s="65"/>
      <c r="D8" s="66">
        <f>AVERAGE(U5:U6)</f>
        <v>457.44</v>
      </c>
      <c r="E8" s="66">
        <f>D8-$E$5</f>
        <v>426.65</v>
      </c>
      <c r="F8" s="66"/>
      <c r="G8" s="66">
        <f>($E8*7.1425)</f>
        <v>3047.3476249999999</v>
      </c>
      <c r="H8" s="66">
        <f>($G8/($B8*0.01))</f>
        <v>3241.8591755319144</v>
      </c>
      <c r="I8" s="66"/>
      <c r="J8" s="67">
        <f>$N$2/H8/$D$2</f>
        <v>1.608934587369069</v>
      </c>
      <c r="K8" s="67"/>
      <c r="L8" s="67">
        <f>J8/($D$4/$D$2)</f>
        <v>2.4321016491627296</v>
      </c>
      <c r="N8" s="68">
        <f>J8-M8</f>
        <v>1.608934587369069</v>
      </c>
      <c r="O8" s="67">
        <f>N8/($D$4/$D$2)</f>
        <v>2.4321016491627296</v>
      </c>
      <c r="P8" s="67"/>
      <c r="Q8" s="30"/>
      <c r="R8" s="30"/>
      <c r="U8" s="14">
        <v>442.45</v>
      </c>
      <c r="V8" s="15"/>
      <c r="W8" s="27">
        <v>351802.6</v>
      </c>
      <c r="X8" s="69">
        <v>0.52500000000000002</v>
      </c>
      <c r="Y8" s="70">
        <v>-20</v>
      </c>
      <c r="Z8" s="199">
        <v>18.678999999999998</v>
      </c>
      <c r="AA8" s="40"/>
      <c r="AB8" s="72"/>
      <c r="AC8" s="72"/>
      <c r="AD8" s="72"/>
      <c r="AE8" s="72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19"/>
      <c r="AY8" s="74"/>
      <c r="AZ8" s="74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</row>
    <row r="9" spans="1:99" ht="14.1" customHeight="1" thickBot="1">
      <c r="A9" s="63">
        <v>-10</v>
      </c>
      <c r="B9" s="75">
        <v>98</v>
      </c>
      <c r="C9" s="65"/>
      <c r="D9" s="66">
        <f>AVERAGE(U7:U8)</f>
        <v>435.01499999999999</v>
      </c>
      <c r="E9" s="66">
        <f>D9-$E$5</f>
        <v>404.22499999999997</v>
      </c>
      <c r="F9" s="66"/>
      <c r="G9" s="66">
        <f>($E9*7.1425)</f>
        <v>2887.1770624999999</v>
      </c>
      <c r="H9" s="66">
        <f>($G9/($B9*0.01))</f>
        <v>2946.0990433673469</v>
      </c>
      <c r="I9" s="66"/>
      <c r="J9" s="67">
        <f>$N$2/H9/$D$2</f>
        <v>1.770456212813311</v>
      </c>
      <c r="K9" s="67"/>
      <c r="L9" s="67">
        <f>J9/($D$4/$D$2)</f>
        <v>2.6762613649786182</v>
      </c>
      <c r="N9" s="68">
        <f>J9-M9</f>
        <v>1.770456212813311</v>
      </c>
      <c r="O9" s="67">
        <f>N9/($D$4/$D$2)</f>
        <v>2.6762613649786182</v>
      </c>
      <c r="P9" s="67"/>
      <c r="Q9" s="30"/>
      <c r="R9" s="30"/>
      <c r="T9" s="13">
        <v>-5</v>
      </c>
      <c r="U9" s="14">
        <v>454.65</v>
      </c>
      <c r="V9" s="15"/>
      <c r="W9" s="76">
        <v>351578.6</v>
      </c>
      <c r="X9" s="69">
        <v>0.47</v>
      </c>
      <c r="Y9" s="70">
        <v>-10</v>
      </c>
      <c r="Z9" s="71">
        <v>15.858000000000001</v>
      </c>
      <c r="AA9" s="40"/>
      <c r="AB9" s="72"/>
      <c r="AC9" s="72"/>
      <c r="AD9" s="72"/>
      <c r="AE9" s="72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19"/>
      <c r="AY9" s="74"/>
      <c r="AZ9" s="74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</row>
    <row r="10" spans="1:99" s="80" customFormat="1" ht="14.1" customHeight="1">
      <c r="A10" s="77">
        <v>0</v>
      </c>
      <c r="B10" s="75">
        <v>99</v>
      </c>
      <c r="C10" s="65"/>
      <c r="D10" s="66">
        <f>AVERAGE(U11:U12)</f>
        <v>470.375</v>
      </c>
      <c r="E10" s="66">
        <f>D10-$E$5</f>
        <v>439.58499999999998</v>
      </c>
      <c r="F10" s="66"/>
      <c r="G10" s="78">
        <f>($E10*7.1425)</f>
        <v>3139.7358624999997</v>
      </c>
      <c r="H10" s="78">
        <f>($G10/($B10*0.01))</f>
        <v>3171.4503661616159</v>
      </c>
      <c r="I10" s="78"/>
      <c r="J10" s="79">
        <f>$N$2/H10/$D$2</f>
        <v>1.6446542599390845</v>
      </c>
      <c r="K10" s="79"/>
      <c r="L10" s="67">
        <f>J10/($D$4/$D$2)</f>
        <v>2.4860963082663941</v>
      </c>
      <c r="N10" s="81">
        <f>J10-M10</f>
        <v>1.6446542599390845</v>
      </c>
      <c r="O10" s="67">
        <f>N10/($D$4/$D$2)</f>
        <v>2.4860963082663941</v>
      </c>
      <c r="P10" s="67"/>
      <c r="Q10" s="30"/>
      <c r="R10" s="30"/>
      <c r="S10" s="13"/>
      <c r="T10" s="13" t="s">
        <v>39</v>
      </c>
      <c r="U10" s="14">
        <v>446.38</v>
      </c>
      <c r="V10" s="15"/>
      <c r="W10" s="15"/>
      <c r="X10" s="69">
        <v>0.48499999999999999</v>
      </c>
      <c r="Y10" s="70">
        <v>0</v>
      </c>
      <c r="Z10" s="82">
        <v>14.244999999999999</v>
      </c>
      <c r="AA10" s="30"/>
      <c r="AB10" s="83" t="s">
        <v>40</v>
      </c>
      <c r="AC10" s="83" t="s">
        <v>41</v>
      </c>
      <c r="AD10" s="83" t="s">
        <v>42</v>
      </c>
      <c r="AE10" s="83" t="s">
        <v>43</v>
      </c>
      <c r="AF10" s="83" t="s">
        <v>44</v>
      </c>
      <c r="AG10" s="83" t="s">
        <v>45</v>
      </c>
      <c r="AH10" s="83" t="s">
        <v>46</v>
      </c>
      <c r="AI10" s="83" t="s">
        <v>47</v>
      </c>
      <c r="AJ10" s="83" t="s">
        <v>48</v>
      </c>
      <c r="AK10" s="83" t="s">
        <v>49</v>
      </c>
      <c r="AL10" s="83" t="s">
        <v>50</v>
      </c>
      <c r="AM10" s="83" t="s">
        <v>51</v>
      </c>
      <c r="AN10" s="83" t="s">
        <v>52</v>
      </c>
      <c r="AO10" s="83" t="s">
        <v>53</v>
      </c>
      <c r="AP10" s="83" t="s">
        <v>54</v>
      </c>
      <c r="AQ10" s="83" t="s">
        <v>55</v>
      </c>
      <c r="AR10" s="83" t="s">
        <v>56</v>
      </c>
      <c r="AS10" s="83" t="s">
        <v>57</v>
      </c>
      <c r="AT10" s="83" t="s">
        <v>58</v>
      </c>
      <c r="AU10" s="83" t="s">
        <v>59</v>
      </c>
      <c r="AV10" s="84" t="s">
        <v>60</v>
      </c>
      <c r="AW10" s="84" t="s">
        <v>61</v>
      </c>
      <c r="AX10" s="85" t="s">
        <v>62</v>
      </c>
      <c r="AY10" s="85" t="s">
        <v>63</v>
      </c>
      <c r="AZ10" s="85" t="s">
        <v>64</v>
      </c>
      <c r="BA10" s="86" t="s">
        <v>65</v>
      </c>
      <c r="BB10" s="86" t="s">
        <v>66</v>
      </c>
      <c r="BC10" s="86" t="s">
        <v>67</v>
      </c>
      <c r="BD10" s="86" t="s">
        <v>68</v>
      </c>
      <c r="BE10" s="86" t="s">
        <v>69</v>
      </c>
      <c r="BF10" s="86" t="s">
        <v>70</v>
      </c>
      <c r="BG10" s="86" t="s">
        <v>71</v>
      </c>
      <c r="BH10" s="86" t="s">
        <v>72</v>
      </c>
      <c r="BI10" s="86" t="s">
        <v>73</v>
      </c>
      <c r="BJ10" s="86" t="s">
        <v>74</v>
      </c>
      <c r="BK10" s="86" t="s">
        <v>75</v>
      </c>
      <c r="BL10" s="86" t="s">
        <v>76</v>
      </c>
      <c r="BM10" s="86" t="s">
        <v>77</v>
      </c>
      <c r="BN10" s="87" t="s">
        <v>78</v>
      </c>
      <c r="BO10" s="87" t="s">
        <v>79</v>
      </c>
      <c r="BP10" s="87" t="s">
        <v>80</v>
      </c>
      <c r="BQ10" s="88" t="s">
        <v>81</v>
      </c>
      <c r="BR10" s="88" t="s">
        <v>82</v>
      </c>
      <c r="BS10" s="88" t="s">
        <v>83</v>
      </c>
      <c r="BT10" s="88" t="s">
        <v>84</v>
      </c>
      <c r="BU10" s="88" t="s">
        <v>85</v>
      </c>
      <c r="BV10" s="88" t="s">
        <v>86</v>
      </c>
      <c r="BW10" s="88" t="s">
        <v>87</v>
      </c>
      <c r="BX10" s="88" t="s">
        <v>88</v>
      </c>
      <c r="BY10" s="88" t="s">
        <v>89</v>
      </c>
      <c r="BZ10" s="88" t="s">
        <v>90</v>
      </c>
      <c r="CA10" s="88" t="s">
        <v>91</v>
      </c>
      <c r="CB10" s="88" t="s">
        <v>92</v>
      </c>
      <c r="CC10" s="88" t="s">
        <v>93</v>
      </c>
      <c r="CD10" s="40"/>
      <c r="CE10" s="89" t="s">
        <v>94</v>
      </c>
      <c r="CF10" s="89" t="s">
        <v>95</v>
      </c>
      <c r="CG10" s="90" t="s">
        <v>96</v>
      </c>
      <c r="CH10" s="40"/>
      <c r="CI10" s="91" t="s">
        <v>97</v>
      </c>
      <c r="CJ10" s="91" t="s">
        <v>98</v>
      </c>
      <c r="CK10" s="91" t="s">
        <v>99</v>
      </c>
      <c r="CL10" s="91" t="s">
        <v>100</v>
      </c>
      <c r="CM10" s="91" t="s">
        <v>101</v>
      </c>
      <c r="CN10" s="91" t="s">
        <v>102</v>
      </c>
      <c r="CO10" s="91" t="s">
        <v>103</v>
      </c>
      <c r="CP10" s="92" t="s">
        <v>104</v>
      </c>
      <c r="CQ10" s="92" t="s">
        <v>105</v>
      </c>
      <c r="CR10" s="13"/>
      <c r="CS10" s="13"/>
      <c r="CT10" s="13"/>
      <c r="CU10" s="13"/>
    </row>
    <row r="11" spans="1:99" s="49" customFormat="1" ht="14.1" customHeight="1">
      <c r="A11" s="93" t="s">
        <v>106</v>
      </c>
      <c r="B11" s="49">
        <f>AVERAGE(B7:B10)</f>
        <v>97.25</v>
      </c>
      <c r="E11" s="50">
        <f>AVERAGE(E7:E10)</f>
        <v>424.27749999999997</v>
      </c>
      <c r="G11" s="50">
        <f>AVERAGE(G7:G10)</f>
        <v>3030.4020437499998</v>
      </c>
      <c r="H11" s="50">
        <f>AVERAGE(H7:H10)</f>
        <v>3117.236744479505</v>
      </c>
      <c r="J11" s="94">
        <f>AVERAGE(J7:J10)</f>
        <v>1.6753612372701767</v>
      </c>
      <c r="K11" s="50" t="s">
        <v>39</v>
      </c>
      <c r="L11" s="50">
        <f>AVERAGE(L7:L10)</f>
        <v>2.5325136646922215</v>
      </c>
      <c r="M11" s="50"/>
      <c r="N11" s="94">
        <f>AVERAGE(N7:N10)</f>
        <v>1.6753612372701767</v>
      </c>
      <c r="O11" s="50">
        <f>AVERAGE(O7:O10)</f>
        <v>2.5325136646922215</v>
      </c>
      <c r="P11" s="95"/>
      <c r="Q11" s="95"/>
      <c r="R11" s="95"/>
      <c r="S11" s="6"/>
      <c r="T11" s="13">
        <v>0</v>
      </c>
      <c r="U11" s="14">
        <v>463.09</v>
      </c>
      <c r="V11" s="15"/>
      <c r="W11" s="15"/>
      <c r="X11" s="96">
        <f>AVERAGE(X7:X10)</f>
        <v>0.49333333333333335</v>
      </c>
      <c r="Y11" s="70" t="s">
        <v>107</v>
      </c>
      <c r="Z11" s="96">
        <f>AVERAGE(Z7:Z10)</f>
        <v>17.570500000000003</v>
      </c>
      <c r="AA11" s="30"/>
      <c r="AB11" s="72">
        <f>J11</f>
        <v>1.6753612372701767</v>
      </c>
      <c r="AC11" s="73">
        <f>AB11/($D$4/$D$2)</f>
        <v>2.5325136646922215</v>
      </c>
      <c r="AD11" s="73">
        <f>AB11/Z11</f>
        <v>9.5350800334092739E-2</v>
      </c>
      <c r="AE11" s="73">
        <f>AC11/Z11</f>
        <v>0.14413441078468006</v>
      </c>
      <c r="AF11" s="72">
        <f>N20</f>
        <v>0.63156075990002469</v>
      </c>
      <c r="AG11" s="72">
        <f>AF11/($D$4/$D$2)</f>
        <v>0.95468142568245606</v>
      </c>
      <c r="AH11" s="72">
        <f>AF11/Z18</f>
        <v>9.5675658136727248E-3</v>
      </c>
      <c r="AI11" s="72">
        <f>AG11/Z18</f>
        <v>1.4462547313347495E-2</v>
      </c>
      <c r="AJ11" s="73">
        <f>((AB11-AF11)/AB11)*100</f>
        <v>62.303009891222857</v>
      </c>
      <c r="AK11" s="73">
        <f>((AC11-AG11)/AC11)*100</f>
        <v>62.303009891222857</v>
      </c>
      <c r="AL11" s="73">
        <f>((AD11-AH11)/AD11)*100</f>
        <v>89.96593024898624</v>
      </c>
      <c r="AM11" s="73">
        <f>((AE11-AI11)/AE11)*100</f>
        <v>89.96593024898624</v>
      </c>
      <c r="AN11" s="72">
        <f>N29</f>
        <v>-0.96863721503069489</v>
      </c>
      <c r="AO11" s="72">
        <f>AN11/($D$4/$D$2)</f>
        <v>-1.4642137639472292</v>
      </c>
      <c r="AP11" s="72">
        <f>AN11/Z25</f>
        <v>-3.1571651631020748E-3</v>
      </c>
      <c r="AQ11" s="72">
        <f>AO11/Z25</f>
        <v>-4.772441751293096E-3</v>
      </c>
      <c r="AR11" s="73">
        <f>((AB11-AN11)/AB11)*100</f>
        <v>157.81661849888485</v>
      </c>
      <c r="AS11" s="73">
        <f>((AC11-AO11)/AC11)*100</f>
        <v>157.81661849888485</v>
      </c>
      <c r="AT11" s="73">
        <f>((AD11-AP11)/AD11)*100</f>
        <v>103.31110504792819</v>
      </c>
      <c r="AU11" s="73">
        <f>((AE11-AQ11)/AE11)*100</f>
        <v>103.31110504792819</v>
      </c>
      <c r="AV11" s="72">
        <f>J11</f>
        <v>1.6753612372701767</v>
      </c>
      <c r="AW11" s="72">
        <f>AV11/($D$4/$D$2)</f>
        <v>2.5325136646922215</v>
      </c>
      <c r="AX11" s="95">
        <f>M20</f>
        <v>1.0124095139607032</v>
      </c>
      <c r="AY11" s="95">
        <f>AX11/($D$4/$D$2)</f>
        <v>1.5303809538697224</v>
      </c>
      <c r="AZ11" s="95">
        <f>AX11/Z11</f>
        <v>5.7619846558760596E-2</v>
      </c>
      <c r="BA11" s="73">
        <f>AY11/Z11</f>
        <v>8.7099453849903086E-2</v>
      </c>
      <c r="BB11" s="72">
        <f>P21</f>
        <v>1.3157428472940365</v>
      </c>
      <c r="BC11" s="73">
        <f>BB11/($D$4/$D$2)</f>
        <v>1.9889064315601341</v>
      </c>
      <c r="BD11" s="73">
        <f>BB11/Z18</f>
        <v>1.9932296438663434E-2</v>
      </c>
      <c r="BE11" s="73">
        <f>BC11/Z18</f>
        <v>3.0130106854961692E-2</v>
      </c>
      <c r="BF11" s="72">
        <f>K20</f>
        <v>1.6439702738607278</v>
      </c>
      <c r="BG11" s="73">
        <f>BF11/($D$4/$D$2)</f>
        <v>2.4850623795521782</v>
      </c>
      <c r="BH11" s="73">
        <f>BF11/Z18</f>
        <v>2.4904640676811418E-2</v>
      </c>
      <c r="BI11" s="73">
        <f>BG11/Z18</f>
        <v>3.764641405398797E-2</v>
      </c>
      <c r="BJ11" s="72">
        <f>J21</f>
        <v>2.7653945352722777</v>
      </c>
      <c r="BK11" s="73">
        <f>BJ11/($D$4/$D$2)</f>
        <v>4.1802324734775018</v>
      </c>
      <c r="BL11" s="73">
        <f>BJ11/Z18</f>
        <v>4.1893188901059496E-2</v>
      </c>
      <c r="BM11" s="73">
        <f>BK11/Z18</f>
        <v>6.332668500933944E-2</v>
      </c>
      <c r="BN11" s="95">
        <f>M29</f>
        <v>4.0066873491899342</v>
      </c>
      <c r="BO11" s="95">
        <f>BN11/($D$4/$D$2)</f>
        <v>6.0565985628904766</v>
      </c>
      <c r="BP11" s="95">
        <f>BN11/Z25</f>
        <v>1.3059351346420655E-2</v>
      </c>
      <c r="BQ11" s="73">
        <f>BO11/Z25</f>
        <v>1.9740808728937759E-2</v>
      </c>
      <c r="BR11" s="72">
        <f>P30</f>
        <v>4.4833540158566008</v>
      </c>
      <c r="BS11" s="73">
        <f>BR11/($D$4/$D$2)</f>
        <v>6.7771385992611233</v>
      </c>
      <c r="BT11" s="73">
        <f>BR11/Z25</f>
        <v>1.4612993278673174E-2</v>
      </c>
      <c r="BU11" s="73">
        <f>BS11/Z25</f>
        <v>2.2089328759089213E-2</v>
      </c>
      <c r="BV11" s="72">
        <f>K29</f>
        <v>3.2880846050313526</v>
      </c>
      <c r="BW11" s="73">
        <f>BV11/($D$4/$D$2)</f>
        <v>4.970342519368649</v>
      </c>
      <c r="BX11" s="73">
        <f>BV11/Z25</f>
        <v>1.0717145704553866E-2</v>
      </c>
      <c r="BY11" s="73">
        <f>BW11/Z25</f>
        <v>1.620027808898343E-2</v>
      </c>
      <c r="BZ11" s="72">
        <f>J30</f>
        <v>4.3907604987807227</v>
      </c>
      <c r="CA11" s="73">
        <f>BZ11/($D$4/$D$2)</f>
        <v>6.6371721597613904</v>
      </c>
      <c r="CB11" s="73">
        <f>BZ11/Z25</f>
        <v>1.431119501828753E-2</v>
      </c>
      <c r="CC11" s="73">
        <f>CA11/Z25</f>
        <v>2.163312373213494E-2</v>
      </c>
      <c r="CD11" s="13"/>
      <c r="CE11" s="97">
        <f>B11</f>
        <v>97.25</v>
      </c>
      <c r="CF11" s="13">
        <f>Z11</f>
        <v>17.570500000000003</v>
      </c>
      <c r="CG11" s="40">
        <f>((CE11/18)*CF11)/22.5</f>
        <v>4.2190891975308649</v>
      </c>
      <c r="CH11" s="40"/>
      <c r="CI11" s="40">
        <f>X28</f>
        <v>0</v>
      </c>
      <c r="CJ11" s="40">
        <f>X29</f>
        <v>0</v>
      </c>
      <c r="CK11" s="40">
        <f>X30</f>
        <v>0</v>
      </c>
      <c r="CL11" s="40">
        <f>X31</f>
        <v>0</v>
      </c>
      <c r="CM11" s="40">
        <f>X32</f>
        <v>0</v>
      </c>
      <c r="CN11" s="40">
        <f>X33</f>
        <v>0</v>
      </c>
      <c r="CO11" s="13">
        <f>X11</f>
        <v>0.49333333333333335</v>
      </c>
      <c r="CP11" s="13">
        <f>X18</f>
        <v>0.1414</v>
      </c>
      <c r="CQ11" s="13">
        <f>X25</f>
        <v>7.1800000000000003E-2</v>
      </c>
      <c r="CR11" s="13"/>
      <c r="CS11" s="13"/>
      <c r="CT11" s="13"/>
      <c r="CU11" s="13"/>
    </row>
    <row r="12" spans="1:99" ht="14.1" customHeight="1" thickBot="1">
      <c r="B12" s="98"/>
      <c r="C12" s="65"/>
      <c r="D12" s="99"/>
      <c r="E12" s="13"/>
      <c r="F12" s="13"/>
      <c r="G12" s="13"/>
      <c r="H12" s="13"/>
      <c r="I12" s="13"/>
      <c r="J12" s="6" t="s">
        <v>108</v>
      </c>
      <c r="K12" s="13"/>
      <c r="L12" s="13"/>
      <c r="M12" s="12" t="s">
        <v>39</v>
      </c>
      <c r="N12" s="13"/>
      <c r="O12" s="13"/>
      <c r="P12" s="13"/>
      <c r="Q12" s="30"/>
      <c r="R12" s="30"/>
      <c r="U12" s="14">
        <v>477.66</v>
      </c>
      <c r="V12" s="15"/>
      <c r="W12" s="15"/>
      <c r="Y12" s="70"/>
      <c r="Z12" s="96"/>
      <c r="AA12" s="30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30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40"/>
      <c r="CG12" s="40"/>
      <c r="CH12" s="40"/>
      <c r="CI12" s="40"/>
      <c r="CJ12" s="40"/>
      <c r="CK12" s="40"/>
      <c r="CL12" s="40"/>
      <c r="CM12" s="40"/>
      <c r="CN12" s="40"/>
    </row>
    <row r="13" spans="1:99" ht="14.1" customHeight="1" thickBot="1">
      <c r="B13" s="98"/>
      <c r="C13" s="65"/>
      <c r="D13" s="99"/>
      <c r="E13" s="13"/>
      <c r="F13" s="13"/>
      <c r="G13" s="13"/>
      <c r="H13" s="13"/>
      <c r="I13" s="13"/>
      <c r="J13" s="6"/>
      <c r="K13" s="13"/>
      <c r="L13" s="13"/>
      <c r="M13" s="100" t="s">
        <v>32</v>
      </c>
      <c r="N13" s="101"/>
      <c r="O13" s="101"/>
      <c r="P13" s="101"/>
      <c r="Q13" s="30"/>
      <c r="R13" s="102" t="s">
        <v>25</v>
      </c>
      <c r="S13" s="103" t="s">
        <v>109</v>
      </c>
      <c r="T13" s="13">
        <v>30</v>
      </c>
      <c r="U13" s="14">
        <v>515.72</v>
      </c>
      <c r="V13" s="15"/>
      <c r="W13" s="15"/>
      <c r="X13" s="69">
        <v>0.20100000000000001</v>
      </c>
      <c r="Y13" s="30">
        <v>90</v>
      </c>
      <c r="Z13" s="71">
        <v>82.537999999999997</v>
      </c>
      <c r="AA13" s="40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19"/>
      <c r="AY13" s="74"/>
      <c r="AZ13" s="74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40"/>
      <c r="CG13" s="40"/>
      <c r="CH13" s="40"/>
      <c r="CI13" s="40"/>
      <c r="CJ13" s="40"/>
      <c r="CK13" s="40"/>
      <c r="CL13" s="40"/>
      <c r="CM13" s="40"/>
      <c r="CN13" s="40"/>
    </row>
    <row r="14" spans="1:99" ht="14.1" customHeight="1">
      <c r="A14" s="12">
        <v>90</v>
      </c>
      <c r="B14" s="75">
        <v>101</v>
      </c>
      <c r="C14" s="65"/>
      <c r="D14" s="104">
        <f>AVERAGE(U17:U18)</f>
        <v>481.46500000000003</v>
      </c>
      <c r="E14" s="78">
        <f>D14-$E$5</f>
        <v>450.67500000000001</v>
      </c>
      <c r="F14" s="78"/>
      <c r="G14" s="78">
        <f t="shared" ref="G14:G27" si="0">($E14*7.1425)</f>
        <v>3218.9461875000002</v>
      </c>
      <c r="H14" s="78">
        <f t="shared" ref="H14:H27" si="1">($G14/($B14*0.01))</f>
        <v>3187.075433168317</v>
      </c>
      <c r="I14" s="33">
        <f>$C$15*A14+$C$16</f>
        <v>3458.0974946428578</v>
      </c>
      <c r="J14" s="105" t="s">
        <v>110</v>
      </c>
      <c r="K14" s="106" t="s">
        <v>111</v>
      </c>
      <c r="L14" s="13"/>
      <c r="M14" s="107">
        <f>(((S14/60)*$J$1)/$D$2)</f>
        <v>1.0124095139607032</v>
      </c>
      <c r="N14" s="101"/>
      <c r="O14" s="101"/>
      <c r="P14" s="101"/>
      <c r="Q14" s="30"/>
      <c r="R14" s="108">
        <v>90</v>
      </c>
      <c r="S14" s="109">
        <v>33</v>
      </c>
      <c r="U14" s="14">
        <v>490.38</v>
      </c>
      <c r="V14" s="15"/>
      <c r="W14" s="110"/>
      <c r="X14" s="69">
        <v>0.15</v>
      </c>
      <c r="Y14" s="30">
        <v>100</v>
      </c>
      <c r="Z14" s="71">
        <v>68.066000000000003</v>
      </c>
      <c r="AA14" s="40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19"/>
      <c r="AY14" s="74"/>
      <c r="AZ14" s="74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40"/>
      <c r="CG14" s="40"/>
      <c r="CH14" s="40"/>
      <c r="CI14" s="40"/>
      <c r="CJ14" s="40"/>
      <c r="CK14" s="40"/>
      <c r="CL14" s="40"/>
      <c r="CM14" s="40"/>
      <c r="CN14" s="40"/>
    </row>
    <row r="15" spans="1:99" s="115" customFormat="1" ht="14.1" customHeight="1">
      <c r="A15" s="12">
        <v>100</v>
      </c>
      <c r="B15" s="75">
        <v>98</v>
      </c>
      <c r="C15" s="65">
        <f>SLOPE(G15:G18,A15:A18)</f>
        <v>-18.816406071428588</v>
      </c>
      <c r="D15" s="104">
        <f>AVERAGE(U19:U20)</f>
        <v>487.86500000000001</v>
      </c>
      <c r="E15" s="66">
        <f>D15-$E$5</f>
        <v>457.07499999999999</v>
      </c>
      <c r="F15" s="111">
        <v>180</v>
      </c>
      <c r="G15" s="112">
        <f t="shared" si="0"/>
        <v>3264.6581875000002</v>
      </c>
      <c r="H15" s="78">
        <f t="shared" si="1"/>
        <v>3331.2838647959188</v>
      </c>
      <c r="I15" s="33">
        <f>$C$15*A15+$C$16</f>
        <v>3269.933433928572</v>
      </c>
      <c r="J15" s="113">
        <f>((($N$2-(130*$D$2*(((B15+B14)*0.01)/2))*((I15-I14)/(A15-A14))))/((I15+I14)/2))/$D$2</f>
        <v>2.2740209019391822</v>
      </c>
      <c r="K15" s="114">
        <f>$N$2/H15/$D$2</f>
        <v>1.5657444896886956</v>
      </c>
      <c r="L15" s="114">
        <f>J15/($D$4/$D$2)</f>
        <v>3.4374610560647629</v>
      </c>
      <c r="M15" s="107">
        <f>(((S15/60)*$J$1)/$D$2)</f>
        <v>1.0124095139607032</v>
      </c>
      <c r="N15" s="19">
        <f>K15-M15</f>
        <v>0.5533349757279924</v>
      </c>
      <c r="O15" s="74">
        <f>N15/($D$4/$D$2)</f>
        <v>0.83643357385216532</v>
      </c>
      <c r="P15" s="74"/>
      <c r="Q15" s="30"/>
      <c r="R15" s="108">
        <v>100</v>
      </c>
      <c r="S15" s="109">
        <v>33</v>
      </c>
      <c r="T15" s="13">
        <v>60</v>
      </c>
      <c r="U15" s="14">
        <v>487.11</v>
      </c>
      <c r="V15" s="15"/>
      <c r="W15" s="110"/>
      <c r="X15" s="69">
        <v>0.13700000000000001</v>
      </c>
      <c r="Y15" s="30">
        <v>110</v>
      </c>
      <c r="Z15" s="71">
        <v>56.756999999999998</v>
      </c>
      <c r="AA15" s="40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19"/>
      <c r="AY15" s="74"/>
      <c r="AZ15" s="74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40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40"/>
      <c r="CH15" s="40"/>
      <c r="CI15" s="40"/>
      <c r="CJ15" s="40"/>
      <c r="CK15" s="40"/>
      <c r="CL15" s="40"/>
      <c r="CM15" s="40"/>
      <c r="CN15" s="40"/>
      <c r="CO15" s="13"/>
      <c r="CP15" s="13"/>
      <c r="CQ15" s="13"/>
      <c r="CR15" s="13"/>
      <c r="CS15" s="13"/>
      <c r="CT15" s="13"/>
      <c r="CU15" s="13"/>
    </row>
    <row r="16" spans="1:99" ht="14.1" customHeight="1">
      <c r="A16" s="12">
        <v>110</v>
      </c>
      <c r="B16" s="75">
        <v>96</v>
      </c>
      <c r="C16" s="65">
        <f>INTERCEPT(G15:G18,A15:A18)</f>
        <v>5151.5740410714307</v>
      </c>
      <c r="D16" s="104">
        <f>AVERAGE(U21:U22)</f>
        <v>463</v>
      </c>
      <c r="E16" s="66">
        <f>D16-$E$5</f>
        <v>432.21</v>
      </c>
      <c r="F16" s="116">
        <v>210</v>
      </c>
      <c r="G16" s="66">
        <f t="shared" si="0"/>
        <v>3087.059925</v>
      </c>
      <c r="H16" s="78">
        <f t="shared" si="1"/>
        <v>3215.6874218749999</v>
      </c>
      <c r="I16" s="33">
        <f>$C$15*A16+$C$16</f>
        <v>3081.7693732142861</v>
      </c>
      <c r="J16" s="113">
        <f>((($N$2-(130*$D$2*(((B16+B15)*0.01)/2))*((I16-I15)/(A16-A15))))/((I16+I15)/2))/$D$2</f>
        <v>2.3894972390604603</v>
      </c>
      <c r="K16" s="67">
        <f>$N$2/H16/$D$2</f>
        <v>1.6220293425944263</v>
      </c>
      <c r="L16" s="67">
        <f>J16/($D$4/$D$2)</f>
        <v>3.6120176801542345</v>
      </c>
      <c r="M16" s="107">
        <f>(((S16/60)*$J$1)/$D$2)</f>
        <v>1.0124095139607032</v>
      </c>
      <c r="N16" s="19">
        <f>K16-M16</f>
        <v>0.6096198286337231</v>
      </c>
      <c r="O16" s="67">
        <f>N16/($D$4/$D$2)</f>
        <v>0.92151502132030183</v>
      </c>
      <c r="P16" s="67"/>
      <c r="Q16" s="30"/>
      <c r="R16" s="108">
        <v>110</v>
      </c>
      <c r="S16" s="109">
        <v>33</v>
      </c>
      <c r="U16" s="14">
        <v>483.8</v>
      </c>
      <c r="V16" s="15"/>
      <c r="W16" s="110"/>
      <c r="X16" s="69">
        <v>8.4000000000000005E-2</v>
      </c>
      <c r="Y16" s="30">
        <v>115</v>
      </c>
      <c r="Z16" s="71">
        <v>56.901000000000003</v>
      </c>
      <c r="AA16" s="40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19"/>
      <c r="AY16" s="74"/>
      <c r="AZ16" s="74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40"/>
    </row>
    <row r="17" spans="1:67" ht="14.1" customHeight="1">
      <c r="A17" s="12">
        <v>115</v>
      </c>
      <c r="B17" s="75">
        <v>97</v>
      </c>
      <c r="C17" s="65"/>
      <c r="D17" s="104">
        <f>AVERAGE(U23:U24)</f>
        <v>450.56</v>
      </c>
      <c r="E17" s="66">
        <f>D17-$E$5</f>
        <v>419.77</v>
      </c>
      <c r="F17" s="116">
        <v>220</v>
      </c>
      <c r="G17" s="66">
        <f t="shared" si="0"/>
        <v>2998.2072250000001</v>
      </c>
      <c r="H17" s="78">
        <f t="shared" si="1"/>
        <v>3090.935283505155</v>
      </c>
      <c r="I17" s="33">
        <f>$C$15*A17+$C$16</f>
        <v>2987.687342857143</v>
      </c>
      <c r="J17" s="113">
        <f>((($N$2-(130*$D$2*(((B17+B16)*0.01)/2))*((I17-I16)/(A17-A16))))/((I17+I16)/2))/$D$2</f>
        <v>2.4965850655107067</v>
      </c>
      <c r="K17" s="67">
        <f>$N$2/H17/$D$2</f>
        <v>1.6874954913252465</v>
      </c>
      <c r="L17" s="67">
        <f>J17/($D$4/$D$2)</f>
        <v>3.7738940431583901</v>
      </c>
      <c r="M17" s="107">
        <f>(((S17/60)*$J$1)/$D$2)</f>
        <v>1.0124095139607032</v>
      </c>
      <c r="N17" s="19">
        <f>K17-M17</f>
        <v>0.67508597736454323</v>
      </c>
      <c r="O17" s="67">
        <f>N17/($D$4/$D$2)</f>
        <v>1.0204751217137662</v>
      </c>
      <c r="P17" s="67"/>
      <c r="Q17" s="30"/>
      <c r="R17" s="108">
        <v>115</v>
      </c>
      <c r="S17" s="117">
        <v>33</v>
      </c>
      <c r="T17" s="40">
        <v>90</v>
      </c>
      <c r="U17" s="14">
        <v>476.81</v>
      </c>
      <c r="V17" s="15"/>
      <c r="W17" s="110"/>
      <c r="X17" s="69">
        <v>0.13500000000000001</v>
      </c>
      <c r="Y17" s="30">
        <v>120</v>
      </c>
      <c r="Z17" s="71">
        <v>65.790999999999997</v>
      </c>
      <c r="AA17" s="40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19"/>
      <c r="AY17" s="74"/>
      <c r="AZ17" s="74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40"/>
    </row>
    <row r="18" spans="1:67" ht="14.1" customHeight="1">
      <c r="A18" s="12">
        <v>120</v>
      </c>
      <c r="B18" s="118">
        <v>94</v>
      </c>
      <c r="C18" s="65"/>
      <c r="D18" s="104">
        <f>AVERAGE(U25:U26)</f>
        <v>434.44</v>
      </c>
      <c r="E18" s="66">
        <f>D18-$E$5</f>
        <v>403.65</v>
      </c>
      <c r="F18" s="116">
        <v>225</v>
      </c>
      <c r="G18" s="66">
        <f t="shared" si="0"/>
        <v>2883.0701249999997</v>
      </c>
      <c r="H18" s="78">
        <f t="shared" si="1"/>
        <v>3067.0958776595739</v>
      </c>
      <c r="I18" s="33">
        <f>$C$15*A18+$C$16</f>
        <v>2893.6053124999999</v>
      </c>
      <c r="J18" s="113">
        <f>((($N$2-(130*$D$2*(((B18+B17)*0.01)/2))*((I18-I17)/(A18-A17))))/((I18+I17)/2))/$D$2</f>
        <v>2.5681416012454283</v>
      </c>
      <c r="K18" s="67">
        <f>$N$2/H18/$D$2</f>
        <v>1.7006117718345433</v>
      </c>
      <c r="L18" s="67">
        <f>J18/($D$4/$D$2)</f>
        <v>3.8820605093000413</v>
      </c>
      <c r="M18" s="107">
        <f>(((S18/60)*$J$1)/$D$2)</f>
        <v>1.0124095139607032</v>
      </c>
      <c r="N18" s="19">
        <f>K18-M18</f>
        <v>0.68820225787384004</v>
      </c>
      <c r="O18" s="67">
        <f>N18/($D$4/$D$2)</f>
        <v>1.0403019858435907</v>
      </c>
      <c r="P18" s="67"/>
      <c r="Q18" s="30"/>
      <c r="R18" s="108">
        <v>120</v>
      </c>
      <c r="S18" s="117">
        <v>33</v>
      </c>
      <c r="T18" s="30"/>
      <c r="U18" s="14">
        <v>486.12</v>
      </c>
      <c r="V18" s="15"/>
      <c r="W18" s="110"/>
      <c r="X18" s="96">
        <f>AVERAGE(X13:X17)</f>
        <v>0.1414</v>
      </c>
      <c r="Y18" s="30" t="s">
        <v>107</v>
      </c>
      <c r="Z18" s="96">
        <f>AVERAGE(Z13:Z17)</f>
        <v>66.010599999999997</v>
      </c>
      <c r="AA18" s="30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5"/>
      <c r="AY18" s="95"/>
      <c r="AZ18" s="95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2"/>
      <c r="BO18" s="40"/>
    </row>
    <row r="19" spans="1:67" ht="14.1" customHeight="1" thickBot="1">
      <c r="A19" s="63"/>
      <c r="B19" s="98"/>
      <c r="C19" s="65"/>
      <c r="D19" s="99"/>
      <c r="E19" s="66"/>
      <c r="F19" s="63"/>
      <c r="G19" s="66"/>
      <c r="H19" s="66"/>
      <c r="I19" s="33"/>
      <c r="J19" s="113"/>
      <c r="K19" s="67"/>
      <c r="L19" s="67"/>
      <c r="M19" s="107"/>
      <c r="O19" s="67"/>
      <c r="P19" s="67"/>
      <c r="Q19" s="30"/>
      <c r="R19" s="108"/>
      <c r="S19" s="117"/>
      <c r="T19" s="41">
        <v>100</v>
      </c>
      <c r="U19" s="14">
        <v>488.29</v>
      </c>
      <c r="V19" s="15"/>
      <c r="W19" s="110"/>
      <c r="Y19" s="30"/>
      <c r="Z19" s="96"/>
      <c r="AA19" s="30"/>
      <c r="AB19" s="96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30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40"/>
    </row>
    <row r="20" spans="1:67" ht="14.1" customHeight="1" thickBot="1">
      <c r="A20" s="119" t="s">
        <v>112</v>
      </c>
      <c r="B20" s="120">
        <f>AVERAGE(B14:B19)</f>
        <v>97.2</v>
      </c>
      <c r="C20" s="121"/>
      <c r="D20" s="122">
        <f>AVERAGE(D14:D18)</f>
        <v>463.46600000000001</v>
      </c>
      <c r="E20" s="122">
        <f>AVERAGE(E14:E18)</f>
        <v>432.67600000000004</v>
      </c>
      <c r="F20" s="122"/>
      <c r="G20" s="122">
        <f>AVERAGE(G14:G18)</f>
        <v>3090.3883300000002</v>
      </c>
      <c r="H20" s="122">
        <f>AVERAGE(H14:H18)</f>
        <v>3178.4155762007931</v>
      </c>
      <c r="I20" s="122"/>
      <c r="J20" s="122">
        <f t="shared" ref="J20:O20" si="2">AVERAGE(J14:J18)</f>
        <v>2.4320612019389443</v>
      </c>
      <c r="K20" s="123">
        <f t="shared" si="2"/>
        <v>1.6439702738607278</v>
      </c>
      <c r="L20" s="122">
        <f t="shared" si="2"/>
        <v>3.676358322169357</v>
      </c>
      <c r="M20" s="122">
        <f t="shared" si="2"/>
        <v>1.0124095139607032</v>
      </c>
      <c r="N20" s="123">
        <f t="shared" si="2"/>
        <v>0.63156075990002469</v>
      </c>
      <c r="O20" s="122">
        <f t="shared" si="2"/>
        <v>0.95468142568245595</v>
      </c>
      <c r="P20" s="124"/>
      <c r="Q20" s="30"/>
      <c r="R20" s="108"/>
      <c r="S20" s="117"/>
      <c r="T20" s="41"/>
      <c r="U20" s="14">
        <v>487.44</v>
      </c>
      <c r="V20" s="15"/>
      <c r="W20" s="110"/>
      <c r="X20" s="69">
        <v>7.9000000000000001E-2</v>
      </c>
      <c r="Y20" s="70">
        <v>210</v>
      </c>
      <c r="Z20" s="71">
        <v>314.20999999999998</v>
      </c>
      <c r="AA20" s="40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4"/>
      <c r="AY20" s="74"/>
      <c r="AZ20" s="74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40"/>
    </row>
    <row r="21" spans="1:67" ht="14.1" customHeight="1" thickBot="1">
      <c r="A21" s="70"/>
      <c r="B21" s="118"/>
      <c r="C21" s="36"/>
      <c r="D21" s="99"/>
      <c r="E21" s="33"/>
      <c r="F21" s="125" t="s">
        <v>113</v>
      </c>
      <c r="G21" s="33"/>
      <c r="H21" s="33"/>
      <c r="I21" s="126" t="s">
        <v>114</v>
      </c>
      <c r="J21" s="127">
        <f>J20-((B18-B15)*0.25*$D$2*10)/(30*$D$2)</f>
        <v>2.7653945352722777</v>
      </c>
      <c r="K21" s="74"/>
      <c r="L21" s="128" t="s">
        <v>33</v>
      </c>
      <c r="M21" s="129">
        <f>J21-M20</f>
        <v>1.7529850213115745</v>
      </c>
      <c r="N21" s="19"/>
      <c r="O21" s="74"/>
      <c r="P21" s="130">
        <f>$M$20-(((B18-B14)*1.3)/(A18-A14))</f>
        <v>1.3157428472940365</v>
      </c>
      <c r="Q21" s="30"/>
      <c r="R21" s="131"/>
      <c r="S21" s="117"/>
      <c r="T21" s="41">
        <v>110</v>
      </c>
      <c r="U21" s="14">
        <v>446.82</v>
      </c>
      <c r="V21" s="15"/>
      <c r="W21" s="110"/>
      <c r="X21" s="69">
        <v>6.8000000000000005E-2</v>
      </c>
      <c r="Y21" s="70">
        <v>220</v>
      </c>
      <c r="Z21" s="71">
        <v>310.13</v>
      </c>
      <c r="AA21" s="40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4"/>
      <c r="AY21" s="74"/>
      <c r="AZ21" s="74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40"/>
    </row>
    <row r="22" spans="1:67" ht="14.1" customHeight="1" thickBot="1">
      <c r="A22" s="63"/>
      <c r="B22" s="98"/>
      <c r="C22" s="65"/>
      <c r="D22" s="99"/>
      <c r="E22" s="66"/>
      <c r="F22" s="63"/>
      <c r="G22" s="66"/>
      <c r="H22" s="66"/>
      <c r="I22" s="33"/>
      <c r="J22" s="132"/>
      <c r="K22" s="67"/>
      <c r="L22" s="133"/>
      <c r="M22" s="134"/>
      <c r="N22" s="101"/>
      <c r="O22" s="133"/>
      <c r="P22" s="133"/>
      <c r="Q22" s="30"/>
      <c r="R22" s="102" t="s">
        <v>25</v>
      </c>
      <c r="S22" s="103" t="s">
        <v>109</v>
      </c>
      <c r="T22" s="30"/>
      <c r="U22" s="14">
        <v>479.18</v>
      </c>
      <c r="V22" s="15"/>
      <c r="W22" s="110"/>
      <c r="X22" s="69">
        <v>6.8000000000000005E-2</v>
      </c>
      <c r="Y22" s="70">
        <v>230</v>
      </c>
      <c r="Z22" s="71">
        <v>318.62</v>
      </c>
      <c r="AA22" s="40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4"/>
      <c r="AY22" s="74"/>
      <c r="AZ22" s="74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40"/>
    </row>
    <row r="23" spans="1:67" ht="14.1" customHeight="1">
      <c r="A23" s="63">
        <v>210</v>
      </c>
      <c r="B23" s="75">
        <v>107</v>
      </c>
      <c r="C23" s="65"/>
      <c r="D23" s="104">
        <f>AVERAGE(U31:U32)</f>
        <v>292.89</v>
      </c>
      <c r="E23" s="78">
        <f>D23-$E$5</f>
        <v>262.09999999999997</v>
      </c>
      <c r="F23" s="78"/>
      <c r="G23" s="78">
        <f t="shared" si="0"/>
        <v>1872.0492499999998</v>
      </c>
      <c r="H23" s="78">
        <f t="shared" si="1"/>
        <v>1749.5787383177567</v>
      </c>
      <c r="I23" s="33">
        <f>$C$24*A23+$C$25</f>
        <v>1713.1184214285713</v>
      </c>
      <c r="J23" s="105" t="s">
        <v>110</v>
      </c>
      <c r="K23" s="106" t="s">
        <v>111</v>
      </c>
      <c r="L23" s="67"/>
      <c r="M23" s="19">
        <f>(((S23/60)*$J$1)/$D$2)</f>
        <v>3.0065494657014824</v>
      </c>
      <c r="N23" s="101"/>
      <c r="O23" s="133"/>
      <c r="P23" s="133"/>
      <c r="Q23" s="30"/>
      <c r="R23" s="131">
        <v>210</v>
      </c>
      <c r="S23" s="117">
        <v>98</v>
      </c>
      <c r="T23" s="13">
        <v>115</v>
      </c>
      <c r="U23" s="14">
        <v>436.25</v>
      </c>
      <c r="V23" s="15"/>
      <c r="W23" s="110"/>
      <c r="X23" s="69">
        <v>7.0999999999999994E-2</v>
      </c>
      <c r="Y23" s="70">
        <v>235</v>
      </c>
      <c r="Z23" s="71">
        <v>293.92</v>
      </c>
      <c r="AA23" s="40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4"/>
      <c r="AY23" s="74"/>
      <c r="AZ23" s="74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40"/>
    </row>
    <row r="24" spans="1:67" ht="14.1" customHeight="1">
      <c r="A24" s="63">
        <v>220</v>
      </c>
      <c r="B24" s="75">
        <v>97</v>
      </c>
      <c r="C24" s="65">
        <f>SLOPE(G24:G27,A24:A27)</f>
        <v>-10.451518214285702</v>
      </c>
      <c r="D24" s="104">
        <f>AVERAGE(U33:U34)</f>
        <v>255.46499999999997</v>
      </c>
      <c r="E24" s="66">
        <f>D24-$E$5</f>
        <v>224.67499999999998</v>
      </c>
      <c r="F24" s="111">
        <v>180</v>
      </c>
      <c r="G24" s="112">
        <f t="shared" si="0"/>
        <v>1604.7411874999998</v>
      </c>
      <c r="H24" s="112">
        <f t="shared" si="1"/>
        <v>1654.3723582474224</v>
      </c>
      <c r="I24" s="33">
        <f>$C$24*A24+$C$25</f>
        <v>1608.6032392857146</v>
      </c>
      <c r="J24" s="113">
        <f>((($N$2-(130*$D$2*(((B24+B23)*0.01)/2))*((I24-I23)/(A24-A23))))/((I24+I23)/2))/$D$2</f>
        <v>3.9749330885765626</v>
      </c>
      <c r="K24" s="114">
        <f>$N$2/H24/$D$2</f>
        <v>3.1528206627065711</v>
      </c>
      <c r="L24" s="114">
        <f>J24/($D$4/$D$2)</f>
        <v>6.0085981095395358</v>
      </c>
      <c r="M24" s="107">
        <f>(((S24/60)*$J$1)/$D$2)</f>
        <v>3.4974146845915199</v>
      </c>
      <c r="N24" s="19">
        <f>K24-M24</f>
        <v>-0.34459402188494881</v>
      </c>
      <c r="O24" s="74">
        <f>N24/($D$4/$D$2)</f>
        <v>-0.52089606096941665</v>
      </c>
      <c r="P24" s="74"/>
      <c r="Q24" s="30"/>
      <c r="R24" s="131">
        <v>220</v>
      </c>
      <c r="S24" s="117">
        <v>114</v>
      </c>
      <c r="U24" s="14">
        <v>464.87</v>
      </c>
      <c r="V24" s="15"/>
      <c r="W24" s="110"/>
      <c r="X24" s="69">
        <v>7.2999999999999995E-2</v>
      </c>
      <c r="Y24" s="70">
        <v>240</v>
      </c>
      <c r="Z24" s="71">
        <v>297.14999999999998</v>
      </c>
      <c r="AA24" s="40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4"/>
      <c r="AY24" s="74"/>
      <c r="AZ24" s="74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40"/>
    </row>
    <row r="25" spans="1:67" ht="14.1" customHeight="1">
      <c r="A25" s="63">
        <v>230</v>
      </c>
      <c r="B25" s="75">
        <v>89</v>
      </c>
      <c r="C25" s="65">
        <f>INTERCEPT(G24:G27,A24:A27)</f>
        <v>3907.9372464285689</v>
      </c>
      <c r="D25" s="104">
        <f>AVERAGE(U35:U36)</f>
        <v>242.005</v>
      </c>
      <c r="E25" s="66">
        <f>D25-$E$5</f>
        <v>211.215</v>
      </c>
      <c r="F25" s="111">
        <v>180</v>
      </c>
      <c r="G25" s="112">
        <f t="shared" si="0"/>
        <v>1508.6031375</v>
      </c>
      <c r="H25" s="112">
        <f t="shared" si="1"/>
        <v>1695.0597050561798</v>
      </c>
      <c r="I25" s="33">
        <f>$C$24*A25+$C$25</f>
        <v>1504.0880571428575</v>
      </c>
      <c r="J25" s="113">
        <f>((($N$2-(130*$D$2*(((B25+B24)*0.01)/2))*((I25-I24)/(A25-A24))))/((I25+I24)/2))/$D$2</f>
        <v>4.163296189657272</v>
      </c>
      <c r="K25" s="114">
        <f>$N$2/H25/$D$2</f>
        <v>3.0771419669374995</v>
      </c>
      <c r="L25" s="114">
        <f>J25/($D$4/$D$2)</f>
        <v>6.2933320026239743</v>
      </c>
      <c r="M25" s="107">
        <f>(((S25/60)*$J$1)/$D$2)</f>
        <v>4.5098241985522236</v>
      </c>
      <c r="N25" s="19">
        <f>K25-M25</f>
        <v>-1.4326822316147241</v>
      </c>
      <c r="O25" s="114">
        <f>N25/($D$4/$D$2)</f>
        <v>-2.1656746306473846</v>
      </c>
      <c r="P25" s="74"/>
      <c r="Q25" s="30"/>
      <c r="R25" s="131">
        <v>230</v>
      </c>
      <c r="S25" s="117">
        <v>147</v>
      </c>
      <c r="T25" s="13">
        <v>120</v>
      </c>
      <c r="U25" s="14">
        <v>451.8</v>
      </c>
      <c r="V25" s="15"/>
      <c r="W25" s="110"/>
      <c r="X25" s="96">
        <f>AVERAGE(X20:X24)</f>
        <v>7.1800000000000003E-2</v>
      </c>
      <c r="Y25" s="57" t="s">
        <v>107</v>
      </c>
      <c r="Z25" s="96">
        <f>AVERAGE(Z20:Z24)</f>
        <v>306.80599999999993</v>
      </c>
      <c r="AA25" s="30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5"/>
      <c r="AY25" s="95"/>
      <c r="AZ25" s="95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40"/>
    </row>
    <row r="26" spans="1:67" ht="14.1" customHeight="1">
      <c r="A26" s="63">
        <v>235</v>
      </c>
      <c r="B26" s="75">
        <v>93</v>
      </c>
      <c r="C26" s="65"/>
      <c r="D26" s="104">
        <f>AVERAGE(U37:U38)</f>
        <v>234.95499999999998</v>
      </c>
      <c r="E26" s="66">
        <f>D26-$E$5</f>
        <v>204.16499999999999</v>
      </c>
      <c r="F26" s="111">
        <v>180</v>
      </c>
      <c r="G26" s="112">
        <f t="shared" si="0"/>
        <v>1458.2485125000001</v>
      </c>
      <c r="H26" s="112">
        <f t="shared" si="1"/>
        <v>1568.0091532258064</v>
      </c>
      <c r="I26" s="33">
        <f>$C$24*A26+$C$25</f>
        <v>1451.8304660714289</v>
      </c>
      <c r="J26" s="113">
        <f>((($N$2-(130*$D$2*(((B26+B25)*0.01)/2))*((I26-I25)/(A26-A25))))/((I26+I25)/2))/$D$2</f>
        <v>4.3657184113632042</v>
      </c>
      <c r="K26" s="114">
        <f>$N$2/H26/$D$2</f>
        <v>3.3264725171804739</v>
      </c>
      <c r="L26" s="114">
        <f>J26/($D$4/$D$2)</f>
        <v>6.5993179781279308</v>
      </c>
      <c r="M26" s="107">
        <f>(((S26/60)*$J$1)/$D$2)</f>
        <v>4.5098241985522236</v>
      </c>
      <c r="N26" s="19">
        <f>K26-M26</f>
        <v>-1.1833516813717497</v>
      </c>
      <c r="O26" s="114">
        <f>N26/($D$4/$D$2)</f>
        <v>-1.7887809724507699</v>
      </c>
      <c r="P26" s="74"/>
      <c r="Q26" s="30"/>
      <c r="R26" s="131">
        <v>235</v>
      </c>
      <c r="S26" s="117">
        <v>147</v>
      </c>
      <c r="U26" s="14">
        <v>417.08</v>
      </c>
      <c r="V26" s="15"/>
      <c r="W26" s="11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</row>
    <row r="27" spans="1:67" ht="14.1" customHeight="1">
      <c r="A27" s="63">
        <v>240</v>
      </c>
      <c r="B27" s="118">
        <v>96</v>
      </c>
      <c r="C27" s="65"/>
      <c r="D27" s="104">
        <f>AVERAGE(U39:U40)</f>
        <v>225.75</v>
      </c>
      <c r="E27" s="66">
        <f>D27-$E$5</f>
        <v>194.96</v>
      </c>
      <c r="F27" s="111">
        <v>180</v>
      </c>
      <c r="G27" s="112">
        <f t="shared" si="0"/>
        <v>1392.5018</v>
      </c>
      <c r="H27" s="112">
        <f t="shared" si="1"/>
        <v>1450.5227083333334</v>
      </c>
      <c r="I27" s="33">
        <f>$C$24*A27+$C$25</f>
        <v>1399.5728750000003</v>
      </c>
      <c r="J27" s="113">
        <f>((($N$2-(130*$D$2*(((B27+B26)*0.01)/2))*((I27-I26)/(A27-A26))))/((I27+I26)/2))/$D$2</f>
        <v>4.5590943055258526</v>
      </c>
      <c r="K27" s="114">
        <f>$N$2/H27/$D$2</f>
        <v>3.5959032733008667</v>
      </c>
      <c r="L27" s="114">
        <f>J27/($D$4/$D$2)</f>
        <v>6.8916293217919051</v>
      </c>
      <c r="M27" s="107">
        <f>(((S27/60)*$J$1)/$D$2)</f>
        <v>4.5098241985522236</v>
      </c>
      <c r="N27" s="19">
        <f>K27-M27</f>
        <v>-0.91392092525135693</v>
      </c>
      <c r="O27" s="114">
        <f>N27/($D$4/$D$2)</f>
        <v>-1.381503391721346</v>
      </c>
      <c r="P27" s="74"/>
      <c r="Q27" s="30"/>
      <c r="R27" s="131">
        <v>240</v>
      </c>
      <c r="S27" s="117">
        <v>147</v>
      </c>
      <c r="T27" s="13">
        <v>150</v>
      </c>
      <c r="U27" s="14">
        <v>408.21</v>
      </c>
      <c r="V27" s="15"/>
      <c r="W27" s="11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</row>
    <row r="28" spans="1:67" ht="14.1" customHeight="1" thickBot="1">
      <c r="A28" s="63"/>
      <c r="B28" s="118"/>
      <c r="C28" s="65"/>
      <c r="D28" s="99"/>
      <c r="E28" s="66"/>
      <c r="F28" s="135"/>
      <c r="G28" s="112"/>
      <c r="H28" s="112"/>
      <c r="I28" s="33"/>
      <c r="J28" s="113"/>
      <c r="K28" s="114"/>
      <c r="L28" s="114"/>
      <c r="M28" s="107"/>
      <c r="N28" s="107"/>
      <c r="O28" s="114"/>
      <c r="P28" s="74"/>
      <c r="Q28" s="30"/>
      <c r="R28" s="108"/>
      <c r="S28" s="117"/>
      <c r="U28" s="14">
        <v>402.43</v>
      </c>
      <c r="V28" s="15"/>
      <c r="W28" s="110"/>
      <c r="X28" s="69"/>
      <c r="Y28" s="13" t="s">
        <v>115</v>
      </c>
    </row>
    <row r="29" spans="1:67" ht="14.1" customHeight="1" thickBot="1">
      <c r="A29" s="119" t="s">
        <v>112</v>
      </c>
      <c r="B29" s="122">
        <f>AVERAGE(B23:B28)</f>
        <v>96.4</v>
      </c>
      <c r="C29" s="121"/>
      <c r="D29" s="122">
        <f>AVERAGE(D23:D28)</f>
        <v>250.21300000000002</v>
      </c>
      <c r="E29" s="122">
        <f>AVERAGE(E23:E28)</f>
        <v>219.423</v>
      </c>
      <c r="F29" s="122">
        <f>AVERAGE(F24:F28)</f>
        <v>180</v>
      </c>
      <c r="G29" s="122">
        <f>AVERAGE(G23:G28)</f>
        <v>1567.2287775</v>
      </c>
      <c r="H29" s="122">
        <f>AVERAGE(H23:H28)</f>
        <v>1623.5085326360997</v>
      </c>
      <c r="I29" s="122"/>
      <c r="J29" s="122">
        <f t="shared" ref="J29:O29" si="3">AVERAGE(J23:J28)</f>
        <v>4.2657604987807227</v>
      </c>
      <c r="K29" s="123">
        <f t="shared" si="3"/>
        <v>3.2880846050313526</v>
      </c>
      <c r="L29" s="122">
        <f t="shared" si="3"/>
        <v>6.4482193530208374</v>
      </c>
      <c r="M29" s="122">
        <f t="shared" si="3"/>
        <v>4.0066873491899342</v>
      </c>
      <c r="N29" s="123">
        <f t="shared" si="3"/>
        <v>-0.96863721503069489</v>
      </c>
      <c r="O29" s="122">
        <f t="shared" si="3"/>
        <v>-1.4642137639472295</v>
      </c>
      <c r="P29" s="122"/>
      <c r="Q29" s="136"/>
      <c r="R29" s="137"/>
      <c r="S29" s="138"/>
      <c r="T29" s="13">
        <v>180</v>
      </c>
      <c r="U29" s="14">
        <v>308.55</v>
      </c>
      <c r="V29" s="15"/>
      <c r="W29" s="110"/>
      <c r="X29" s="69"/>
      <c r="Y29" s="13" t="s">
        <v>116</v>
      </c>
    </row>
    <row r="30" spans="1:67" ht="14.1" customHeight="1">
      <c r="A30" s="70"/>
      <c r="B30" s="139"/>
      <c r="C30" s="36"/>
      <c r="D30" s="99"/>
      <c r="E30" s="33"/>
      <c r="F30" s="125" t="s">
        <v>117</v>
      </c>
      <c r="G30" s="33"/>
      <c r="H30" s="33"/>
      <c r="I30" s="140" t="s">
        <v>114</v>
      </c>
      <c r="J30" s="141">
        <f>J29-((B27-B24)*0.25*$D$2*10)/(20*$D$2)</f>
        <v>4.3907604987807227</v>
      </c>
      <c r="K30" s="74"/>
      <c r="L30" s="142" t="s">
        <v>33</v>
      </c>
      <c r="M30" s="143">
        <f>J30-M29</f>
        <v>0.38407314959078853</v>
      </c>
      <c r="N30" s="19">
        <f>AVERAGE(J24:J25)-M29</f>
        <v>6.242728992698332E-2</v>
      </c>
      <c r="O30" s="74"/>
      <c r="P30" s="130">
        <f>$M$29-(((B27-B23)*1.3)/(A27-A23))</f>
        <v>4.4833540158566008</v>
      </c>
      <c r="Q30" s="30"/>
      <c r="R30" s="63"/>
      <c r="S30" s="144"/>
      <c r="U30" s="14">
        <v>304.24</v>
      </c>
      <c r="V30" s="15"/>
      <c r="W30" s="110"/>
      <c r="X30" s="69"/>
      <c r="Y30" s="13" t="s">
        <v>118</v>
      </c>
    </row>
    <row r="31" spans="1:67" ht="14.1" customHeight="1">
      <c r="A31" s="145"/>
      <c r="B31" s="139"/>
      <c r="C31" s="146"/>
      <c r="D31" s="147"/>
      <c r="E31" s="148"/>
      <c r="F31" s="145"/>
      <c r="G31" s="148"/>
      <c r="H31" s="148"/>
      <c r="I31" s="148"/>
      <c r="J31" s="149"/>
      <c r="K31" s="150"/>
      <c r="L31" s="133"/>
      <c r="M31" s="134"/>
      <c r="N31" s="101"/>
      <c r="O31" s="150"/>
      <c r="P31" s="150"/>
      <c r="Q31" s="96"/>
      <c r="R31" s="151"/>
      <c r="S31" s="101" t="s">
        <v>32</v>
      </c>
      <c r="T31" s="13">
        <v>210</v>
      </c>
      <c r="U31" s="14">
        <v>275.08999999999997</v>
      </c>
      <c r="V31" s="15"/>
      <c r="W31" s="110"/>
      <c r="X31" s="69"/>
      <c r="Y31" s="13" t="s">
        <v>119</v>
      </c>
    </row>
    <row r="32" spans="1:67" ht="14.1" customHeight="1">
      <c r="A32" s="145"/>
      <c r="B32" s="148"/>
      <c r="C32" s="146"/>
      <c r="D32" s="147"/>
      <c r="E32" s="148"/>
      <c r="F32" s="148"/>
      <c r="G32" s="148"/>
      <c r="H32" s="148"/>
      <c r="I32" s="148"/>
      <c r="J32" s="152"/>
      <c r="K32" s="153"/>
      <c r="L32" s="58"/>
      <c r="M32" s="124"/>
      <c r="N32" s="101"/>
      <c r="O32" s="150"/>
      <c r="P32" s="150"/>
      <c r="Q32" s="96"/>
      <c r="R32" s="145"/>
      <c r="S32" s="58"/>
      <c r="U32" s="14">
        <v>310.69</v>
      </c>
      <c r="V32" s="15"/>
      <c r="W32" s="110"/>
      <c r="X32" s="69"/>
      <c r="Y32" s="13" t="s">
        <v>120</v>
      </c>
    </row>
    <row r="33" spans="1:99" ht="14.1" customHeight="1">
      <c r="A33" s="145"/>
      <c r="B33" s="148"/>
      <c r="C33" s="146"/>
      <c r="D33" s="147"/>
      <c r="E33" s="148"/>
      <c r="F33" s="145"/>
      <c r="G33" s="148"/>
      <c r="H33" s="148"/>
      <c r="I33" s="148"/>
      <c r="J33" s="149"/>
      <c r="K33" s="150"/>
      <c r="L33" s="150"/>
      <c r="M33" s="124"/>
      <c r="N33" s="124"/>
      <c r="O33" s="150"/>
      <c r="P33" s="150"/>
      <c r="Q33" s="96"/>
      <c r="R33" s="145"/>
      <c r="S33" s="58"/>
      <c r="T33" s="13">
        <v>220</v>
      </c>
      <c r="U33" s="14">
        <v>254.15</v>
      </c>
      <c r="V33" s="15"/>
      <c r="W33" s="110"/>
      <c r="X33" s="69"/>
      <c r="Y33" s="20" t="s">
        <v>121</v>
      </c>
    </row>
    <row r="34" spans="1:99" ht="14.1" customHeight="1">
      <c r="A34" s="145"/>
      <c r="B34" s="148"/>
      <c r="C34" s="146"/>
      <c r="D34" s="147"/>
      <c r="E34" s="148"/>
      <c r="F34" s="145"/>
      <c r="G34" s="148"/>
      <c r="H34" s="148"/>
      <c r="I34" s="148"/>
      <c r="J34" s="149"/>
      <c r="K34" s="150"/>
      <c r="L34" s="150"/>
      <c r="M34" s="124"/>
      <c r="N34" s="124"/>
      <c r="O34" s="150"/>
      <c r="P34" s="150"/>
      <c r="Q34" s="96"/>
      <c r="R34" s="145"/>
      <c r="S34" s="58"/>
      <c r="U34" s="14">
        <v>256.77999999999997</v>
      </c>
      <c r="V34" s="15"/>
      <c r="W34" s="110"/>
    </row>
    <row r="35" spans="1:99" ht="14.1" customHeight="1">
      <c r="A35" s="145"/>
      <c r="B35" s="148"/>
      <c r="C35" s="146"/>
      <c r="D35" s="147"/>
      <c r="E35" s="148"/>
      <c r="F35" s="145"/>
      <c r="G35" s="148"/>
      <c r="H35" s="148"/>
      <c r="I35" s="148"/>
      <c r="J35" s="149"/>
      <c r="K35" s="150"/>
      <c r="L35" s="150"/>
      <c r="M35" s="124"/>
      <c r="N35" s="124"/>
      <c r="O35" s="150"/>
      <c r="P35" s="150"/>
      <c r="Q35" s="96"/>
      <c r="R35" s="145"/>
      <c r="S35" s="58"/>
      <c r="T35" s="13">
        <v>230</v>
      </c>
      <c r="U35" s="14">
        <v>247.05</v>
      </c>
      <c r="V35" s="15"/>
      <c r="W35" s="110"/>
    </row>
    <row r="36" spans="1:99" ht="14.1" customHeight="1">
      <c r="A36" s="145"/>
      <c r="B36" s="139"/>
      <c r="C36" s="146"/>
      <c r="D36" s="147"/>
      <c r="E36" s="148"/>
      <c r="F36" s="145"/>
      <c r="G36" s="148"/>
      <c r="H36" s="148"/>
      <c r="I36" s="148"/>
      <c r="J36" s="149"/>
      <c r="K36" s="150"/>
      <c r="L36" s="150"/>
      <c r="M36" s="124"/>
      <c r="N36" s="124"/>
      <c r="O36" s="150"/>
      <c r="P36" s="150"/>
      <c r="Q36" s="96"/>
      <c r="R36" s="145"/>
      <c r="S36" s="58"/>
      <c r="U36" s="14">
        <v>236.96</v>
      </c>
      <c r="V36" s="15"/>
      <c r="W36" s="110"/>
      <c r="X36"/>
    </row>
    <row r="37" spans="1:99" ht="14.1" customHeight="1">
      <c r="A37" s="145"/>
      <c r="B37" s="139"/>
      <c r="C37" s="146"/>
      <c r="D37" s="147"/>
      <c r="E37" s="148"/>
      <c r="F37" s="145"/>
      <c r="G37" s="148"/>
      <c r="H37" s="148"/>
      <c r="I37" s="148"/>
      <c r="J37" s="149"/>
      <c r="K37" s="150"/>
      <c r="L37" s="150"/>
      <c r="M37" s="124"/>
      <c r="N37" s="124"/>
      <c r="O37" s="150"/>
      <c r="P37" s="150"/>
      <c r="Q37" s="96"/>
      <c r="R37" s="96"/>
      <c r="S37" s="58"/>
      <c r="T37" s="13">
        <v>235</v>
      </c>
      <c r="U37" s="14">
        <v>234.35</v>
      </c>
      <c r="V37" s="15"/>
      <c r="W37" s="15"/>
      <c r="X37" s="6"/>
    </row>
    <row r="38" spans="1:99" s="156" customFormat="1" ht="14.1" customHeight="1">
      <c r="A38" s="154"/>
      <c r="B38" s="139"/>
      <c r="C38" s="155"/>
      <c r="D38" s="139"/>
      <c r="E38" s="139"/>
      <c r="F38" s="139"/>
      <c r="G38" s="139"/>
      <c r="H38" s="139"/>
      <c r="I38" s="139"/>
      <c r="J38" s="124"/>
      <c r="K38" s="124"/>
      <c r="L38" s="124"/>
      <c r="M38" s="124"/>
      <c r="N38" s="124"/>
      <c r="O38" s="124"/>
      <c r="P38" s="124"/>
      <c r="Q38" s="155"/>
      <c r="R38" s="145"/>
      <c r="S38" s="58"/>
      <c r="T38" s="13"/>
      <c r="U38" s="14">
        <v>235.56</v>
      </c>
      <c r="V38" s="15"/>
      <c r="W38" s="15"/>
      <c r="X38" s="6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</row>
    <row r="39" spans="1:99" s="3" customFormat="1" ht="14.1" customHeight="1">
      <c r="A39" s="157"/>
      <c r="B39" s="158"/>
      <c r="C39" s="159"/>
      <c r="D39" s="160"/>
      <c r="E39" s="160"/>
      <c r="F39" s="161"/>
      <c r="G39" s="160"/>
      <c r="H39" s="148"/>
      <c r="I39" s="162"/>
      <c r="J39" s="163"/>
      <c r="K39" s="150"/>
      <c r="L39" s="155"/>
      <c r="M39" s="134"/>
      <c r="N39" s="155"/>
      <c r="O39" s="155"/>
      <c r="P39" s="155"/>
      <c r="Q39" s="58"/>
      <c r="R39" s="58"/>
      <c r="S39" s="58"/>
      <c r="T39" s="13">
        <v>240</v>
      </c>
      <c r="U39" s="14">
        <v>219.68</v>
      </c>
      <c r="V39" s="15"/>
      <c r="W39" s="15"/>
      <c r="X39" s="6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</row>
    <row r="40" spans="1:99" ht="14.1" customHeight="1">
      <c r="A40" s="164"/>
      <c r="B40" s="165"/>
      <c r="C40" s="164"/>
      <c r="D40" s="148"/>
      <c r="E40" s="164"/>
      <c r="F40" s="164"/>
      <c r="G40" s="96"/>
      <c r="H40" s="101"/>
      <c r="I40" s="58"/>
      <c r="J40" s="155"/>
      <c r="K40" s="166"/>
      <c r="L40" s="167"/>
      <c r="M40" s="168"/>
      <c r="N40" s="134"/>
      <c r="O40" s="169"/>
      <c r="P40" s="169"/>
      <c r="Q40" s="58"/>
      <c r="R40" s="58"/>
      <c r="S40" s="58"/>
      <c r="U40" s="14">
        <v>231.82</v>
      </c>
      <c r="V40" s="15"/>
      <c r="W40" s="15"/>
    </row>
    <row r="41" spans="1:99" ht="14.1" customHeight="1">
      <c r="A41" s="164"/>
      <c r="B41" s="170"/>
      <c r="C41" s="164"/>
      <c r="D41" s="171"/>
      <c r="E41" s="164"/>
      <c r="F41" s="164"/>
      <c r="G41" s="124"/>
      <c r="H41" s="58"/>
      <c r="I41" s="58"/>
      <c r="J41" s="170"/>
      <c r="K41" s="170"/>
      <c r="L41" s="96"/>
      <c r="M41" s="172"/>
      <c r="N41" s="160"/>
      <c r="O41" s="58"/>
      <c r="P41" s="58"/>
      <c r="Q41" s="58"/>
      <c r="R41" s="58"/>
      <c r="S41" s="58"/>
      <c r="U41" s="173"/>
      <c r="V41" s="174"/>
      <c r="W41" s="175"/>
    </row>
    <row r="42" spans="1:99" ht="14.1" customHeight="1">
      <c r="A42" s="3"/>
      <c r="B42" s="3"/>
      <c r="C42" s="3"/>
      <c r="D42" s="33"/>
      <c r="E42" s="3"/>
      <c r="F42" s="3"/>
      <c r="G42" s="19"/>
      <c r="H42" s="40"/>
      <c r="I42" s="40"/>
      <c r="J42" s="30"/>
      <c r="K42" s="30"/>
      <c r="L42" s="30"/>
      <c r="M42" s="30"/>
      <c r="N42" s="33"/>
      <c r="O42" s="33"/>
      <c r="P42" s="33"/>
      <c r="Q42" s="40"/>
      <c r="R42" s="40"/>
      <c r="U42" s="173"/>
      <c r="V42" s="174"/>
      <c r="W42" s="175"/>
    </row>
    <row r="43" spans="1:99" ht="14.1" customHeight="1">
      <c r="A43" s="30"/>
      <c r="B43" s="176"/>
      <c r="C43" s="3"/>
      <c r="D43" s="33"/>
      <c r="E43" s="177"/>
      <c r="F43" s="177"/>
      <c r="G43" s="33"/>
      <c r="H43" s="174"/>
      <c r="I43" s="40"/>
      <c r="J43" s="30"/>
      <c r="K43" s="30"/>
      <c r="L43" s="30"/>
      <c r="M43" s="33"/>
      <c r="N43" s="178"/>
      <c r="O43" s="33"/>
      <c r="P43" s="33"/>
      <c r="Q43" s="40"/>
      <c r="R43" s="40"/>
      <c r="U43" s="173"/>
      <c r="V43" s="174"/>
      <c r="W43" s="175"/>
    </row>
    <row r="44" spans="1:99" ht="14.1" customHeight="1">
      <c r="A44" s="3"/>
      <c r="B44" s="30"/>
      <c r="C44" s="3"/>
      <c r="D44" s="41"/>
      <c r="E44" s="42"/>
      <c r="F44" s="42"/>
      <c r="G44" s="19"/>
      <c r="H44" s="19"/>
      <c r="I44" s="30"/>
      <c r="J44" s="179"/>
      <c r="K44" s="179"/>
      <c r="L44" s="180"/>
      <c r="M44" s="39"/>
      <c r="N44" s="179"/>
      <c r="O44" s="180"/>
      <c r="P44" s="180"/>
      <c r="Q44" s="46"/>
      <c r="R44" s="46"/>
      <c r="U44" s="173"/>
      <c r="V44" s="174"/>
      <c r="W44" s="175"/>
    </row>
    <row r="45" spans="1:99" s="1" customFormat="1" ht="14.1" customHeight="1">
      <c r="A45" s="3"/>
      <c r="B45" s="181"/>
      <c r="C45" s="181"/>
      <c r="D45" s="25"/>
      <c r="E45" s="181"/>
      <c r="F45" s="181"/>
      <c r="G45" s="181"/>
      <c r="H45" s="95"/>
      <c r="I45" s="95"/>
      <c r="J45" s="182"/>
      <c r="K45" s="182"/>
      <c r="L45" s="182"/>
      <c r="M45" s="182"/>
      <c r="N45" s="182"/>
      <c r="O45" s="54"/>
      <c r="P45" s="54"/>
      <c r="Q45" s="55"/>
      <c r="R45" s="55"/>
      <c r="S45" s="13"/>
      <c r="T45" s="13"/>
      <c r="U45" s="173"/>
      <c r="V45" s="40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</row>
    <row r="46" spans="1:99" ht="14.1" customHeight="1">
      <c r="A46" s="70"/>
      <c r="B46" s="33"/>
      <c r="C46" s="36"/>
      <c r="D46" s="33"/>
      <c r="E46" s="33"/>
      <c r="F46" s="33"/>
      <c r="G46" s="33"/>
      <c r="H46" s="33"/>
      <c r="I46" s="33"/>
      <c r="J46" s="74"/>
      <c r="K46" s="74"/>
      <c r="L46" s="74"/>
      <c r="M46" s="30"/>
      <c r="N46" s="19"/>
      <c r="O46" s="74"/>
      <c r="P46" s="74"/>
      <c r="Q46" s="30"/>
      <c r="R46" s="30"/>
      <c r="U46" s="173"/>
    </row>
    <row r="47" spans="1:99" ht="14.1" customHeight="1">
      <c r="A47" s="70"/>
      <c r="B47" s="33"/>
      <c r="C47" s="36"/>
      <c r="D47" s="33"/>
      <c r="E47" s="33"/>
      <c r="F47" s="33"/>
      <c r="G47" s="33"/>
      <c r="H47" s="33"/>
      <c r="I47" s="33"/>
      <c r="J47" s="74"/>
      <c r="K47" s="74"/>
      <c r="L47" s="74"/>
      <c r="M47" s="30"/>
      <c r="N47" s="19"/>
      <c r="O47" s="74"/>
      <c r="P47" s="74"/>
      <c r="Q47" s="30"/>
      <c r="R47" s="30"/>
      <c r="T47" s="40"/>
      <c r="U47" s="173"/>
    </row>
    <row r="48" spans="1:99" s="80" customFormat="1" ht="14.1" customHeight="1">
      <c r="A48" s="183"/>
      <c r="B48" s="25"/>
      <c r="C48" s="184"/>
      <c r="D48" s="25"/>
      <c r="E48" s="25"/>
      <c r="F48" s="25"/>
      <c r="G48" s="25"/>
      <c r="H48" s="25"/>
      <c r="I48" s="25"/>
      <c r="J48" s="95"/>
      <c r="K48" s="95"/>
      <c r="L48" s="95"/>
      <c r="M48" s="95"/>
      <c r="N48" s="95"/>
      <c r="O48" s="95"/>
      <c r="P48" s="95"/>
      <c r="Q48" s="95"/>
      <c r="R48" s="95"/>
      <c r="S48" s="13"/>
      <c r="T48" s="40"/>
      <c r="U48" s="17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</row>
    <row r="49" spans="1:99" ht="14.1" customHeight="1">
      <c r="A49" s="30"/>
      <c r="B49" s="176"/>
      <c r="C49" s="185"/>
      <c r="D49" s="33"/>
      <c r="E49" s="40"/>
      <c r="F49" s="40"/>
      <c r="G49" s="40"/>
      <c r="H49" s="40"/>
      <c r="I49" s="40"/>
      <c r="J49" s="40"/>
      <c r="K49" s="40"/>
      <c r="L49" s="40"/>
      <c r="M49" s="30"/>
      <c r="N49" s="40"/>
      <c r="O49" s="40"/>
      <c r="P49" s="40"/>
      <c r="Q49" s="30"/>
      <c r="R49" s="30"/>
      <c r="T49" s="40"/>
      <c r="U49" s="173"/>
    </row>
    <row r="50" spans="1:99" ht="14.1" customHeight="1">
      <c r="A50" s="30"/>
      <c r="B50" s="176"/>
      <c r="C50" s="185"/>
      <c r="D50" s="33"/>
      <c r="E50" s="40"/>
      <c r="F50" s="40"/>
      <c r="G50" s="40"/>
      <c r="H50" s="40"/>
      <c r="I50" s="40"/>
      <c r="J50" s="40"/>
      <c r="K50" s="40"/>
      <c r="L50" s="40"/>
      <c r="M50" s="30"/>
      <c r="N50" s="40"/>
      <c r="O50" s="40"/>
      <c r="P50" s="40"/>
      <c r="Q50" s="30"/>
      <c r="R50" s="30"/>
      <c r="T50" s="40"/>
      <c r="U50" s="173"/>
    </row>
    <row r="51" spans="1:99" ht="14.1" customHeight="1">
      <c r="A51" s="30"/>
      <c r="B51" s="176"/>
      <c r="C51" s="185"/>
      <c r="D51" s="33"/>
      <c r="E51" s="40"/>
      <c r="F51" s="40"/>
      <c r="G51" s="40"/>
      <c r="H51" s="40"/>
      <c r="I51" s="40"/>
      <c r="J51" s="40"/>
      <c r="K51" s="40"/>
      <c r="L51" s="40"/>
      <c r="M51" s="19"/>
      <c r="N51" s="40"/>
      <c r="O51" s="40"/>
      <c r="P51" s="40"/>
      <c r="Q51" s="30"/>
      <c r="R51" s="30"/>
      <c r="T51" s="40"/>
      <c r="U51" s="173"/>
    </row>
    <row r="52" spans="1:99" ht="14.1" customHeight="1">
      <c r="A52" s="30"/>
      <c r="B52" s="176"/>
      <c r="C52" s="185"/>
      <c r="D52" s="33"/>
      <c r="E52" s="40"/>
      <c r="F52" s="40"/>
      <c r="G52" s="40"/>
      <c r="H52" s="40"/>
      <c r="I52" s="40"/>
      <c r="J52" s="40"/>
      <c r="K52" s="40"/>
      <c r="L52" s="40"/>
      <c r="M52" s="19"/>
      <c r="N52" s="40"/>
      <c r="O52" s="40"/>
      <c r="P52" s="40"/>
      <c r="Q52" s="30"/>
      <c r="R52" s="30"/>
      <c r="U52" s="173"/>
    </row>
    <row r="53" spans="1:99" ht="14.1" customHeight="1">
      <c r="A53" s="30"/>
      <c r="B53" s="176"/>
      <c r="C53" s="186"/>
      <c r="D53" s="33"/>
      <c r="E53" s="33"/>
      <c r="F53" s="33"/>
      <c r="G53" s="33"/>
      <c r="H53" s="33"/>
      <c r="I53" s="33"/>
      <c r="J53" s="187"/>
      <c r="K53" s="188"/>
      <c r="L53" s="40"/>
      <c r="M53" s="19"/>
      <c r="N53" s="40"/>
      <c r="O53" s="40"/>
      <c r="P53" s="40"/>
      <c r="Q53" s="30"/>
      <c r="R53" s="30"/>
      <c r="U53" s="173"/>
    </row>
    <row r="54" spans="1:99" ht="14.1" customHeight="1">
      <c r="A54" s="70"/>
      <c r="B54" s="189"/>
      <c r="C54" s="36"/>
      <c r="D54" s="33"/>
      <c r="E54" s="33"/>
      <c r="F54" s="33"/>
      <c r="G54" s="33"/>
      <c r="H54" s="33"/>
      <c r="I54" s="33"/>
      <c r="J54" s="132"/>
      <c r="K54" s="74"/>
      <c r="L54" s="74"/>
      <c r="M54" s="19"/>
      <c r="N54" s="19"/>
      <c r="O54" s="74"/>
      <c r="P54" s="74"/>
      <c r="Q54" s="30"/>
      <c r="R54" s="30"/>
      <c r="U54" s="173"/>
    </row>
    <row r="55" spans="1:99" ht="14.1" customHeight="1">
      <c r="A55" s="70"/>
      <c r="B55" s="189"/>
      <c r="C55" s="36"/>
      <c r="D55" s="33"/>
      <c r="E55" s="33"/>
      <c r="F55" s="33"/>
      <c r="G55" s="33"/>
      <c r="H55" s="33"/>
      <c r="I55" s="33"/>
      <c r="J55" s="132"/>
      <c r="K55" s="74"/>
      <c r="L55" s="74"/>
      <c r="M55" s="19"/>
      <c r="N55" s="19"/>
      <c r="O55" s="74"/>
      <c r="P55" s="74"/>
      <c r="Q55" s="30"/>
      <c r="R55" s="30"/>
      <c r="U55" s="173"/>
    </row>
    <row r="56" spans="1:99" s="30" customFormat="1" ht="14.1" customHeight="1">
      <c r="A56" s="70"/>
      <c r="B56" s="189"/>
      <c r="C56" s="36"/>
      <c r="D56" s="33"/>
      <c r="E56" s="33"/>
      <c r="F56" s="33"/>
      <c r="G56" s="33"/>
      <c r="H56" s="33"/>
      <c r="I56" s="33"/>
      <c r="J56" s="132"/>
      <c r="K56" s="74"/>
      <c r="L56" s="74"/>
      <c r="M56" s="19"/>
      <c r="N56" s="19"/>
      <c r="O56" s="74"/>
      <c r="P56" s="74"/>
      <c r="S56" s="13"/>
      <c r="T56" s="13"/>
      <c r="U56" s="17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</row>
    <row r="57" spans="1:99" ht="14.1" customHeight="1">
      <c r="A57" s="70"/>
      <c r="B57" s="189"/>
      <c r="C57" s="36"/>
      <c r="D57" s="33"/>
      <c r="E57" s="33"/>
      <c r="F57" s="33"/>
      <c r="G57" s="33"/>
      <c r="H57" s="33"/>
      <c r="I57" s="33"/>
      <c r="J57" s="132"/>
      <c r="K57" s="74"/>
      <c r="L57" s="74"/>
      <c r="M57" s="19"/>
      <c r="N57" s="19"/>
      <c r="O57" s="74"/>
      <c r="P57" s="74"/>
      <c r="Q57" s="30"/>
      <c r="R57" s="30"/>
      <c r="U57" s="173"/>
    </row>
    <row r="58" spans="1:99" ht="14.1" customHeight="1">
      <c r="A58" s="183"/>
      <c r="B58" s="25"/>
      <c r="C58" s="184"/>
      <c r="D58" s="25"/>
      <c r="E58" s="25"/>
      <c r="F58" s="25"/>
      <c r="G58" s="25"/>
      <c r="H58" s="25"/>
      <c r="I58" s="25"/>
      <c r="J58" s="95"/>
      <c r="K58" s="95"/>
      <c r="L58" s="95"/>
      <c r="M58" s="95"/>
      <c r="N58" s="95"/>
      <c r="O58" s="95"/>
      <c r="P58" s="95"/>
      <c r="Q58" s="95"/>
      <c r="R58" s="95"/>
      <c r="U58" s="173"/>
    </row>
    <row r="59" spans="1:99" s="115" customFormat="1" ht="14.1" customHeight="1">
      <c r="A59" s="40"/>
      <c r="B59" s="40"/>
      <c r="C59" s="40"/>
      <c r="D59" s="19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13"/>
      <c r="T59" s="13"/>
      <c r="U59" s="17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</row>
    <row r="60" spans="1:99" s="30" customFormat="1" ht="14.1" customHeight="1">
      <c r="A60" s="191"/>
      <c r="B60" s="40"/>
      <c r="C60" s="40"/>
      <c r="D60" s="19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13"/>
      <c r="T60" s="13"/>
      <c r="U60" s="17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</row>
    <row r="61" spans="1:99" ht="14.1" customHeight="1">
      <c r="A61" s="40"/>
      <c r="B61" s="40"/>
      <c r="C61" s="40"/>
      <c r="D61" s="19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U61" s="173"/>
    </row>
    <row r="62" spans="1:99" ht="14.1" customHeight="1">
      <c r="A62" s="40"/>
      <c r="B62" s="40"/>
      <c r="C62" s="40"/>
      <c r="D62" s="19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U62" s="173"/>
    </row>
    <row r="63" spans="1:99" ht="14.1" customHeight="1">
      <c r="A63" s="40"/>
      <c r="B63" s="40"/>
      <c r="C63" s="40"/>
      <c r="D63" s="19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U63" s="173"/>
    </row>
    <row r="64" spans="1:99" s="156" customFormat="1" ht="14.1" customHeight="1">
      <c r="A64" s="30"/>
      <c r="B64" s="189"/>
      <c r="C64" s="36"/>
      <c r="D64" s="33"/>
      <c r="E64" s="189"/>
      <c r="F64" s="189"/>
      <c r="G64" s="19"/>
      <c r="H64" s="30"/>
      <c r="I64" s="30"/>
      <c r="J64" s="30"/>
      <c r="K64" s="30"/>
      <c r="L64" s="30"/>
      <c r="M64" s="30"/>
      <c r="N64" s="19"/>
      <c r="O64" s="30"/>
      <c r="P64" s="30"/>
      <c r="Q64" s="40"/>
      <c r="R64" s="40"/>
      <c r="S64" s="13"/>
      <c r="T64" s="13"/>
      <c r="U64" s="17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</row>
    <row r="65" spans="1:21" s="13" customFormat="1" ht="14.1" customHeight="1">
      <c r="A65" s="30"/>
      <c r="B65" s="189"/>
      <c r="C65" s="36"/>
      <c r="D65" s="33"/>
      <c r="E65" s="189"/>
      <c r="F65" s="189"/>
      <c r="G65" s="19"/>
      <c r="H65" s="30"/>
      <c r="I65" s="30"/>
      <c r="J65" s="30"/>
      <c r="K65" s="30"/>
      <c r="L65" s="30"/>
      <c r="M65" s="30"/>
      <c r="N65" s="19"/>
      <c r="O65" s="30"/>
      <c r="P65" s="30"/>
      <c r="Q65" s="40"/>
      <c r="R65" s="40"/>
      <c r="U65" s="173"/>
    </row>
    <row r="66" spans="1:21" s="13" customFormat="1" ht="14.1" customHeight="1">
      <c r="A66" s="12"/>
      <c r="B66" s="192"/>
      <c r="C66" s="65"/>
      <c r="D66" s="66"/>
      <c r="E66" s="192"/>
      <c r="F66" s="192"/>
      <c r="G66" s="68"/>
      <c r="H66" s="12"/>
      <c r="I66" s="12"/>
      <c r="J66" s="12"/>
      <c r="K66" s="12"/>
      <c r="L66" s="12"/>
      <c r="M66" s="12"/>
      <c r="N66" s="68"/>
      <c r="O66" s="12"/>
      <c r="P66" s="12"/>
      <c r="U66" s="173"/>
    </row>
    <row r="67" spans="1:21" ht="14.1" customHeight="1">
      <c r="C67" s="65"/>
      <c r="U67" s="173"/>
    </row>
    <row r="68" spans="1:21" ht="14.1" customHeight="1">
      <c r="A68" s="13"/>
      <c r="B68" s="13"/>
      <c r="C68" s="13"/>
      <c r="D68" s="97"/>
      <c r="E68" s="13"/>
      <c r="F68" s="13"/>
      <c r="G68" s="13"/>
      <c r="H68" s="13"/>
      <c r="I68" s="13"/>
      <c r="J68" s="13"/>
      <c r="M68" s="13"/>
      <c r="N68" s="13"/>
      <c r="O68" s="13"/>
      <c r="P68" s="13"/>
      <c r="U68" s="173"/>
    </row>
    <row r="69" spans="1:21" ht="14.1" customHeight="1">
      <c r="A69" s="13"/>
      <c r="B69" s="13"/>
      <c r="C69" s="13"/>
      <c r="D69" s="97"/>
      <c r="E69" s="13"/>
      <c r="F69" s="13"/>
      <c r="G69" s="13"/>
      <c r="H69" s="13"/>
      <c r="I69" s="13"/>
      <c r="J69" s="13"/>
      <c r="M69" s="13"/>
      <c r="N69" s="13"/>
      <c r="O69" s="13"/>
      <c r="P69" s="13"/>
      <c r="U69" s="173"/>
    </row>
    <row r="70" spans="1:21" ht="14.1" customHeight="1">
      <c r="C70" s="65"/>
      <c r="U70" s="173"/>
    </row>
    <row r="71" spans="1:21" ht="14.1" customHeight="1">
      <c r="C71" s="65"/>
      <c r="Q71" s="13"/>
      <c r="R71" s="13"/>
    </row>
    <row r="72" spans="1:21" ht="14.1" customHeight="1">
      <c r="C72" s="65"/>
      <c r="Q72" s="13"/>
      <c r="R72" s="13"/>
    </row>
    <row r="73" spans="1:21" ht="14.1" customHeight="1">
      <c r="C73" s="65"/>
    </row>
    <row r="74" spans="1:21" ht="14.1" customHeight="1">
      <c r="C74" s="65"/>
    </row>
  </sheetData>
  <pageMargins left="0.75" right="0.5" top="1" bottom="0.5" header="0.5" footer="0.5"/>
  <pageSetup scale="70" orientation="landscape" r:id="rId1"/>
  <headerFooter alignWithMargins="0">
    <oddHeader>&amp;R&amp;D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202V3</vt:lpstr>
      <vt:lpstr>202V5</vt:lpstr>
      <vt:lpstr>203V3</vt:lpstr>
      <vt:lpstr>203V5</vt:lpstr>
      <vt:lpstr>204V3</vt:lpstr>
      <vt:lpstr>204V5</vt:lpstr>
      <vt:lpstr>209V3</vt:lpstr>
      <vt:lpstr>209V5</vt:lpstr>
      <vt:lpstr>210V3</vt:lpstr>
      <vt:lpstr>210V5</vt:lpstr>
      <vt:lpstr>214V3</vt:lpstr>
      <vt:lpstr>214V5</vt:lpstr>
      <vt:lpstr>217V3</vt:lpstr>
      <vt:lpstr>217V5</vt:lpstr>
      <vt:lpstr>218V3</vt:lpstr>
      <vt:lpstr>218V5</vt:lpstr>
      <vt:lpstr>220V3</vt:lpstr>
      <vt:lpstr>220V5</vt:lpstr>
      <vt:lpstr>222V3</vt:lpstr>
      <vt:lpstr>222V5</vt:lpstr>
      <vt:lpstr>223V3</vt:lpstr>
      <vt:lpstr>223V5</vt:lpstr>
      <vt:lpstr>225V3</vt:lpstr>
      <vt:lpstr>225V5</vt:lpstr>
      <vt:lpstr>GROUPED DATA</vt:lpstr>
      <vt:lpstr>TEMPLATE</vt:lpstr>
      <vt:lpstr>206V3</vt:lpstr>
      <vt:lpstr>215V3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DRUdocs</dc:creator>
  <cp:lastModifiedBy>Eric Baeuerle</cp:lastModifiedBy>
  <cp:lastPrinted>2018-08-01T18:52:56Z</cp:lastPrinted>
  <dcterms:created xsi:type="dcterms:W3CDTF">2016-10-20T12:42:47Z</dcterms:created>
  <dcterms:modified xsi:type="dcterms:W3CDTF">2021-03-31T00:04:09Z</dcterms:modified>
</cp:coreProperties>
</file>