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F-16-Aero-Database\TODatabase\"/>
    </mc:Choice>
  </mc:AlternateContent>
  <xr:revisionPtr revIDLastSave="0" documentId="13_ncr:1_{8873F1C3-0809-40D1-96E5-0083DCA3A90A}" xr6:coauthVersionLast="46" xr6:coauthVersionMax="46" xr10:uidLastSave="{00000000-0000-0000-0000-000000000000}"/>
  <bookViews>
    <workbookView xWindow="21210" yWindow="3975" windowWidth="14400" windowHeight="11745" activeTab="1" xr2:uid="{3E8F2039-709E-449F-8242-523A09CEFF71}"/>
  </bookViews>
  <sheets>
    <sheet name="General" sheetId="2" r:id="rId1"/>
    <sheet name="Main Wing" sheetId="1" r:id="rId2"/>
    <sheet name="Horizontal Tail" sheetId="3" r:id="rId3"/>
    <sheet name="Vertical Ta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  <c r="N25" i="1"/>
  <c r="N23" i="1"/>
  <c r="N22" i="1"/>
  <c r="N19" i="1"/>
  <c r="P5" i="2"/>
  <c r="N17" i="1"/>
  <c r="N24" i="1"/>
  <c r="N21" i="1"/>
  <c r="N11" i="1"/>
  <c r="N18" i="1"/>
  <c r="N20" i="1"/>
  <c r="N16" i="1"/>
  <c r="P4" i="2"/>
  <c r="N29" i="1"/>
  <c r="N27" i="1"/>
  <c r="N28" i="1"/>
  <c r="N13" i="1"/>
  <c r="N4" i="1"/>
  <c r="N3" i="1"/>
  <c r="N2" i="1"/>
  <c r="N30" i="1"/>
  <c r="N10" i="1"/>
  <c r="N9" i="1"/>
  <c r="N12" i="1"/>
  <c r="P3" i="2"/>
  <c r="P2" i="2"/>
  <c r="B13" i="1"/>
  <c r="H12" i="1" l="1"/>
  <c r="H7" i="1"/>
  <c r="H13" i="1"/>
  <c r="H6" i="1"/>
  <c r="I2" i="2"/>
  <c r="B15" i="2"/>
  <c r="B37" i="3"/>
  <c r="B6" i="2" l="1"/>
  <c r="B5" i="4"/>
  <c r="B27" i="4"/>
  <c r="B26" i="4"/>
  <c r="B25" i="4"/>
  <c r="B24" i="4"/>
  <c r="B21" i="4"/>
  <c r="C9" i="4"/>
  <c r="B20" i="4"/>
  <c r="B15" i="4"/>
  <c r="B14" i="4"/>
  <c r="B9" i="4"/>
  <c r="B8" i="4"/>
  <c r="B7" i="4" s="1"/>
  <c r="B2" i="4"/>
  <c r="B7" i="2"/>
  <c r="B20" i="3"/>
  <c r="B22" i="3" s="1"/>
  <c r="B14" i="3"/>
  <c r="B15" i="3" s="1"/>
  <c r="B26" i="3" s="1"/>
  <c r="B9" i="3"/>
  <c r="B8" i="3"/>
  <c r="B7" i="3" s="1"/>
  <c r="B5" i="3"/>
  <c r="B2" i="3"/>
  <c r="B23" i="1"/>
  <c r="B22" i="1"/>
  <c r="B21" i="1"/>
  <c r="B24" i="1" s="1"/>
  <c r="B20" i="1"/>
  <c r="B17" i="1"/>
  <c r="B16" i="1"/>
  <c r="B12" i="1"/>
  <c r="B29" i="1"/>
  <c r="B2" i="1"/>
  <c r="B25" i="1"/>
  <c r="B7" i="1"/>
  <c r="B19" i="1" s="1"/>
  <c r="B6" i="4" l="1"/>
  <c r="B32" i="4"/>
  <c r="B3" i="4"/>
  <c r="B4" i="4" s="1"/>
  <c r="B23" i="4"/>
  <c r="B16" i="4"/>
  <c r="B17" i="4" s="1"/>
  <c r="B22" i="4"/>
  <c r="B27" i="3"/>
  <c r="B21" i="3"/>
  <c r="B24" i="3"/>
  <c r="B25" i="3" s="1"/>
  <c r="B28" i="4"/>
  <c r="B16" i="3"/>
  <c r="B17" i="3" s="1"/>
  <c r="B6" i="3"/>
  <c r="B23" i="3"/>
  <c r="B13" i="3"/>
  <c r="B29" i="3"/>
  <c r="B28" i="3"/>
  <c r="B3" i="3"/>
  <c r="B4" i="3" s="1"/>
  <c r="B3" i="1"/>
  <c r="B4" i="1" s="1"/>
  <c r="B18" i="1"/>
  <c r="B33" i="4" l="1"/>
  <c r="B31" i="4"/>
  <c r="B33" i="3"/>
  <c r="B31" i="3"/>
  <c r="E13" i="3" s="1"/>
  <c r="B13" i="4"/>
  <c r="B29" i="4" l="1"/>
  <c r="B11" i="1"/>
</calcChain>
</file>

<file path=xl/sharedStrings.xml><?xml version="1.0" encoding="utf-8"?>
<sst xmlns="http://schemas.openxmlformats.org/spreadsheetml/2006/main" count="420" uniqueCount="83">
  <si>
    <t>Fox</t>
  </si>
  <si>
    <t>Property</t>
  </si>
  <si>
    <t>Source</t>
  </si>
  <si>
    <t>Mean Geometric Chord</t>
  </si>
  <si>
    <t>Mean Aerodynamic Chord</t>
  </si>
  <si>
    <t>Planform Area</t>
  </si>
  <si>
    <t>Span</t>
  </si>
  <si>
    <t>Aspect Ratio</t>
  </si>
  <si>
    <t>Taper Ratio</t>
  </si>
  <si>
    <t>Weight, lbf</t>
  </si>
  <si>
    <t>CG Reference Location, ft</t>
  </si>
  <si>
    <t>Stevens</t>
  </si>
  <si>
    <t>Scale</t>
  </si>
  <si>
    <t>-</t>
  </si>
  <si>
    <t>Calculated</t>
  </si>
  <si>
    <t>LE Sweep, deg</t>
  </si>
  <si>
    <t>TE Sweep, deg</t>
  </si>
  <si>
    <t>Airfoil</t>
  </si>
  <si>
    <t>NACA 64A204</t>
  </si>
  <si>
    <t>Pilot's Manual*</t>
  </si>
  <si>
    <t>Dihedral, deg</t>
  </si>
  <si>
    <t>Mounting Angle, deg</t>
  </si>
  <si>
    <t>Main Wing Root Chord</t>
  </si>
  <si>
    <t>Scale (in)</t>
  </si>
  <si>
    <t>x to LE of Root Section</t>
  </si>
  <si>
    <t>x to Root QC</t>
  </si>
  <si>
    <t>Main Wing Tip Chord</t>
  </si>
  <si>
    <t>Measured (Fox)</t>
  </si>
  <si>
    <t>x from CG to Root QC</t>
  </si>
  <si>
    <t>Semispan</t>
  </si>
  <si>
    <t>Reference Area, ft^2</t>
  </si>
  <si>
    <t>Value</t>
  </si>
  <si>
    <t>Reference Longitudinal Length (MW MAC), ft</t>
  </si>
  <si>
    <t>Reference Lateral Length (MW Span), ft</t>
  </si>
  <si>
    <t>Page/Slide</t>
  </si>
  <si>
    <t>Twist</t>
  </si>
  <si>
    <t>Estimated</t>
  </si>
  <si>
    <t>Assumption</t>
  </si>
  <si>
    <t>QC Sweep, deg</t>
  </si>
  <si>
    <t>Semispan w/o Fuselage, ft</t>
  </si>
  <si>
    <t>Semispan, ft</t>
  </si>
  <si>
    <t>Span, ft</t>
  </si>
  <si>
    <t>Planform Area, ft^2</t>
  </si>
  <si>
    <t>x from CG to Root QC, ft</t>
  </si>
  <si>
    <t>Twist, deg</t>
  </si>
  <si>
    <t>Mean Aerodynamic Chord, ft</t>
  </si>
  <si>
    <t>Horizontal Tail Mean Geometric Chord, ft</t>
  </si>
  <si>
    <t>Root Chord, ft</t>
  </si>
  <si>
    <t>Tip Chord, ft</t>
  </si>
  <si>
    <t>Chord Transition Spanwise Station, ft</t>
  </si>
  <si>
    <t>Chord Transition Span Fraction</t>
  </si>
  <si>
    <t>NACA 0005</t>
  </si>
  <si>
    <t>Control Surface Start Spanwise Station, ft</t>
  </si>
  <si>
    <t>Control Surface End Spanwise Station, ft</t>
  </si>
  <si>
    <t>Control Surface Start Span Fraction</t>
  </si>
  <si>
    <t>Control Surface End Span Fraction</t>
  </si>
  <si>
    <t>Control Surface Start Wing Chord, ft</t>
  </si>
  <si>
    <t>Control Surface Start Chord, ft</t>
  </si>
  <si>
    <t>Control Surface End Wing Chord, ft</t>
  </si>
  <si>
    <t>Control Surface End Chord, ft</t>
  </si>
  <si>
    <t>Control Surface Start Chord Fraction</t>
  </si>
  <si>
    <t>Control Surface End Chord Fraction</t>
  </si>
  <si>
    <t>x from Nose to LE of Root Section, ft</t>
  </si>
  <si>
    <t>x from Nose to Root QC, ft</t>
  </si>
  <si>
    <t>z from CG to Root Section, ft</t>
  </si>
  <si>
    <t>Total Length Including Sting (Reference), ft</t>
  </si>
  <si>
    <t>NACA 0004</t>
  </si>
  <si>
    <t>Differential Deflection Limits, deg</t>
  </si>
  <si>
    <t>Nguyen</t>
  </si>
  <si>
    <t>Aileron Deflection Limits, deg</t>
  </si>
  <si>
    <t>Differential Mixing Coefficient</t>
  </si>
  <si>
    <t>Reference Length, ft</t>
  </si>
  <si>
    <t>Conversions</t>
  </si>
  <si>
    <t>ft to m</t>
  </si>
  <si>
    <t>m to ft</t>
  </si>
  <si>
    <t>Lockheed</t>
  </si>
  <si>
    <t>Measured (Lockheed)</t>
  </si>
  <si>
    <t>Manual</t>
  </si>
  <si>
    <t>Measured(Manual)</t>
  </si>
  <si>
    <t>Horizontal Tail Span (Reference Lat), ft</t>
  </si>
  <si>
    <t>Mean Aerodynamic Chord (Reference Long), ft</t>
  </si>
  <si>
    <t>Diff (Fox)</t>
  </si>
  <si>
    <t>Diff (Lockheed)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</si>
</sst>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2E2A-D30F-43EF-A94C-834989349B33}">
  <dimension ref="A1:S16"/>
  <sheetViews>
    <sheetView topLeftCell="K1" workbookViewId="0">
      <selection activeCell="R5" sqref="R5"/>
    </sheetView>
  </sheetViews>
  <sheetFormatPr defaultRowHeight="15" x14ac:dyDescent="0.25"/>
  <cols>
    <col min="1" max="1" width="41.85546875" bestFit="1" customWidth="1"/>
    <col min="2" max="3" width="12.7109375" customWidth="1"/>
    <col min="4" max="4" width="15" bestFit="1" customWidth="1"/>
    <col min="5" max="5" width="10.5703125" bestFit="1" customWidth="1"/>
    <col min="8" max="8" width="19.28515625" bestFit="1" customWidth="1"/>
    <col min="9" max="11" width="12.5703125" customWidth="1"/>
    <col min="12" max="12" width="10.5703125" bestFit="1" customWidth="1"/>
    <col min="15" max="15" width="43.140625" bestFit="1" customWidth="1"/>
    <col min="16" max="16" width="12" bestFit="1" customWidth="1"/>
    <col min="17" max="17" width="5.5703125" bestFit="1" customWidth="1"/>
    <col min="18" max="18" width="18.140625" bestFit="1" customWidth="1"/>
    <col min="19" max="19" width="10.5703125" bestFit="1" customWidth="1"/>
  </cols>
  <sheetData>
    <row r="1" spans="1:19" x14ac:dyDescent="0.25">
      <c r="A1" s="1" t="s">
        <v>1</v>
      </c>
      <c r="B1" s="1" t="s">
        <v>31</v>
      </c>
      <c r="C1" s="1" t="s">
        <v>12</v>
      </c>
      <c r="D1" s="1" t="s">
        <v>2</v>
      </c>
      <c r="E1" s="1" t="s">
        <v>34</v>
      </c>
      <c r="H1" s="1" t="s">
        <v>1</v>
      </c>
      <c r="I1" s="1" t="s">
        <v>31</v>
      </c>
      <c r="J1" s="1" t="s">
        <v>12</v>
      </c>
      <c r="K1" s="1" t="s">
        <v>2</v>
      </c>
      <c r="L1" s="1" t="s">
        <v>34</v>
      </c>
      <c r="O1" s="1" t="s">
        <v>1</v>
      </c>
      <c r="P1" s="1" t="s">
        <v>31</v>
      </c>
      <c r="Q1" s="1" t="s">
        <v>12</v>
      </c>
      <c r="R1" s="1" t="s">
        <v>2</v>
      </c>
      <c r="S1" s="1" t="s">
        <v>34</v>
      </c>
    </row>
    <row r="2" spans="1:19" x14ac:dyDescent="0.25">
      <c r="A2" s="8" t="s">
        <v>9</v>
      </c>
      <c r="B2" s="7">
        <v>20500</v>
      </c>
      <c r="C2" s="5" t="s">
        <v>13</v>
      </c>
      <c r="D2" s="5" t="s">
        <v>11</v>
      </c>
      <c r="H2" s="2" t="s">
        <v>71</v>
      </c>
      <c r="I2" s="5">
        <f>5*B16</f>
        <v>16.404199999999999</v>
      </c>
      <c r="J2" s="5">
        <v>1.95</v>
      </c>
      <c r="K2" s="5" t="s">
        <v>75</v>
      </c>
      <c r="O2" s="2" t="s">
        <v>65</v>
      </c>
      <c r="P2" s="5">
        <f>49+5.2/12</f>
        <v>49.43333333333333</v>
      </c>
      <c r="Q2" s="5">
        <v>9.61</v>
      </c>
      <c r="R2" s="5" t="s">
        <v>77</v>
      </c>
    </row>
    <row r="3" spans="1:19" x14ac:dyDescent="0.25">
      <c r="A3" s="8" t="s">
        <v>30</v>
      </c>
      <c r="B3" s="5">
        <v>300</v>
      </c>
      <c r="C3" s="5" t="s">
        <v>13</v>
      </c>
      <c r="D3" s="5" t="s">
        <v>0</v>
      </c>
      <c r="O3" s="2" t="s">
        <v>10</v>
      </c>
      <c r="P3">
        <f>P2/Q2*Q3 - 22.2/12</f>
        <v>27.727696843565727</v>
      </c>
      <c r="Q3">
        <v>5.75</v>
      </c>
      <c r="R3" t="s">
        <v>77</v>
      </c>
    </row>
    <row r="4" spans="1:19" x14ac:dyDescent="0.25">
      <c r="A4" s="9" t="s">
        <v>32</v>
      </c>
      <c r="B4" s="5">
        <v>11.32</v>
      </c>
      <c r="C4" s="5">
        <v>2.5</v>
      </c>
      <c r="D4" s="5" t="s">
        <v>0</v>
      </c>
      <c r="O4" s="2" t="s">
        <v>79</v>
      </c>
      <c r="P4">
        <f>18+4.2/12</f>
        <v>18.350000000000001</v>
      </c>
      <c r="Q4">
        <v>3.5</v>
      </c>
      <c r="R4" t="s">
        <v>78</v>
      </c>
    </row>
    <row r="5" spans="1:19" x14ac:dyDescent="0.25">
      <c r="A5" s="8" t="s">
        <v>33</v>
      </c>
      <c r="B5" s="5">
        <v>30</v>
      </c>
      <c r="C5" s="5" t="s">
        <v>13</v>
      </c>
      <c r="D5" s="5" t="s">
        <v>0</v>
      </c>
      <c r="O5" s="2" t="s">
        <v>80</v>
      </c>
      <c r="P5" s="12">
        <f>135.84/12</f>
        <v>11.32</v>
      </c>
      <c r="Q5" s="14">
        <v>2.17</v>
      </c>
      <c r="R5" t="s">
        <v>78</v>
      </c>
    </row>
    <row r="6" spans="1:19" x14ac:dyDescent="0.25">
      <c r="A6" s="2" t="s">
        <v>10</v>
      </c>
      <c r="B6" s="5">
        <f>B4/C4*C6</f>
        <v>26.941600000000005</v>
      </c>
      <c r="C6" s="5">
        <v>5.95</v>
      </c>
      <c r="D6" s="5" t="s">
        <v>27</v>
      </c>
    </row>
    <row r="7" spans="1:19" x14ac:dyDescent="0.25">
      <c r="A7" s="2" t="s">
        <v>65</v>
      </c>
      <c r="B7" s="5">
        <f>39.47*15/12</f>
        <v>49.337499999999999</v>
      </c>
      <c r="C7" s="5">
        <v>12.27</v>
      </c>
      <c r="D7" s="5" t="s">
        <v>0</v>
      </c>
    </row>
    <row r="14" spans="1:19" x14ac:dyDescent="0.25">
      <c r="A14" s="15" t="s">
        <v>72</v>
      </c>
    </row>
    <row r="15" spans="1:19" x14ac:dyDescent="0.25">
      <c r="A15" t="s">
        <v>73</v>
      </c>
      <c r="B15">
        <f>1/B16</f>
        <v>0.30479999024640031</v>
      </c>
    </row>
    <row r="16" spans="1:19" x14ac:dyDescent="0.25">
      <c r="A16" t="s">
        <v>74</v>
      </c>
      <c r="B16">
        <v>3.28084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CD00-6B66-4330-AB34-9A8ADBDB78E3}">
  <dimension ref="A1:R38"/>
  <sheetViews>
    <sheetView tabSelected="1" topLeftCell="J1" zoomScale="85" zoomScaleNormal="85" workbookViewId="0">
      <selection activeCell="R12" sqref="R12"/>
    </sheetView>
  </sheetViews>
  <sheetFormatPr defaultRowHeight="15" x14ac:dyDescent="0.25"/>
  <cols>
    <col min="1" max="1" width="38.140625" bestFit="1" customWidth="1"/>
    <col min="2" max="2" width="12.85546875" style="12" bestFit="1" customWidth="1"/>
    <col min="3" max="3" width="12.42578125" style="5" customWidth="1"/>
    <col min="4" max="4" width="27.7109375" style="5" customWidth="1"/>
    <col min="7" max="7" width="38.140625" bestFit="1" customWidth="1"/>
    <col min="8" max="9" width="15.5703125" customWidth="1"/>
    <col min="10" max="10" width="20.42578125" bestFit="1" customWidth="1"/>
    <col min="13" max="13" width="38.140625" bestFit="1" customWidth="1"/>
    <col min="14" max="14" width="12.85546875" bestFit="1" customWidth="1"/>
    <col min="16" max="16" width="20.85546875" customWidth="1"/>
    <col min="17" max="17" width="9.28515625" bestFit="1" customWidth="1"/>
    <col min="18" max="18" width="14.7109375" bestFit="1" customWidth="1"/>
  </cols>
  <sheetData>
    <row r="1" spans="1:18" x14ac:dyDescent="0.25">
      <c r="A1" s="1" t="s">
        <v>1</v>
      </c>
      <c r="B1" s="11" t="s">
        <v>31</v>
      </c>
      <c r="C1" s="1" t="s">
        <v>23</v>
      </c>
      <c r="D1" s="1" t="s">
        <v>2</v>
      </c>
      <c r="F1" s="4"/>
      <c r="G1" s="1" t="s">
        <v>1</v>
      </c>
      <c r="H1" s="11" t="s">
        <v>31</v>
      </c>
      <c r="I1" s="1" t="s">
        <v>23</v>
      </c>
      <c r="J1" s="1" t="s">
        <v>2</v>
      </c>
      <c r="M1" s="1" t="s">
        <v>1</v>
      </c>
      <c r="N1" s="11" t="s">
        <v>31</v>
      </c>
      <c r="O1" s="1" t="s">
        <v>23</v>
      </c>
      <c r="P1" s="1" t="s">
        <v>2</v>
      </c>
      <c r="Q1" s="1" t="s">
        <v>81</v>
      </c>
      <c r="R1" s="1" t="s">
        <v>82</v>
      </c>
    </row>
    <row r="2" spans="1:18" x14ac:dyDescent="0.25">
      <c r="A2" s="3" t="s">
        <v>24</v>
      </c>
      <c r="B2" s="12">
        <f>$B$30/$C$30*C2</f>
        <v>18.021440000000002</v>
      </c>
      <c r="C2" s="14">
        <v>3.98</v>
      </c>
      <c r="D2" s="5" t="s">
        <v>27</v>
      </c>
      <c r="G2" s="3" t="s">
        <v>24</v>
      </c>
      <c r="H2" s="12"/>
      <c r="I2" s="14"/>
      <c r="J2" s="5"/>
      <c r="M2" s="3" t="s">
        <v>24</v>
      </c>
      <c r="N2" s="12">
        <f>$N$30/$O$30*O2</f>
        <v>18.101566820276499</v>
      </c>
      <c r="O2" s="14">
        <v>3.47</v>
      </c>
      <c r="P2" s="5" t="s">
        <v>78</v>
      </c>
      <c r="Q2" s="16">
        <f>N2-B2</f>
        <v>8.0126820276497313E-2</v>
      </c>
      <c r="R2" s="16">
        <f>N2-H2</f>
        <v>18.101566820276499</v>
      </c>
    </row>
    <row r="3" spans="1:18" x14ac:dyDescent="0.25">
      <c r="A3" s="3" t="s">
        <v>25</v>
      </c>
      <c r="B3" s="12">
        <f>B2+B12/4</f>
        <v>22.074000000000002</v>
      </c>
      <c r="C3" s="14" t="s">
        <v>13</v>
      </c>
      <c r="D3" s="5" t="s">
        <v>14</v>
      </c>
      <c r="G3" s="3" t="s">
        <v>25</v>
      </c>
      <c r="H3" s="12"/>
      <c r="I3" s="14"/>
      <c r="J3" s="5"/>
      <c r="M3" s="3" t="s">
        <v>25</v>
      </c>
      <c r="N3" s="12">
        <f>N2+N12/4</f>
        <v>22.174900153609833</v>
      </c>
      <c r="O3" s="14"/>
      <c r="P3" s="5" t="s">
        <v>14</v>
      </c>
      <c r="Q3" s="16">
        <f t="shared" ref="Q3:Q30" si="0">N3-B3</f>
        <v>0.10090015360983173</v>
      </c>
      <c r="R3" s="16">
        <f t="shared" ref="R3:R30" si="1">N3-H3</f>
        <v>22.174900153609833</v>
      </c>
    </row>
    <row r="4" spans="1:18" x14ac:dyDescent="0.25">
      <c r="A4" s="6" t="s">
        <v>28</v>
      </c>
      <c r="B4" s="12">
        <f>General!B6-'Main Wing'!B3</f>
        <v>4.867600000000003</v>
      </c>
      <c r="C4" s="14" t="s">
        <v>13</v>
      </c>
      <c r="D4" s="5" t="s">
        <v>14</v>
      </c>
      <c r="G4" s="6" t="s">
        <v>28</v>
      </c>
      <c r="H4" s="12"/>
      <c r="I4" s="14"/>
      <c r="J4" s="5"/>
      <c r="M4" s="6" t="s">
        <v>28</v>
      </c>
      <c r="N4" s="12">
        <f>General!P3-'Main Wing'!N3</f>
        <v>5.552796689955894</v>
      </c>
      <c r="O4" s="14"/>
      <c r="P4" s="5" t="s">
        <v>14</v>
      </c>
      <c r="Q4" s="16">
        <f t="shared" si="0"/>
        <v>0.685196689955891</v>
      </c>
      <c r="R4" s="16">
        <f t="shared" si="1"/>
        <v>5.552796689955894</v>
      </c>
    </row>
    <row r="5" spans="1:18" x14ac:dyDescent="0.25">
      <c r="A5" s="10" t="s">
        <v>5</v>
      </c>
      <c r="B5" s="12">
        <v>300</v>
      </c>
      <c r="C5" s="14" t="s">
        <v>13</v>
      </c>
      <c r="D5" s="5" t="s">
        <v>0</v>
      </c>
      <c r="G5" s="10" t="s">
        <v>5</v>
      </c>
      <c r="H5" s="12"/>
      <c r="I5" s="14"/>
      <c r="J5" s="5"/>
      <c r="M5" s="10" t="s">
        <v>5</v>
      </c>
      <c r="N5" s="12">
        <v>300</v>
      </c>
      <c r="O5" s="14"/>
      <c r="P5" s="5" t="s">
        <v>77</v>
      </c>
      <c r="Q5" s="16">
        <f t="shared" si="0"/>
        <v>0</v>
      </c>
      <c r="R5" s="16">
        <f t="shared" si="1"/>
        <v>300</v>
      </c>
    </row>
    <row r="6" spans="1:18" x14ac:dyDescent="0.25">
      <c r="A6" s="10" t="s">
        <v>6</v>
      </c>
      <c r="B6" s="12">
        <v>30</v>
      </c>
      <c r="C6" s="14" t="s">
        <v>13</v>
      </c>
      <c r="D6" s="5" t="s">
        <v>0</v>
      </c>
      <c r="G6" s="10" t="s">
        <v>6</v>
      </c>
      <c r="H6" s="12">
        <f>General!$I$2/General!$J$2*'Main Wing'!I6</f>
        <v>30.621173333333335</v>
      </c>
      <c r="I6" s="14">
        <v>3.64</v>
      </c>
      <c r="J6" s="5" t="s">
        <v>76</v>
      </c>
      <c r="M6" s="10" t="s">
        <v>6</v>
      </c>
      <c r="N6" s="12">
        <v>30</v>
      </c>
      <c r="O6" s="14"/>
      <c r="P6" s="5" t="s">
        <v>77</v>
      </c>
      <c r="Q6" s="16">
        <f t="shared" si="0"/>
        <v>0</v>
      </c>
      <c r="R6" s="16">
        <f t="shared" si="1"/>
        <v>-0.62117333333333491</v>
      </c>
    </row>
    <row r="7" spans="1:18" x14ac:dyDescent="0.25">
      <c r="A7" s="6" t="s">
        <v>29</v>
      </c>
      <c r="B7" s="12">
        <f>B6/2</f>
        <v>15</v>
      </c>
      <c r="C7" s="14" t="s">
        <v>13</v>
      </c>
      <c r="D7" s="5" t="s">
        <v>14</v>
      </c>
      <c r="G7" s="6" t="s">
        <v>29</v>
      </c>
      <c r="H7" s="12">
        <f>General!$I$2/General!$J$2*'Main Wing'!I7</f>
        <v>15.39471076923077</v>
      </c>
      <c r="I7" s="14">
        <v>1.83</v>
      </c>
      <c r="J7" s="5" t="s">
        <v>76</v>
      </c>
      <c r="M7" s="6" t="s">
        <v>29</v>
      </c>
      <c r="N7" s="12">
        <v>15</v>
      </c>
      <c r="O7" s="14"/>
      <c r="P7" s="5" t="s">
        <v>77</v>
      </c>
      <c r="Q7" s="16">
        <f t="shared" si="0"/>
        <v>0</v>
      </c>
      <c r="R7" s="16">
        <f t="shared" si="1"/>
        <v>-0.39471076923076964</v>
      </c>
    </row>
    <row r="8" spans="1:18" x14ac:dyDescent="0.25">
      <c r="A8" s="8" t="s">
        <v>35</v>
      </c>
      <c r="B8" s="12">
        <v>0</v>
      </c>
      <c r="C8" s="14" t="s">
        <v>13</v>
      </c>
      <c r="D8" s="5" t="s">
        <v>37</v>
      </c>
      <c r="G8" s="8" t="s">
        <v>35</v>
      </c>
      <c r="H8" s="12"/>
      <c r="I8" s="14"/>
      <c r="J8" s="5"/>
      <c r="M8" s="8" t="s">
        <v>35</v>
      </c>
      <c r="N8" s="12">
        <v>0</v>
      </c>
      <c r="O8" s="14"/>
      <c r="P8" s="5" t="s">
        <v>77</v>
      </c>
      <c r="Q8" s="16">
        <f t="shared" si="0"/>
        <v>0</v>
      </c>
      <c r="R8" s="16">
        <f t="shared" si="1"/>
        <v>0</v>
      </c>
    </row>
    <row r="9" spans="1:18" x14ac:dyDescent="0.25">
      <c r="A9" s="3" t="s">
        <v>15</v>
      </c>
      <c r="B9" s="12">
        <v>40</v>
      </c>
      <c r="C9" s="14" t="s">
        <v>13</v>
      </c>
      <c r="D9" s="5" t="s">
        <v>0</v>
      </c>
      <c r="G9" s="3" t="s">
        <v>15</v>
      </c>
      <c r="H9" s="12"/>
      <c r="I9" s="14"/>
      <c r="J9" s="5"/>
      <c r="M9" s="3" t="s">
        <v>15</v>
      </c>
      <c r="N9" s="12">
        <f>40</f>
        <v>40</v>
      </c>
      <c r="O9" s="14"/>
      <c r="P9" s="5" t="s">
        <v>77</v>
      </c>
      <c r="Q9" s="16">
        <f t="shared" si="0"/>
        <v>0</v>
      </c>
      <c r="R9" s="16">
        <f t="shared" si="1"/>
        <v>40</v>
      </c>
    </row>
    <row r="10" spans="1:18" x14ac:dyDescent="0.25">
      <c r="A10" s="3" t="s">
        <v>16</v>
      </c>
      <c r="B10" s="12">
        <v>0</v>
      </c>
      <c r="C10" s="14" t="s">
        <v>13</v>
      </c>
      <c r="D10" s="5" t="s">
        <v>0</v>
      </c>
      <c r="G10" s="3" t="s">
        <v>16</v>
      </c>
      <c r="H10" s="12"/>
      <c r="I10" s="14"/>
      <c r="J10" s="5"/>
      <c r="M10" s="3" t="s">
        <v>16</v>
      </c>
      <c r="N10" s="12">
        <f>0</f>
        <v>0</v>
      </c>
      <c r="O10" s="14"/>
      <c r="P10" s="5" t="s">
        <v>77</v>
      </c>
      <c r="Q10" s="16">
        <f t="shared" si="0"/>
        <v>0</v>
      </c>
      <c r="R10" s="16">
        <f t="shared" si="1"/>
        <v>0</v>
      </c>
    </row>
    <row r="11" spans="1:18" x14ac:dyDescent="0.25">
      <c r="A11" s="8" t="s">
        <v>38</v>
      </c>
      <c r="B11" s="12">
        <f>ATAN((3*B12/4 -3*B13/4)/B7)*180/PI()</f>
        <v>32.051527019186473</v>
      </c>
      <c r="C11" s="14" t="s">
        <v>13</v>
      </c>
      <c r="D11" s="5" t="s">
        <v>14</v>
      </c>
      <c r="G11" s="8" t="s">
        <v>38</v>
      </c>
      <c r="H11" s="12"/>
      <c r="I11" s="14"/>
      <c r="J11" s="5"/>
      <c r="M11" s="8" t="s">
        <v>38</v>
      </c>
      <c r="N11" s="12">
        <f>ATAN((3*N12/4 -3*N13/4)/N7)*180/PI()</f>
        <v>32.193834354237858</v>
      </c>
      <c r="O11" s="14"/>
      <c r="P11" s="5" t="s">
        <v>14</v>
      </c>
      <c r="Q11" s="16">
        <f t="shared" si="0"/>
        <v>0.1423073350513846</v>
      </c>
      <c r="R11" s="16">
        <f t="shared" si="1"/>
        <v>32.193834354237858</v>
      </c>
    </row>
    <row r="12" spans="1:18" x14ac:dyDescent="0.25">
      <c r="A12" s="6" t="s">
        <v>22</v>
      </c>
      <c r="B12" s="12">
        <f>$B$30/$C$30*C12</f>
        <v>16.210240000000002</v>
      </c>
      <c r="C12" s="14">
        <v>3.58</v>
      </c>
      <c r="D12" s="5" t="s">
        <v>27</v>
      </c>
      <c r="G12" s="6" t="s">
        <v>22</v>
      </c>
      <c r="H12" s="12">
        <f>General!$I$2/General!$J$2*'Main Wing'!I12</f>
        <v>16.404199999999999</v>
      </c>
      <c r="I12" s="14">
        <v>1.95</v>
      </c>
      <c r="J12" s="5"/>
      <c r="M12" s="6" t="s">
        <v>22</v>
      </c>
      <c r="N12" s="12">
        <f>195.52/12</f>
        <v>16.293333333333333</v>
      </c>
      <c r="O12" s="14"/>
      <c r="P12" s="5" t="s">
        <v>77</v>
      </c>
      <c r="Q12" s="16">
        <f t="shared" si="0"/>
        <v>8.3093333333330577E-2</v>
      </c>
      <c r="R12" s="16">
        <f t="shared" si="1"/>
        <v>-0.11086666666666645</v>
      </c>
    </row>
    <row r="13" spans="1:18" x14ac:dyDescent="0.25">
      <c r="A13" s="6" t="s">
        <v>26</v>
      </c>
      <c r="B13" s="12">
        <f>B12*B28</f>
        <v>3.6878296000000006</v>
      </c>
      <c r="C13" s="14">
        <v>0.81</v>
      </c>
      <c r="D13" s="5" t="s">
        <v>14</v>
      </c>
      <c r="G13" s="6" t="s">
        <v>26</v>
      </c>
      <c r="H13" s="12">
        <f>General!$I$2/General!$J$2*'Main Wing'!I13</f>
        <v>3.7855846153846153</v>
      </c>
      <c r="I13" s="14">
        <v>0.45</v>
      </c>
      <c r="J13" s="5"/>
      <c r="M13" s="6" t="s">
        <v>26</v>
      </c>
      <c r="N13" s="12">
        <f>44.42/12</f>
        <v>3.7016666666666667</v>
      </c>
      <c r="O13" s="14"/>
      <c r="P13" s="5" t="s">
        <v>77</v>
      </c>
      <c r="Q13" s="16">
        <f t="shared" si="0"/>
        <v>1.3837066666666065E-2</v>
      </c>
      <c r="R13" s="16">
        <f t="shared" si="1"/>
        <v>-8.3917948717948665E-2</v>
      </c>
    </row>
    <row r="14" spans="1:18" x14ac:dyDescent="0.25">
      <c r="A14" s="6" t="s">
        <v>20</v>
      </c>
      <c r="B14" s="12">
        <v>0</v>
      </c>
      <c r="C14" s="14" t="s">
        <v>13</v>
      </c>
      <c r="D14" s="5" t="s">
        <v>19</v>
      </c>
      <c r="G14" s="6" t="s">
        <v>20</v>
      </c>
      <c r="H14" s="12"/>
      <c r="I14" s="14"/>
      <c r="J14" s="5"/>
      <c r="M14" s="6" t="s">
        <v>20</v>
      </c>
      <c r="N14" s="12">
        <v>0</v>
      </c>
      <c r="O14" s="14"/>
      <c r="P14" s="5" t="s">
        <v>77</v>
      </c>
      <c r="Q14" s="16">
        <f t="shared" si="0"/>
        <v>0</v>
      </c>
      <c r="R14" s="16">
        <f t="shared" si="1"/>
        <v>0</v>
      </c>
    </row>
    <row r="15" spans="1:18" x14ac:dyDescent="0.25">
      <c r="A15" s="6" t="s">
        <v>17</v>
      </c>
      <c r="B15" s="13" t="s">
        <v>18</v>
      </c>
      <c r="C15" s="14" t="s">
        <v>13</v>
      </c>
      <c r="D15" s="5" t="s">
        <v>0</v>
      </c>
      <c r="G15" s="6" t="s">
        <v>17</v>
      </c>
      <c r="H15" s="13"/>
      <c r="I15" s="14"/>
      <c r="J15" s="5"/>
      <c r="M15" s="6" t="s">
        <v>17</v>
      </c>
      <c r="N15" s="13" t="s">
        <v>18</v>
      </c>
      <c r="O15" s="14"/>
      <c r="P15" s="5" t="s">
        <v>77</v>
      </c>
      <c r="Q15" s="16"/>
      <c r="R15" s="16"/>
    </row>
    <row r="16" spans="1:18" x14ac:dyDescent="0.25">
      <c r="A16" s="3" t="s">
        <v>52</v>
      </c>
      <c r="B16" s="12">
        <f>$B$30/$C$30*C16</f>
        <v>3.4865600000000003</v>
      </c>
      <c r="C16" s="14">
        <v>0.77</v>
      </c>
      <c r="D16" s="5" t="s">
        <v>27</v>
      </c>
      <c r="G16" s="3" t="s">
        <v>52</v>
      </c>
      <c r="H16" s="12"/>
      <c r="I16" s="14"/>
      <c r="J16" s="5"/>
      <c r="M16" s="3" t="s">
        <v>52</v>
      </c>
      <c r="N16" s="12">
        <f>General!$P$4/General!$Q$4*'Main Wing'!O16</f>
        <v>3.5127142857142859</v>
      </c>
      <c r="O16" s="14">
        <v>0.67</v>
      </c>
      <c r="P16" s="5" t="s">
        <v>78</v>
      </c>
      <c r="Q16" s="16">
        <f t="shared" si="0"/>
        <v>2.6154285714285574E-2</v>
      </c>
      <c r="R16" s="16">
        <f t="shared" si="1"/>
        <v>3.5127142857142859</v>
      </c>
    </row>
    <row r="17" spans="1:18" x14ac:dyDescent="0.25">
      <c r="A17" s="3" t="s">
        <v>53</v>
      </c>
      <c r="B17" s="12">
        <f>$B$30/$C$30*C17</f>
        <v>11.13888</v>
      </c>
      <c r="C17" s="14">
        <v>2.46</v>
      </c>
      <c r="D17" s="5" t="s">
        <v>27</v>
      </c>
      <c r="G17" s="3" t="s">
        <v>53</v>
      </c>
      <c r="H17" s="12"/>
      <c r="I17" s="14"/>
      <c r="J17" s="5"/>
      <c r="M17" s="3" t="s">
        <v>53</v>
      </c>
      <c r="N17" s="12">
        <f>General!$P$4/General!$Q$4*'Main Wing'!O17</f>
        <v>11.639142857142858</v>
      </c>
      <c r="O17" s="14">
        <v>2.2200000000000002</v>
      </c>
      <c r="P17" s="5" t="s">
        <v>78</v>
      </c>
      <c r="Q17" s="16">
        <f t="shared" si="0"/>
        <v>0.50026285714285734</v>
      </c>
      <c r="R17" s="16">
        <f t="shared" si="1"/>
        <v>11.639142857142858</v>
      </c>
    </row>
    <row r="18" spans="1:18" x14ac:dyDescent="0.25">
      <c r="A18" s="6" t="s">
        <v>54</v>
      </c>
      <c r="B18" s="12">
        <f>B16/B7</f>
        <v>0.23243733333333336</v>
      </c>
      <c r="C18" s="14" t="s">
        <v>13</v>
      </c>
      <c r="D18" s="5" t="s">
        <v>14</v>
      </c>
      <c r="G18" s="6" t="s">
        <v>54</v>
      </c>
      <c r="H18" s="12"/>
      <c r="I18" s="14"/>
      <c r="J18" s="5"/>
      <c r="M18" s="6" t="s">
        <v>54</v>
      </c>
      <c r="N18" s="12">
        <f>N16/N7</f>
        <v>0.23418095238095241</v>
      </c>
      <c r="O18" s="14"/>
      <c r="P18" s="5" t="s">
        <v>14</v>
      </c>
      <c r="Q18" s="16">
        <f t="shared" si="0"/>
        <v>1.7436190476190494E-3</v>
      </c>
      <c r="R18" s="16">
        <f t="shared" si="1"/>
        <v>0.23418095238095241</v>
      </c>
    </row>
    <row r="19" spans="1:18" x14ac:dyDescent="0.25">
      <c r="A19" s="6" t="s">
        <v>55</v>
      </c>
      <c r="B19" s="12">
        <f>B17/B7</f>
        <v>0.74259200000000003</v>
      </c>
      <c r="C19" s="14" t="s">
        <v>13</v>
      </c>
      <c r="D19" s="5" t="s">
        <v>14</v>
      </c>
      <c r="G19" s="6" t="s">
        <v>55</v>
      </c>
      <c r="H19" s="12"/>
      <c r="I19" s="14"/>
      <c r="J19" s="5"/>
      <c r="M19" s="6" t="s">
        <v>55</v>
      </c>
      <c r="N19" s="12">
        <f>N17/N7</f>
        <v>0.77594285714285716</v>
      </c>
      <c r="O19" s="14"/>
      <c r="P19" s="5" t="s">
        <v>14</v>
      </c>
      <c r="Q19" s="16">
        <f t="shared" si="0"/>
        <v>3.3350857142857127E-2</v>
      </c>
      <c r="R19" s="16">
        <f t="shared" si="1"/>
        <v>0.77594285714285716</v>
      </c>
    </row>
    <row r="20" spans="1:18" x14ac:dyDescent="0.25">
      <c r="A20" s="10" t="s">
        <v>56</v>
      </c>
      <c r="B20" s="12">
        <f>$B$30/$C$30*C20</f>
        <v>13.267040000000001</v>
      </c>
      <c r="C20" s="14">
        <v>2.93</v>
      </c>
      <c r="D20" s="5" t="s">
        <v>27</v>
      </c>
      <c r="G20" s="10" t="s">
        <v>56</v>
      </c>
      <c r="H20" s="12"/>
      <c r="I20" s="14"/>
      <c r="J20" s="5"/>
      <c r="M20" s="10" t="s">
        <v>56</v>
      </c>
      <c r="N20" s="12">
        <f>N30/O30*O20</f>
        <v>13.145806451612904</v>
      </c>
      <c r="O20" s="14">
        <v>2.52</v>
      </c>
      <c r="P20" s="5" t="s">
        <v>78</v>
      </c>
      <c r="Q20" s="16">
        <f t="shared" si="0"/>
        <v>-0.12123354838709766</v>
      </c>
      <c r="R20" s="16">
        <f t="shared" si="1"/>
        <v>13.145806451612904</v>
      </c>
    </row>
    <row r="21" spans="1:18" x14ac:dyDescent="0.25">
      <c r="A21" s="10" t="s">
        <v>57</v>
      </c>
      <c r="B21" s="12">
        <f>$B$30/$C$30*C21</f>
        <v>2.8526400000000005</v>
      </c>
      <c r="C21" s="14">
        <v>0.63</v>
      </c>
      <c r="D21" s="5" t="s">
        <v>27</v>
      </c>
      <c r="G21" s="10" t="s">
        <v>57</v>
      </c>
      <c r="H21" s="12"/>
      <c r="I21" s="14"/>
      <c r="J21" s="5"/>
      <c r="M21" s="10" t="s">
        <v>57</v>
      </c>
      <c r="N21" s="12">
        <f>30.63/12</f>
        <v>2.5524999999999998</v>
      </c>
      <c r="O21" s="14"/>
      <c r="P21" s="5" t="s">
        <v>77</v>
      </c>
      <c r="Q21" s="16">
        <f t="shared" si="0"/>
        <v>-0.30014000000000074</v>
      </c>
      <c r="R21" s="16">
        <f t="shared" si="1"/>
        <v>2.5524999999999998</v>
      </c>
    </row>
    <row r="22" spans="1:18" x14ac:dyDescent="0.25">
      <c r="A22" s="10" t="s">
        <v>58</v>
      </c>
      <c r="B22" s="12">
        <f>$B$30/$C$30*C22</f>
        <v>6.6561600000000007</v>
      </c>
      <c r="C22" s="14">
        <v>1.47</v>
      </c>
      <c r="D22" s="5" t="s">
        <v>27</v>
      </c>
      <c r="G22" s="10" t="s">
        <v>58</v>
      </c>
      <c r="H22" s="12"/>
      <c r="I22" s="14"/>
      <c r="J22" s="5"/>
      <c r="M22" s="10" t="s">
        <v>58</v>
      </c>
      <c r="N22" s="12">
        <f>N30/O30*O22</f>
        <v>6.4164055299539173</v>
      </c>
      <c r="O22" s="14">
        <v>1.23</v>
      </c>
      <c r="P22" s="5" t="s">
        <v>78</v>
      </c>
      <c r="Q22" s="16">
        <f t="shared" si="0"/>
        <v>-0.23975447004608341</v>
      </c>
      <c r="R22" s="16">
        <f t="shared" si="1"/>
        <v>6.4164055299539173</v>
      </c>
    </row>
    <row r="23" spans="1:18" x14ac:dyDescent="0.25">
      <c r="A23" s="10" t="s">
        <v>59</v>
      </c>
      <c r="B23" s="12">
        <f>$B$30/$C$30*C23</f>
        <v>1.4489600000000002</v>
      </c>
      <c r="C23" s="14">
        <v>0.32</v>
      </c>
      <c r="D23" s="5" t="s">
        <v>27</v>
      </c>
      <c r="G23" s="10" t="s">
        <v>59</v>
      </c>
      <c r="H23" s="12"/>
      <c r="I23" s="14"/>
      <c r="J23" s="5"/>
      <c r="M23" s="10" t="s">
        <v>59</v>
      </c>
      <c r="N23" s="12">
        <f>15.16/12</f>
        <v>1.2633333333333334</v>
      </c>
      <c r="O23" s="14"/>
      <c r="P23" s="5" t="s">
        <v>77</v>
      </c>
      <c r="Q23" s="16">
        <f t="shared" si="0"/>
        <v>-0.18562666666666683</v>
      </c>
      <c r="R23" s="16">
        <f t="shared" si="1"/>
        <v>1.2633333333333334</v>
      </c>
    </row>
    <row r="24" spans="1:18" x14ac:dyDescent="0.25">
      <c r="A24" s="6" t="s">
        <v>60</v>
      </c>
      <c r="B24" s="12">
        <f>B21/B20</f>
        <v>0.21501706484641639</v>
      </c>
      <c r="C24" s="14" t="s">
        <v>13</v>
      </c>
      <c r="D24" s="5" t="s">
        <v>14</v>
      </c>
      <c r="G24" s="6" t="s">
        <v>60</v>
      </c>
      <c r="H24" s="12"/>
      <c r="I24" s="14"/>
      <c r="J24" s="5"/>
      <c r="M24" s="6" t="s">
        <v>60</v>
      </c>
      <c r="N24" s="12">
        <f>N21/N20</f>
        <v>0.19416838437377304</v>
      </c>
      <c r="O24" s="14"/>
      <c r="P24" s="5" t="s">
        <v>14</v>
      </c>
      <c r="Q24" s="16">
        <f t="shared" si="0"/>
        <v>-2.0848680472643349E-2</v>
      </c>
      <c r="R24" s="16">
        <f t="shared" si="1"/>
        <v>0.19416838437377304</v>
      </c>
    </row>
    <row r="25" spans="1:18" x14ac:dyDescent="0.25">
      <c r="A25" s="6" t="s">
        <v>61</v>
      </c>
      <c r="B25" s="12">
        <f>B23/B22</f>
        <v>0.21768707482993199</v>
      </c>
      <c r="C25" s="14" t="s">
        <v>13</v>
      </c>
      <c r="D25" s="5" t="s">
        <v>14</v>
      </c>
      <c r="G25" s="6" t="s">
        <v>61</v>
      </c>
      <c r="H25" s="12"/>
      <c r="I25" s="14"/>
      <c r="J25" s="5"/>
      <c r="M25" s="6" t="s">
        <v>61</v>
      </c>
      <c r="N25" s="12">
        <f>N23/N22</f>
        <v>0.19689112968868205</v>
      </c>
      <c r="O25" s="14"/>
      <c r="P25" s="5" t="s">
        <v>14</v>
      </c>
      <c r="Q25" s="16">
        <f t="shared" si="0"/>
        <v>-2.0795945141249939E-2</v>
      </c>
      <c r="R25" s="16">
        <f t="shared" si="1"/>
        <v>0.19689112968868205</v>
      </c>
    </row>
    <row r="26" spans="1:18" x14ac:dyDescent="0.25">
      <c r="A26" s="3" t="s">
        <v>21</v>
      </c>
      <c r="B26" s="12">
        <v>0</v>
      </c>
      <c r="C26" s="14" t="s">
        <v>13</v>
      </c>
      <c r="D26" s="5" t="s">
        <v>19</v>
      </c>
      <c r="G26" s="3" t="s">
        <v>21</v>
      </c>
      <c r="H26" s="12"/>
      <c r="I26" s="14"/>
      <c r="J26" s="5"/>
      <c r="M26" s="3" t="s">
        <v>21</v>
      </c>
      <c r="N26" s="12">
        <v>0</v>
      </c>
      <c r="O26" s="14"/>
      <c r="P26" s="5" t="s">
        <v>77</v>
      </c>
      <c r="Q26" s="16">
        <f t="shared" si="0"/>
        <v>0</v>
      </c>
      <c r="R26" s="16">
        <f t="shared" si="1"/>
        <v>0</v>
      </c>
    </row>
    <row r="27" spans="1:18" x14ac:dyDescent="0.25">
      <c r="A27" s="3" t="s">
        <v>7</v>
      </c>
      <c r="B27" s="12">
        <v>3</v>
      </c>
      <c r="C27" s="14" t="s">
        <v>13</v>
      </c>
      <c r="D27" s="5" t="s">
        <v>0</v>
      </c>
      <c r="G27" s="3" t="s">
        <v>7</v>
      </c>
      <c r="H27" s="12"/>
      <c r="I27" s="14"/>
      <c r="J27" s="5"/>
      <c r="M27" s="3" t="s">
        <v>7</v>
      </c>
      <c r="N27" s="12">
        <f>3</f>
        <v>3</v>
      </c>
      <c r="O27" s="14"/>
      <c r="P27" s="5" t="s">
        <v>77</v>
      </c>
      <c r="Q27" s="16">
        <f t="shared" si="0"/>
        <v>0</v>
      </c>
      <c r="R27" s="16">
        <f t="shared" si="1"/>
        <v>3</v>
      </c>
    </row>
    <row r="28" spans="1:18" x14ac:dyDescent="0.25">
      <c r="A28" s="3" t="s">
        <v>8</v>
      </c>
      <c r="B28" s="12">
        <v>0.22750000000000001</v>
      </c>
      <c r="C28" s="14" t="s">
        <v>13</v>
      </c>
      <c r="D28" s="5" t="s">
        <v>0</v>
      </c>
      <c r="G28" s="3" t="s">
        <v>8</v>
      </c>
      <c r="H28" s="12"/>
      <c r="I28" s="14"/>
      <c r="J28" s="5"/>
      <c r="M28" s="3" t="s">
        <v>8</v>
      </c>
      <c r="N28" s="12">
        <f>N13/N12</f>
        <v>0.22718903436988544</v>
      </c>
      <c r="O28" s="14"/>
      <c r="P28" s="5" t="s">
        <v>14</v>
      </c>
      <c r="Q28" s="16">
        <f t="shared" si="0"/>
        <v>-3.1096563011456801E-4</v>
      </c>
      <c r="R28" s="16">
        <f t="shared" si="1"/>
        <v>0.22718903436988544</v>
      </c>
    </row>
    <row r="29" spans="1:18" x14ac:dyDescent="0.25">
      <c r="A29" s="3" t="s">
        <v>3</v>
      </c>
      <c r="B29" s="12">
        <f>B5/B6</f>
        <v>10</v>
      </c>
      <c r="C29" s="14" t="s">
        <v>13</v>
      </c>
      <c r="D29" s="5" t="s">
        <v>14</v>
      </c>
      <c r="G29" s="3" t="s">
        <v>3</v>
      </c>
      <c r="H29" s="12"/>
      <c r="I29" s="14"/>
      <c r="J29" s="5"/>
      <c r="M29" s="3" t="s">
        <v>3</v>
      </c>
      <c r="N29" s="12">
        <f>N5/N6</f>
        <v>10</v>
      </c>
      <c r="O29" s="14"/>
      <c r="P29" s="5" t="s">
        <v>14</v>
      </c>
      <c r="Q29" s="16">
        <f t="shared" si="0"/>
        <v>0</v>
      </c>
      <c r="R29" s="16">
        <f t="shared" si="1"/>
        <v>10</v>
      </c>
    </row>
    <row r="30" spans="1:18" x14ac:dyDescent="0.25">
      <c r="A30" s="10" t="s">
        <v>4</v>
      </c>
      <c r="B30" s="12">
        <v>11.32</v>
      </c>
      <c r="C30" s="14">
        <v>2.5</v>
      </c>
      <c r="D30" s="5" t="s">
        <v>0</v>
      </c>
      <c r="G30" s="10" t="s">
        <v>4</v>
      </c>
      <c r="H30" s="12"/>
      <c r="I30" s="14"/>
      <c r="J30" s="5"/>
      <c r="M30" s="10" t="s">
        <v>4</v>
      </c>
      <c r="N30" s="12">
        <f>135.84/12</f>
        <v>11.32</v>
      </c>
      <c r="O30" s="14">
        <v>2.17</v>
      </c>
      <c r="P30" s="5" t="s">
        <v>78</v>
      </c>
      <c r="Q30" s="16">
        <f t="shared" si="0"/>
        <v>0</v>
      </c>
      <c r="R30" s="16">
        <f t="shared" si="1"/>
        <v>11.32</v>
      </c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9603-7BA0-4D9A-95EF-34A9C14C4734}">
  <dimension ref="A1:F42"/>
  <sheetViews>
    <sheetView workbookViewId="0">
      <selection activeCell="A38" sqref="A38"/>
    </sheetView>
  </sheetViews>
  <sheetFormatPr defaultRowHeight="15" x14ac:dyDescent="0.25"/>
  <cols>
    <col min="1" max="1" width="38.28515625" bestFit="1" customWidth="1"/>
    <col min="2" max="2" width="12.85546875" style="12" bestFit="1" customWidth="1"/>
    <col min="3" max="3" width="12.42578125" style="5" customWidth="1"/>
    <col min="4" max="4" width="27.7109375" style="5" customWidth="1"/>
  </cols>
  <sheetData>
    <row r="1" spans="1:6" x14ac:dyDescent="0.25">
      <c r="A1" s="1" t="s">
        <v>1</v>
      </c>
      <c r="B1" s="11" t="s">
        <v>31</v>
      </c>
      <c r="C1" s="1" t="s">
        <v>23</v>
      </c>
      <c r="D1" s="1" t="s">
        <v>2</v>
      </c>
      <c r="F1" s="4"/>
    </row>
    <row r="2" spans="1:6" x14ac:dyDescent="0.25">
      <c r="A2" s="3" t="s">
        <v>62</v>
      </c>
      <c r="B2" s="12">
        <f>General!$B$4/General!$C$4*C2</f>
        <v>37.899360000000001</v>
      </c>
      <c r="C2" s="14">
        <v>8.3699999999999992</v>
      </c>
      <c r="D2" s="5" t="s">
        <v>27</v>
      </c>
    </row>
    <row r="3" spans="1:6" x14ac:dyDescent="0.25">
      <c r="A3" s="3" t="s">
        <v>63</v>
      </c>
      <c r="B3" s="12">
        <f>B2+B14/4</f>
        <v>39.880360000000003</v>
      </c>
      <c r="C3" s="14" t="s">
        <v>13</v>
      </c>
      <c r="D3" s="5" t="s">
        <v>14</v>
      </c>
    </row>
    <row r="4" spans="1:6" x14ac:dyDescent="0.25">
      <c r="A4" s="6" t="s">
        <v>43</v>
      </c>
      <c r="B4" s="12">
        <f>General!B6-'Horizontal Tail'!B3</f>
        <v>-12.938759999999998</v>
      </c>
      <c r="C4" s="14" t="s">
        <v>13</v>
      </c>
      <c r="D4" s="5" t="s">
        <v>14</v>
      </c>
    </row>
    <row r="5" spans="1:6" x14ac:dyDescent="0.25">
      <c r="A5" s="6" t="s">
        <v>64</v>
      </c>
      <c r="B5" s="12">
        <f>General!$B$4/General!$C$4*C5</f>
        <v>0.13584000000000002</v>
      </c>
      <c r="C5" s="14">
        <v>0.03</v>
      </c>
      <c r="D5" s="5" t="s">
        <v>27</v>
      </c>
    </row>
    <row r="6" spans="1:6" x14ac:dyDescent="0.25">
      <c r="A6" s="10" t="s">
        <v>42</v>
      </c>
      <c r="B6" s="12">
        <f>63.675+2*B14*(B8-B9)</f>
        <v>113.18922336000003</v>
      </c>
      <c r="C6" s="14" t="s">
        <v>13</v>
      </c>
      <c r="D6" s="5" t="s">
        <v>14</v>
      </c>
    </row>
    <row r="7" spans="1:6" x14ac:dyDescent="0.25">
      <c r="A7" s="10" t="s">
        <v>41</v>
      </c>
      <c r="B7" s="12">
        <f>B8*2</f>
        <v>16.844160000000002</v>
      </c>
      <c r="C7" s="14" t="s">
        <v>13</v>
      </c>
      <c r="D7" s="5" t="s">
        <v>14</v>
      </c>
    </row>
    <row r="8" spans="1:6" x14ac:dyDescent="0.25">
      <c r="A8" s="6" t="s">
        <v>40</v>
      </c>
      <c r="B8" s="12">
        <f>General!$B$4/General!$C$4*C8</f>
        <v>8.4220800000000011</v>
      </c>
      <c r="C8" s="14">
        <v>1.86</v>
      </c>
      <c r="D8" s="5" t="s">
        <v>27</v>
      </c>
    </row>
    <row r="9" spans="1:6" x14ac:dyDescent="0.25">
      <c r="A9" s="3" t="s">
        <v>39</v>
      </c>
      <c r="B9" s="12">
        <f>General!$B$4/General!$C$4*C9</f>
        <v>5.2977600000000002</v>
      </c>
      <c r="C9" s="14">
        <v>1.17</v>
      </c>
      <c r="D9" s="5" t="s">
        <v>27</v>
      </c>
    </row>
    <row r="10" spans="1:6" x14ac:dyDescent="0.25">
      <c r="A10" s="8" t="s">
        <v>44</v>
      </c>
      <c r="B10" s="12">
        <v>0</v>
      </c>
      <c r="C10" s="14" t="s">
        <v>13</v>
      </c>
      <c r="D10" s="5" t="s">
        <v>37</v>
      </c>
    </row>
    <row r="11" spans="1:6" x14ac:dyDescent="0.25">
      <c r="A11" s="3" t="s">
        <v>15</v>
      </c>
      <c r="B11" s="12">
        <v>40</v>
      </c>
      <c r="C11" s="14" t="s">
        <v>13</v>
      </c>
      <c r="D11" s="5" t="s">
        <v>0</v>
      </c>
    </row>
    <row r="12" spans="1:6" x14ac:dyDescent="0.25">
      <c r="A12" s="3" t="s">
        <v>16</v>
      </c>
      <c r="B12" s="12">
        <v>0</v>
      </c>
      <c r="C12" s="14" t="s">
        <v>13</v>
      </c>
      <c r="D12" s="5" t="s">
        <v>0</v>
      </c>
    </row>
    <row r="13" spans="1:6" x14ac:dyDescent="0.25">
      <c r="A13" s="8" t="s">
        <v>38</v>
      </c>
      <c r="B13" s="12">
        <f>ATAN((3*B14/4 -3*B15/4)/B9)*180/PI()</f>
        <v>34.38363626055137</v>
      </c>
      <c r="C13" s="14" t="s">
        <v>13</v>
      </c>
      <c r="D13" s="5" t="s">
        <v>14</v>
      </c>
      <c r="E13">
        <f>DEGREES(ATAN(TAN(RADIANS(B11)) - (4/B31)*(0.25*(1 - B32)/(1 +B32))))</f>
        <v>33.585183760425153</v>
      </c>
    </row>
    <row r="14" spans="1:6" x14ac:dyDescent="0.25">
      <c r="A14" s="6" t="s">
        <v>47</v>
      </c>
      <c r="B14" s="12">
        <f>General!$B$4/General!$C$4*C14</f>
        <v>7.9240000000000013</v>
      </c>
      <c r="C14" s="14">
        <v>1.75</v>
      </c>
      <c r="D14" s="5" t="s">
        <v>27</v>
      </c>
    </row>
    <row r="15" spans="1:6" x14ac:dyDescent="0.25">
      <c r="A15" s="6" t="s">
        <v>48</v>
      </c>
      <c r="B15" s="12">
        <f>B14*B32</f>
        <v>3.0903600000000004</v>
      </c>
      <c r="C15" s="14">
        <v>0.67</v>
      </c>
      <c r="D15" s="5" t="s">
        <v>14</v>
      </c>
    </row>
    <row r="16" spans="1:6" x14ac:dyDescent="0.25">
      <c r="A16" s="6" t="s">
        <v>49</v>
      </c>
      <c r="B16" s="12">
        <f>B8-B9</f>
        <v>3.1243200000000009</v>
      </c>
      <c r="C16" s="14" t="s">
        <v>13</v>
      </c>
      <c r="D16" s="5" t="s">
        <v>14</v>
      </c>
    </row>
    <row r="17" spans="1:4" x14ac:dyDescent="0.25">
      <c r="A17" s="6" t="s">
        <v>50</v>
      </c>
      <c r="B17" s="12">
        <f>B16/B8</f>
        <v>0.37096774193548393</v>
      </c>
      <c r="C17" s="14" t="s">
        <v>13</v>
      </c>
      <c r="D17" s="5" t="s">
        <v>14</v>
      </c>
    </row>
    <row r="18" spans="1:4" x14ac:dyDescent="0.25">
      <c r="A18" s="6" t="s">
        <v>20</v>
      </c>
      <c r="B18" s="12">
        <v>-10</v>
      </c>
      <c r="C18" s="14" t="s">
        <v>13</v>
      </c>
      <c r="D18" s="5" t="s">
        <v>0</v>
      </c>
    </row>
    <row r="19" spans="1:4" x14ac:dyDescent="0.25">
      <c r="A19" s="6" t="s">
        <v>17</v>
      </c>
      <c r="B19" s="13" t="s">
        <v>51</v>
      </c>
      <c r="C19" s="14" t="s">
        <v>13</v>
      </c>
      <c r="D19" s="5" t="s">
        <v>36</v>
      </c>
    </row>
    <row r="20" spans="1:4" x14ac:dyDescent="0.25">
      <c r="A20" s="3" t="s">
        <v>52</v>
      </c>
      <c r="B20" s="12">
        <f>General!$B$4/General!$C$4*C20</f>
        <v>3.12432</v>
      </c>
      <c r="C20" s="14">
        <v>0.69</v>
      </c>
      <c r="D20" s="5" t="s">
        <v>27</v>
      </c>
    </row>
    <row r="21" spans="1:4" x14ac:dyDescent="0.25">
      <c r="A21" s="3" t="s">
        <v>53</v>
      </c>
      <c r="B21" s="12">
        <f>B8</f>
        <v>8.4220800000000011</v>
      </c>
      <c r="C21" s="14" t="s">
        <v>13</v>
      </c>
      <c r="D21" s="5" t="s">
        <v>14</v>
      </c>
    </row>
    <row r="22" spans="1:4" x14ac:dyDescent="0.25">
      <c r="A22" s="6" t="s">
        <v>54</v>
      </c>
      <c r="B22" s="12">
        <f>B20/B8</f>
        <v>0.37096774193548382</v>
      </c>
      <c r="C22" s="14" t="s">
        <v>13</v>
      </c>
      <c r="D22" s="5" t="s">
        <v>14</v>
      </c>
    </row>
    <row r="23" spans="1:4" x14ac:dyDescent="0.25">
      <c r="A23" s="6" t="s">
        <v>55</v>
      </c>
      <c r="B23" s="12">
        <f>B21/B8</f>
        <v>1</v>
      </c>
      <c r="C23" s="14" t="s">
        <v>13</v>
      </c>
      <c r="D23" s="5" t="s">
        <v>14</v>
      </c>
    </row>
    <row r="24" spans="1:4" x14ac:dyDescent="0.25">
      <c r="A24" s="10" t="s">
        <v>56</v>
      </c>
      <c r="B24" s="12">
        <f>B14</f>
        <v>7.9240000000000013</v>
      </c>
      <c r="C24" s="14" t="s">
        <v>13</v>
      </c>
      <c r="D24" s="5" t="s">
        <v>14</v>
      </c>
    </row>
    <row r="25" spans="1:4" x14ac:dyDescent="0.25">
      <c r="A25" s="10" t="s">
        <v>57</v>
      </c>
      <c r="B25" s="12">
        <f>B24</f>
        <v>7.9240000000000013</v>
      </c>
      <c r="C25" s="14" t="s">
        <v>13</v>
      </c>
      <c r="D25" s="5" t="s">
        <v>14</v>
      </c>
    </row>
    <row r="26" spans="1:4" x14ac:dyDescent="0.25">
      <c r="A26" s="10" t="s">
        <v>58</v>
      </c>
      <c r="B26" s="12">
        <f>B15</f>
        <v>3.0903600000000004</v>
      </c>
      <c r="C26" s="14" t="s">
        <v>13</v>
      </c>
      <c r="D26" s="5" t="s">
        <v>14</v>
      </c>
    </row>
    <row r="27" spans="1:4" x14ac:dyDescent="0.25">
      <c r="A27" s="10" t="s">
        <v>59</v>
      </c>
      <c r="B27" s="12">
        <f>B15</f>
        <v>3.0903600000000004</v>
      </c>
      <c r="C27" s="14" t="s">
        <v>13</v>
      </c>
      <c r="D27" s="5" t="s">
        <v>14</v>
      </c>
    </row>
    <row r="28" spans="1:4" x14ac:dyDescent="0.25">
      <c r="A28" s="6" t="s">
        <v>60</v>
      </c>
      <c r="B28" s="12">
        <f>B25/B24</f>
        <v>1</v>
      </c>
      <c r="C28" s="14" t="s">
        <v>13</v>
      </c>
      <c r="D28" s="5" t="s">
        <v>14</v>
      </c>
    </row>
    <row r="29" spans="1:4" x14ac:dyDescent="0.25">
      <c r="A29" s="6" t="s">
        <v>61</v>
      </c>
      <c r="B29" s="12">
        <f>B27/B26</f>
        <v>1</v>
      </c>
      <c r="C29" s="14" t="s">
        <v>13</v>
      </c>
      <c r="D29" s="5" t="s">
        <v>14</v>
      </c>
    </row>
    <row r="30" spans="1:4" x14ac:dyDescent="0.25">
      <c r="A30" s="3" t="s">
        <v>21</v>
      </c>
      <c r="B30" s="12">
        <v>0</v>
      </c>
      <c r="C30" s="14" t="s">
        <v>13</v>
      </c>
      <c r="D30" s="5" t="s">
        <v>36</v>
      </c>
    </row>
    <row r="31" spans="1:4" x14ac:dyDescent="0.25">
      <c r="A31" s="3" t="s">
        <v>7</v>
      </c>
      <c r="B31" s="12">
        <f>B7*B7/B6</f>
        <v>2.5066496410458274</v>
      </c>
      <c r="C31" s="14" t="s">
        <v>13</v>
      </c>
      <c r="D31" s="5" t="s">
        <v>14</v>
      </c>
    </row>
    <row r="32" spans="1:4" x14ac:dyDescent="0.25">
      <c r="A32" s="3" t="s">
        <v>8</v>
      </c>
      <c r="B32" s="12">
        <v>0.39</v>
      </c>
      <c r="C32" s="14" t="s">
        <v>13</v>
      </c>
      <c r="D32" s="5" t="s">
        <v>0</v>
      </c>
    </row>
    <row r="33" spans="1:6" x14ac:dyDescent="0.25">
      <c r="A33" s="3" t="s">
        <v>46</v>
      </c>
      <c r="B33" s="12">
        <f>B6/B7</f>
        <v>6.7197903225806463</v>
      </c>
      <c r="C33" s="14" t="s">
        <v>13</v>
      </c>
      <c r="D33" s="5" t="s">
        <v>14</v>
      </c>
    </row>
    <row r="34" spans="1:6" x14ac:dyDescent="0.25">
      <c r="A34" s="3" t="s">
        <v>45</v>
      </c>
      <c r="B34" s="12">
        <v>5.90625</v>
      </c>
      <c r="C34" s="5" t="s">
        <v>13</v>
      </c>
      <c r="D34" s="5" t="s">
        <v>0</v>
      </c>
    </row>
    <row r="35" spans="1:6" x14ac:dyDescent="0.25">
      <c r="A35" s="10" t="s">
        <v>67</v>
      </c>
      <c r="B35" s="12">
        <v>5.375</v>
      </c>
      <c r="C35" s="14" t="s">
        <v>13</v>
      </c>
      <c r="D35" s="5" t="s">
        <v>68</v>
      </c>
    </row>
    <row r="36" spans="1:6" x14ac:dyDescent="0.25">
      <c r="A36" s="3" t="s">
        <v>69</v>
      </c>
      <c r="B36" s="12">
        <v>21.5</v>
      </c>
      <c r="D36" s="5" t="s">
        <v>68</v>
      </c>
    </row>
    <row r="37" spans="1:6" s="5" customFormat="1" x14ac:dyDescent="0.25">
      <c r="A37" s="3" t="s">
        <v>70</v>
      </c>
      <c r="B37" s="12">
        <f>B35/B36</f>
        <v>0.25</v>
      </c>
      <c r="E37"/>
      <c r="F37"/>
    </row>
    <row r="38" spans="1:6" s="5" customFormat="1" x14ac:dyDescent="0.25">
      <c r="A38" s="3"/>
      <c r="B38" s="12"/>
      <c r="E38"/>
      <c r="F38"/>
    </row>
    <row r="39" spans="1:6" s="5" customFormat="1" x14ac:dyDescent="0.25">
      <c r="A39" s="3"/>
      <c r="B39" s="12"/>
      <c r="E39"/>
      <c r="F39"/>
    </row>
    <row r="40" spans="1:6" s="5" customFormat="1" x14ac:dyDescent="0.25">
      <c r="A40" s="3"/>
      <c r="B40" s="12"/>
      <c r="E40"/>
      <c r="F40"/>
    </row>
    <row r="41" spans="1:6" s="5" customFormat="1" x14ac:dyDescent="0.25">
      <c r="A41" s="3"/>
      <c r="B41" s="12"/>
      <c r="E41"/>
      <c r="F41"/>
    </row>
    <row r="42" spans="1:6" s="5" customFormat="1" x14ac:dyDescent="0.25">
      <c r="A42" s="3"/>
      <c r="B42" s="12"/>
      <c r="E42"/>
      <c r="F4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E82D-4DDD-45B9-B0D1-292FAA56D14E}">
  <dimension ref="A1:F42"/>
  <sheetViews>
    <sheetView workbookViewId="0">
      <selection activeCell="D8" sqref="D8"/>
    </sheetView>
  </sheetViews>
  <sheetFormatPr defaultRowHeight="15" x14ac:dyDescent="0.25"/>
  <cols>
    <col min="1" max="1" width="38.28515625" bestFit="1" customWidth="1"/>
    <col min="2" max="2" width="12.85546875" style="12" bestFit="1" customWidth="1"/>
    <col min="3" max="3" width="12.42578125" style="5" customWidth="1"/>
    <col min="4" max="4" width="27.7109375" style="5" customWidth="1"/>
  </cols>
  <sheetData>
    <row r="1" spans="1:6" x14ac:dyDescent="0.25">
      <c r="A1" s="1" t="s">
        <v>1</v>
      </c>
      <c r="B1" s="11" t="s">
        <v>31</v>
      </c>
      <c r="C1" s="1" t="s">
        <v>23</v>
      </c>
      <c r="D1" s="1" t="s">
        <v>2</v>
      </c>
      <c r="F1" s="4"/>
    </row>
    <row r="2" spans="1:6" x14ac:dyDescent="0.25">
      <c r="A2" s="3" t="s">
        <v>62</v>
      </c>
      <c r="B2" s="12">
        <f>General!$B$7/General!$C$7*C2</f>
        <v>35.786776691116543</v>
      </c>
      <c r="C2" s="14">
        <v>8.9</v>
      </c>
      <c r="D2" s="5" t="s">
        <v>27</v>
      </c>
    </row>
    <row r="3" spans="1:6" x14ac:dyDescent="0.25">
      <c r="A3" s="3" t="s">
        <v>63</v>
      </c>
      <c r="B3" s="12">
        <f>B2+B14/4</f>
        <v>38.068686328443356</v>
      </c>
      <c r="C3" s="14" t="s">
        <v>13</v>
      </c>
      <c r="D3" s="5" t="s">
        <v>14</v>
      </c>
    </row>
    <row r="4" spans="1:6" x14ac:dyDescent="0.25">
      <c r="A4" s="6" t="s">
        <v>43</v>
      </c>
      <c r="B4" s="12">
        <f>General!B6-'Vertical Tail'!B3</f>
        <v>-11.127086328443351</v>
      </c>
      <c r="C4" s="14" t="s">
        <v>13</v>
      </c>
      <c r="D4" s="5" t="s">
        <v>14</v>
      </c>
    </row>
    <row r="5" spans="1:6" x14ac:dyDescent="0.25">
      <c r="A5" s="6" t="s">
        <v>64</v>
      </c>
      <c r="B5" s="12">
        <f>General!$B$4/General!$C$4*C5</f>
        <v>0.13584000000000002</v>
      </c>
      <c r="C5" s="14">
        <v>0.03</v>
      </c>
      <c r="D5" s="5" t="s">
        <v>27</v>
      </c>
    </row>
    <row r="6" spans="1:6" x14ac:dyDescent="0.25">
      <c r="A6" s="10" t="s">
        <v>42</v>
      </c>
      <c r="B6" s="12">
        <f>54.675+2*B14*(B8-B9)</f>
        <v>90.643065981085385</v>
      </c>
      <c r="C6" s="14" t="s">
        <v>13</v>
      </c>
      <c r="D6" s="5" t="s">
        <v>14</v>
      </c>
    </row>
    <row r="7" spans="1:6" x14ac:dyDescent="0.25">
      <c r="A7" s="10" t="s">
        <v>41</v>
      </c>
      <c r="B7" s="12">
        <f>B8*2</f>
        <v>20.024511002444989</v>
      </c>
      <c r="C7" s="14" t="s">
        <v>13</v>
      </c>
      <c r="D7" s="5" t="s">
        <v>14</v>
      </c>
    </row>
    <row r="8" spans="1:6" x14ac:dyDescent="0.25">
      <c r="A8" s="6" t="s">
        <v>40</v>
      </c>
      <c r="B8" s="12">
        <f>General!$B$7/General!$C$7*C8</f>
        <v>10.012255501222494</v>
      </c>
      <c r="C8" s="14">
        <v>2.4900000000000002</v>
      </c>
      <c r="D8" s="5" t="s">
        <v>27</v>
      </c>
    </row>
    <row r="9" spans="1:6" x14ac:dyDescent="0.25">
      <c r="A9" s="3" t="s">
        <v>39</v>
      </c>
      <c r="B9" s="12">
        <f>General!$B$7/General!$C$7*C9</f>
        <v>8.0419722901385491</v>
      </c>
      <c r="C9" s="14">
        <f>C8-0.49</f>
        <v>2</v>
      </c>
      <c r="D9" s="5" t="s">
        <v>27</v>
      </c>
    </row>
    <row r="10" spans="1:6" x14ac:dyDescent="0.25">
      <c r="A10" s="8" t="s">
        <v>44</v>
      </c>
      <c r="B10" s="12">
        <v>0</v>
      </c>
      <c r="C10" s="14" t="s">
        <v>13</v>
      </c>
      <c r="D10" s="5" t="s">
        <v>37</v>
      </c>
    </row>
    <row r="11" spans="1:6" x14ac:dyDescent="0.25">
      <c r="A11" s="3" t="s">
        <v>15</v>
      </c>
      <c r="B11" s="12">
        <v>47.5</v>
      </c>
      <c r="C11" s="14" t="s">
        <v>13</v>
      </c>
      <c r="D11" s="5" t="s">
        <v>0</v>
      </c>
    </row>
    <row r="12" spans="1:6" x14ac:dyDescent="0.25">
      <c r="A12" s="3" t="s">
        <v>16</v>
      </c>
      <c r="B12" s="12">
        <v>0</v>
      </c>
      <c r="C12" s="14" t="s">
        <v>13</v>
      </c>
      <c r="D12" s="5" t="s">
        <v>0</v>
      </c>
    </row>
    <row r="13" spans="1:6" x14ac:dyDescent="0.25">
      <c r="A13" s="8" t="s">
        <v>38</v>
      </c>
      <c r="B13" s="12">
        <f>DEGREES(ATAN(TAN(RADIANS(B11)) - (4/B31)*(0.25*(1 - B32)/(1 +B32))))</f>
        <v>45.100495471809488</v>
      </c>
      <c r="C13" s="14" t="s">
        <v>13</v>
      </c>
      <c r="D13" s="5" t="s">
        <v>14</v>
      </c>
    </row>
    <row r="14" spans="1:6" x14ac:dyDescent="0.25">
      <c r="A14" s="6" t="s">
        <v>47</v>
      </c>
      <c r="B14" s="12">
        <f>General!$B$7/General!$C$7*C14</f>
        <v>9.1276385493072532</v>
      </c>
      <c r="C14" s="14">
        <v>2.27</v>
      </c>
      <c r="D14" s="5" t="s">
        <v>27</v>
      </c>
    </row>
    <row r="15" spans="1:6" x14ac:dyDescent="0.25">
      <c r="A15" s="6" t="s">
        <v>48</v>
      </c>
      <c r="B15" s="12">
        <f>General!$B$7/General!$C$7*C15</f>
        <v>4.0209861450692745</v>
      </c>
      <c r="C15" s="14">
        <v>1</v>
      </c>
      <c r="D15" s="5" t="s">
        <v>27</v>
      </c>
    </row>
    <row r="16" spans="1:6" x14ac:dyDescent="0.25">
      <c r="A16" s="6" t="s">
        <v>49</v>
      </c>
      <c r="B16" s="12">
        <f>B8-B9</f>
        <v>1.9702832110839452</v>
      </c>
      <c r="C16" s="14" t="s">
        <v>13</v>
      </c>
      <c r="D16" s="5" t="s">
        <v>14</v>
      </c>
    </row>
    <row r="17" spans="1:4" x14ac:dyDescent="0.25">
      <c r="A17" s="6" t="s">
        <v>50</v>
      </c>
      <c r="B17" s="12">
        <f>B16/B8</f>
        <v>0.19678714859437757</v>
      </c>
      <c r="C17" s="14" t="s">
        <v>13</v>
      </c>
      <c r="D17" s="5" t="s">
        <v>14</v>
      </c>
    </row>
    <row r="18" spans="1:4" x14ac:dyDescent="0.25">
      <c r="A18" s="6" t="s">
        <v>20</v>
      </c>
      <c r="B18" s="12">
        <v>-10</v>
      </c>
      <c r="C18" s="14" t="s">
        <v>13</v>
      </c>
      <c r="D18" s="5" t="s">
        <v>0</v>
      </c>
    </row>
    <row r="19" spans="1:4" x14ac:dyDescent="0.25">
      <c r="A19" s="6" t="s">
        <v>17</v>
      </c>
      <c r="B19" s="13" t="s">
        <v>66</v>
      </c>
      <c r="C19" s="14" t="s">
        <v>13</v>
      </c>
      <c r="D19" s="5" t="s">
        <v>36</v>
      </c>
    </row>
    <row r="20" spans="1:4" x14ac:dyDescent="0.25">
      <c r="A20" s="3" t="s">
        <v>52</v>
      </c>
      <c r="B20" s="12">
        <f>General!$B$7/General!$C$7*C20</f>
        <v>3.5786776691116544</v>
      </c>
      <c r="C20" s="14">
        <v>0.89</v>
      </c>
      <c r="D20" s="5" t="s">
        <v>27</v>
      </c>
    </row>
    <row r="21" spans="1:4" x14ac:dyDescent="0.25">
      <c r="A21" s="3" t="s">
        <v>53</v>
      </c>
      <c r="B21" s="12">
        <f>General!$B$7/General!$C$7*C21</f>
        <v>9.409107579462102</v>
      </c>
      <c r="C21" s="14">
        <v>2.34</v>
      </c>
      <c r="D21" s="5" t="s">
        <v>27</v>
      </c>
    </row>
    <row r="22" spans="1:4" x14ac:dyDescent="0.25">
      <c r="A22" s="6" t="s">
        <v>54</v>
      </c>
      <c r="B22" s="12">
        <f>B20/B8</f>
        <v>0.35742971887550201</v>
      </c>
      <c r="C22" s="14" t="s">
        <v>13</v>
      </c>
      <c r="D22" s="5" t="s">
        <v>14</v>
      </c>
    </row>
    <row r="23" spans="1:4" x14ac:dyDescent="0.25">
      <c r="A23" s="6" t="s">
        <v>55</v>
      </c>
      <c r="B23" s="12">
        <f>B21/B8</f>
        <v>0.93975903614457823</v>
      </c>
      <c r="C23" s="14" t="s">
        <v>13</v>
      </c>
      <c r="D23" s="5" t="s">
        <v>14</v>
      </c>
    </row>
    <row r="24" spans="1:4" x14ac:dyDescent="0.25">
      <c r="A24" s="10" t="s">
        <v>56</v>
      </c>
      <c r="B24" s="12">
        <f>General!$B$7/General!$C$7*C24</f>
        <v>8.122392013039935</v>
      </c>
      <c r="C24" s="14">
        <v>2.02</v>
      </c>
      <c r="D24" s="5" t="s">
        <v>27</v>
      </c>
    </row>
    <row r="25" spans="1:4" x14ac:dyDescent="0.25">
      <c r="A25" s="10" t="s">
        <v>57</v>
      </c>
      <c r="B25" s="12">
        <f>General!$B$7/General!$C$7*C25</f>
        <v>2.6136409942950287</v>
      </c>
      <c r="C25" s="14">
        <v>0.65</v>
      </c>
      <c r="D25" s="5" t="s">
        <v>27</v>
      </c>
    </row>
    <row r="26" spans="1:4" x14ac:dyDescent="0.25">
      <c r="A26" s="10" t="s">
        <v>58</v>
      </c>
      <c r="B26" s="12">
        <f>General!$B$7/General!$C$7*C26</f>
        <v>4.704553789731051</v>
      </c>
      <c r="C26" s="14">
        <v>1.17</v>
      </c>
      <c r="D26" s="5" t="s">
        <v>27</v>
      </c>
    </row>
    <row r="27" spans="1:4" x14ac:dyDescent="0.25">
      <c r="A27" s="10" t="s">
        <v>59</v>
      </c>
      <c r="B27" s="12">
        <f>General!$B$7/General!$C$7*C27</f>
        <v>1.407345150774246</v>
      </c>
      <c r="C27" s="14">
        <v>0.35</v>
      </c>
      <c r="D27" s="5" t="s">
        <v>27</v>
      </c>
    </row>
    <row r="28" spans="1:4" x14ac:dyDescent="0.25">
      <c r="A28" s="6" t="s">
        <v>60</v>
      </c>
      <c r="B28" s="12">
        <f>B25/B24</f>
        <v>0.32178217821782179</v>
      </c>
      <c r="C28" s="14" t="s">
        <v>13</v>
      </c>
      <c r="D28" s="5" t="s">
        <v>14</v>
      </c>
    </row>
    <row r="29" spans="1:4" x14ac:dyDescent="0.25">
      <c r="A29" s="6" t="s">
        <v>61</v>
      </c>
      <c r="B29" s="12">
        <f>B27/B26</f>
        <v>0.29914529914529914</v>
      </c>
      <c r="C29" s="14" t="s">
        <v>13</v>
      </c>
      <c r="D29" s="5" t="s">
        <v>14</v>
      </c>
    </row>
    <row r="30" spans="1:4" x14ac:dyDescent="0.25">
      <c r="A30" s="3" t="s">
        <v>21</v>
      </c>
      <c r="B30" s="12">
        <v>0</v>
      </c>
      <c r="C30" s="14" t="s">
        <v>13</v>
      </c>
      <c r="D30" s="5" t="s">
        <v>36</v>
      </c>
    </row>
    <row r="31" spans="1:4" x14ac:dyDescent="0.25">
      <c r="A31" s="3" t="s">
        <v>7</v>
      </c>
      <c r="B31" s="12">
        <f>B7*B7/B6</f>
        <v>4.4237365158269659</v>
      </c>
      <c r="C31" s="14" t="s">
        <v>13</v>
      </c>
      <c r="D31" s="5" t="s">
        <v>14</v>
      </c>
    </row>
    <row r="32" spans="1:4" x14ac:dyDescent="0.25">
      <c r="A32" s="3" t="s">
        <v>8</v>
      </c>
      <c r="B32" s="12">
        <f>B15/B14</f>
        <v>0.44052863436123346</v>
      </c>
      <c r="C32" s="14" t="s">
        <v>13</v>
      </c>
      <c r="D32" s="5" t="s">
        <v>0</v>
      </c>
    </row>
    <row r="33" spans="1:6" x14ac:dyDescent="0.25">
      <c r="A33" s="3" t="s">
        <v>46</v>
      </c>
      <c r="B33" s="12">
        <f>B6/B7</f>
        <v>4.5266057168645908</v>
      </c>
      <c r="C33" s="14" t="s">
        <v>13</v>
      </c>
      <c r="D33" s="5" t="s">
        <v>14</v>
      </c>
    </row>
    <row r="34" spans="1:6" x14ac:dyDescent="0.25">
      <c r="A34" s="3" t="s">
        <v>45</v>
      </c>
      <c r="B34" s="12">
        <v>6.8375000000000004</v>
      </c>
      <c r="C34" s="5" t="s">
        <v>13</v>
      </c>
      <c r="D34" s="5" t="s">
        <v>0</v>
      </c>
    </row>
    <row r="35" spans="1:6" x14ac:dyDescent="0.25">
      <c r="A35" s="10"/>
      <c r="C35" s="14"/>
    </row>
    <row r="37" spans="1:6" s="5" customFormat="1" x14ac:dyDescent="0.25">
      <c r="A37" s="3"/>
      <c r="B37" s="12"/>
      <c r="E37"/>
      <c r="F37"/>
    </row>
    <row r="38" spans="1:6" s="5" customFormat="1" x14ac:dyDescent="0.25">
      <c r="A38" s="3"/>
      <c r="B38" s="12"/>
      <c r="E38"/>
      <c r="F38"/>
    </row>
    <row r="39" spans="1:6" s="5" customFormat="1" x14ac:dyDescent="0.25">
      <c r="A39" s="3"/>
      <c r="B39" s="12"/>
      <c r="E39"/>
      <c r="F39"/>
    </row>
    <row r="40" spans="1:6" s="5" customFormat="1" x14ac:dyDescent="0.25">
      <c r="A40" s="3"/>
      <c r="B40" s="12"/>
      <c r="E40"/>
      <c r="F40"/>
    </row>
    <row r="41" spans="1:6" s="5" customFormat="1" x14ac:dyDescent="0.25">
      <c r="A41" s="3"/>
      <c r="B41" s="12"/>
      <c r="E41"/>
      <c r="F41"/>
    </row>
    <row r="42" spans="1:6" s="5" customFormat="1" x14ac:dyDescent="0.25">
      <c r="A42" s="3"/>
      <c r="B42" s="12"/>
      <c r="E42"/>
      <c r="F4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Main Wing</vt:lpstr>
      <vt:lpstr>Horizontal Tail</vt:lpstr>
      <vt:lpstr>Vertical 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Bolander</dc:creator>
  <cp:lastModifiedBy>Christian Bolander</cp:lastModifiedBy>
  <dcterms:created xsi:type="dcterms:W3CDTF">2021-02-03T20:20:59Z</dcterms:created>
  <dcterms:modified xsi:type="dcterms:W3CDTF">2021-02-05T18:42:24Z</dcterms:modified>
</cp:coreProperties>
</file>