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F-16-Aero-Database\TODatabase\"/>
    </mc:Choice>
  </mc:AlternateContent>
  <xr:revisionPtr revIDLastSave="0" documentId="13_ncr:1_{50F5FF6C-1A77-48E4-917A-7C09AAC9F546}" xr6:coauthVersionLast="46" xr6:coauthVersionMax="46" xr10:uidLastSave="{00000000-0000-0000-0000-000000000000}"/>
  <bookViews>
    <workbookView xWindow="20475" yWindow="1440" windowWidth="14400" windowHeight="11745" activeTab="3" xr2:uid="{3E8F2039-709E-449F-8242-523A09CEFF71}"/>
  </bookViews>
  <sheets>
    <sheet name="General" sheetId="2" r:id="rId1"/>
    <sheet name="Main Wing" sheetId="1" r:id="rId2"/>
    <sheet name="Horizontal Tail" sheetId="3" r:id="rId3"/>
    <sheet name="Vertical 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22" i="3"/>
  <c r="B6" i="4"/>
  <c r="B27" i="4"/>
  <c r="B26" i="4"/>
  <c r="B25" i="4"/>
  <c r="B24" i="4"/>
  <c r="B21" i="4"/>
  <c r="C9" i="4"/>
  <c r="B20" i="4"/>
  <c r="B15" i="4"/>
  <c r="B14" i="4"/>
  <c r="B9" i="4"/>
  <c r="B8" i="4"/>
  <c r="B7" i="4" s="1"/>
  <c r="B2" i="4"/>
  <c r="B7" i="2"/>
  <c r="B20" i="3"/>
  <c r="B14" i="3"/>
  <c r="B15" i="3" s="1"/>
  <c r="B26" i="3" s="1"/>
  <c r="B9" i="3"/>
  <c r="B8" i="3"/>
  <c r="B5" i="3"/>
  <c r="B2" i="3"/>
  <c r="B7" i="3"/>
  <c r="B23" i="1"/>
  <c r="B22" i="1"/>
  <c r="B21" i="1"/>
  <c r="B24" i="1" s="1"/>
  <c r="B20" i="1"/>
  <c r="B17" i="1"/>
  <c r="B16" i="1"/>
  <c r="B13" i="1"/>
  <c r="B12" i="1"/>
  <c r="B29" i="1"/>
  <c r="B2" i="1"/>
  <c r="B25" i="1"/>
  <c r="B7" i="1"/>
  <c r="B19" i="1" s="1"/>
  <c r="B32" i="4" l="1"/>
  <c r="B3" i="4"/>
  <c r="B4" i="4" s="1"/>
  <c r="B23" i="4"/>
  <c r="B16" i="4"/>
  <c r="B17" i="4" s="1"/>
  <c r="B22" i="4"/>
  <c r="B27" i="3"/>
  <c r="B21" i="3"/>
  <c r="B24" i="3"/>
  <c r="B25" i="3" s="1"/>
  <c r="B28" i="4"/>
  <c r="B16" i="3"/>
  <c r="B17" i="3" s="1"/>
  <c r="B6" i="3"/>
  <c r="B23" i="3"/>
  <c r="B13" i="3"/>
  <c r="B29" i="3"/>
  <c r="B28" i="3"/>
  <c r="B3" i="3"/>
  <c r="B4" i="3" s="1"/>
  <c r="B3" i="1"/>
  <c r="B4" i="1" s="1"/>
  <c r="B18" i="1"/>
  <c r="B11" i="1"/>
  <c r="B33" i="4" l="1"/>
  <c r="B31" i="4"/>
  <c r="B33" i="3"/>
  <c r="B31" i="3"/>
  <c r="E13" i="3" s="1"/>
  <c r="B13" i="4"/>
  <c r="B29" i="4" l="1"/>
</calcChain>
</file>

<file path=xl/sharedStrings.xml><?xml version="1.0" encoding="utf-8"?>
<sst xmlns="http://schemas.openxmlformats.org/spreadsheetml/2006/main" count="291" uniqueCount="67">
  <si>
    <t>Fox</t>
  </si>
  <si>
    <t>Property</t>
  </si>
  <si>
    <t>Source</t>
  </si>
  <si>
    <t>Mean Geometric Chord</t>
  </si>
  <si>
    <t>Mean Aerodynamic Chord</t>
  </si>
  <si>
    <t>Planform Area</t>
  </si>
  <si>
    <t>Span</t>
  </si>
  <si>
    <t>Aspect Ratio</t>
  </si>
  <si>
    <t>Taper Ratio</t>
  </si>
  <si>
    <t>Weight, lbf</t>
  </si>
  <si>
    <t>CG Reference Location, ft</t>
  </si>
  <si>
    <t>Stevens</t>
  </si>
  <si>
    <t>Scale</t>
  </si>
  <si>
    <t>-</t>
  </si>
  <si>
    <t>Calculated</t>
  </si>
  <si>
    <t>LE Sweep, deg</t>
  </si>
  <si>
    <t>TE Sweep, deg</t>
  </si>
  <si>
    <t>Airfoil</t>
  </si>
  <si>
    <t>NACA 64A204</t>
  </si>
  <si>
    <t>Pilot's Manual*</t>
  </si>
  <si>
    <t>Dihedral, deg</t>
  </si>
  <si>
    <t>Mounting Angle, deg</t>
  </si>
  <si>
    <t>Main Wing Root Chord</t>
  </si>
  <si>
    <t>Scale (in)</t>
  </si>
  <si>
    <t>x to LE of Root Section</t>
  </si>
  <si>
    <t>x to Root QC</t>
  </si>
  <si>
    <t>Main Wing Tip Chord</t>
  </si>
  <si>
    <t>Measured (Fox)</t>
  </si>
  <si>
    <t>x from CG to Root QC</t>
  </si>
  <si>
    <t>Semispan</t>
  </si>
  <si>
    <t>Reference Area, ft^2</t>
  </si>
  <si>
    <t>Value</t>
  </si>
  <si>
    <t>Reference Longitudinal Length (MW MAC), ft</t>
  </si>
  <si>
    <t>Reference Lateral Length (MW Span), ft</t>
  </si>
  <si>
    <t>Page/Slide</t>
  </si>
  <si>
    <t>Twist</t>
  </si>
  <si>
    <t>Estimated</t>
  </si>
  <si>
    <t>Assumption</t>
  </si>
  <si>
    <t>QC Sweep, deg</t>
  </si>
  <si>
    <t>Semispan w/o Fuselage, ft</t>
  </si>
  <si>
    <t>Semispan, ft</t>
  </si>
  <si>
    <t>Span, ft</t>
  </si>
  <si>
    <t>Planform Area, ft^2</t>
  </si>
  <si>
    <t>x from CG to Root QC, ft</t>
  </si>
  <si>
    <t>Twist, deg</t>
  </si>
  <si>
    <t>Mean Aerodynamic Chord, ft</t>
  </si>
  <si>
    <t>Horizontal Tail Mean Geometric Chord, ft</t>
  </si>
  <si>
    <t>Root Chord, ft</t>
  </si>
  <si>
    <t>Tip Chord, ft</t>
  </si>
  <si>
    <t>Chord Transition Spanwise Station, ft</t>
  </si>
  <si>
    <t>Chord Transition Span Fraction</t>
  </si>
  <si>
    <t>NACA 0005</t>
  </si>
  <si>
    <t>Control Surface Start Spanwise Station, ft</t>
  </si>
  <si>
    <t>Control Surface End Spanwise Station, ft</t>
  </si>
  <si>
    <t>Control Surface Start Span Fraction</t>
  </si>
  <si>
    <t>Control Surface End Span Fraction</t>
  </si>
  <si>
    <t>Control Surface Start Wing Chord, ft</t>
  </si>
  <si>
    <t>Control Surface Start Chord, ft</t>
  </si>
  <si>
    <t>Control Surface End Wing Chord, ft</t>
  </si>
  <si>
    <t>Control Surface End Chord, ft</t>
  </si>
  <si>
    <t>Control Surface Start Chord Fraction</t>
  </si>
  <si>
    <t>Control Surface End Chord Fraction</t>
  </si>
  <si>
    <t>x from Nose to LE of Root Section, ft</t>
  </si>
  <si>
    <t>x from Nose to Root QC, ft</t>
  </si>
  <si>
    <t>z from CG to Root Section, ft</t>
  </si>
  <si>
    <t>Total Length Including Sting (Reference), ft</t>
  </si>
  <si>
    <t>NACA 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</si>
</sst>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2E2A-D30F-43EF-A94C-834989349B33}">
  <dimension ref="A1:E9"/>
  <sheetViews>
    <sheetView workbookViewId="0">
      <selection activeCell="A6" sqref="A6"/>
    </sheetView>
  </sheetViews>
  <sheetFormatPr defaultRowHeight="15" x14ac:dyDescent="0.25"/>
  <cols>
    <col min="1" max="1" width="41.85546875" bestFit="1" customWidth="1"/>
    <col min="2" max="3" width="12.7109375" customWidth="1"/>
    <col min="4" max="4" width="15" bestFit="1" customWidth="1"/>
    <col min="5" max="5" width="10.5703125" bestFit="1" customWidth="1"/>
  </cols>
  <sheetData>
    <row r="1" spans="1:5" x14ac:dyDescent="0.25">
      <c r="A1" s="1" t="s">
        <v>1</v>
      </c>
      <c r="B1" s="1" t="s">
        <v>31</v>
      </c>
      <c r="C1" s="1" t="s">
        <v>12</v>
      </c>
      <c r="D1" s="1" t="s">
        <v>2</v>
      </c>
      <c r="E1" s="1" t="s">
        <v>34</v>
      </c>
    </row>
    <row r="2" spans="1:5" x14ac:dyDescent="0.25">
      <c r="A2" s="8" t="s">
        <v>9</v>
      </c>
      <c r="B2" s="7">
        <v>20500</v>
      </c>
      <c r="C2" s="5" t="s">
        <v>13</v>
      </c>
      <c r="D2" s="5" t="s">
        <v>11</v>
      </c>
    </row>
    <row r="3" spans="1:5" x14ac:dyDescent="0.25">
      <c r="A3" s="8" t="s">
        <v>30</v>
      </c>
      <c r="B3" s="5">
        <v>300</v>
      </c>
      <c r="C3" s="5" t="s">
        <v>13</v>
      </c>
      <c r="D3" s="5" t="s">
        <v>0</v>
      </c>
    </row>
    <row r="4" spans="1:5" x14ac:dyDescent="0.25">
      <c r="A4" s="9" t="s">
        <v>32</v>
      </c>
      <c r="B4" s="5">
        <v>11.32</v>
      </c>
      <c r="C4" s="5">
        <v>2.5</v>
      </c>
      <c r="D4" s="5" t="s">
        <v>0</v>
      </c>
    </row>
    <row r="5" spans="1:5" x14ac:dyDescent="0.25">
      <c r="A5" s="8" t="s">
        <v>33</v>
      </c>
      <c r="B5" s="5">
        <v>30</v>
      </c>
      <c r="C5" s="5" t="s">
        <v>13</v>
      </c>
      <c r="D5" s="5" t="s">
        <v>0</v>
      </c>
    </row>
    <row r="6" spans="1:5" x14ac:dyDescent="0.25">
      <c r="A6" s="2" t="s">
        <v>10</v>
      </c>
      <c r="B6" s="5">
        <v>26.94</v>
      </c>
      <c r="C6" s="5">
        <v>5.95</v>
      </c>
      <c r="D6" s="5" t="s">
        <v>27</v>
      </c>
    </row>
    <row r="7" spans="1:5" x14ac:dyDescent="0.25">
      <c r="A7" s="2" t="s">
        <v>65</v>
      </c>
      <c r="B7" s="5">
        <f>39.47*15/12</f>
        <v>49.337499999999999</v>
      </c>
      <c r="C7" s="5">
        <v>12.27</v>
      </c>
      <c r="D7" s="5" t="s">
        <v>0</v>
      </c>
    </row>
    <row r="8" spans="1:5" x14ac:dyDescent="0.25">
      <c r="B8" s="5"/>
      <c r="C8" s="5"/>
      <c r="D8" s="5"/>
    </row>
    <row r="9" spans="1:5" x14ac:dyDescent="0.25">
      <c r="B9" s="5"/>
      <c r="C9" s="5"/>
      <c r="D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CD00-6B66-4330-AB34-9A8ADBDB78E3}">
  <dimension ref="A1:F38"/>
  <sheetViews>
    <sheetView workbookViewId="0">
      <selection activeCell="A16" sqref="A16:A17"/>
    </sheetView>
  </sheetViews>
  <sheetFormatPr defaultRowHeight="15" x14ac:dyDescent="0.25"/>
  <cols>
    <col min="1" max="1" width="38.140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24</v>
      </c>
      <c r="B2" s="12">
        <f>$B$30/$C$30*C2</f>
        <v>18.021440000000002</v>
      </c>
      <c r="C2" s="14">
        <v>3.98</v>
      </c>
      <c r="D2" s="5" t="s">
        <v>27</v>
      </c>
    </row>
    <row r="3" spans="1:6" x14ac:dyDescent="0.25">
      <c r="A3" s="3" t="s">
        <v>25</v>
      </c>
      <c r="B3" s="12">
        <f>B2+B12/4</f>
        <v>22.074000000000002</v>
      </c>
      <c r="C3" s="14" t="s">
        <v>13</v>
      </c>
      <c r="D3" s="5" t="s">
        <v>14</v>
      </c>
    </row>
    <row r="4" spans="1:6" x14ac:dyDescent="0.25">
      <c r="A4" s="6" t="s">
        <v>28</v>
      </c>
      <c r="B4" s="12">
        <f>General!B6-'Main Wing'!B3</f>
        <v>4.8659999999999997</v>
      </c>
      <c r="C4" s="14" t="s">
        <v>13</v>
      </c>
      <c r="D4" s="5" t="s">
        <v>14</v>
      </c>
    </row>
    <row r="5" spans="1:6" x14ac:dyDescent="0.25">
      <c r="A5" s="10" t="s">
        <v>5</v>
      </c>
      <c r="B5" s="12">
        <v>300</v>
      </c>
      <c r="C5" s="14" t="s">
        <v>13</v>
      </c>
      <c r="D5" s="5" t="s">
        <v>0</v>
      </c>
    </row>
    <row r="6" spans="1:6" x14ac:dyDescent="0.25">
      <c r="A6" s="10" t="s">
        <v>6</v>
      </c>
      <c r="B6" s="12">
        <v>30</v>
      </c>
      <c r="C6" s="14" t="s">
        <v>13</v>
      </c>
      <c r="D6" s="5" t="s">
        <v>0</v>
      </c>
    </row>
    <row r="7" spans="1:6" x14ac:dyDescent="0.25">
      <c r="A7" s="6" t="s">
        <v>29</v>
      </c>
      <c r="B7" s="12">
        <f>B6/2</f>
        <v>15</v>
      </c>
      <c r="C7" s="14" t="s">
        <v>13</v>
      </c>
      <c r="D7" s="5" t="s">
        <v>14</v>
      </c>
    </row>
    <row r="8" spans="1:6" x14ac:dyDescent="0.25">
      <c r="A8" s="8" t="s">
        <v>35</v>
      </c>
      <c r="B8" s="12">
        <v>0</v>
      </c>
      <c r="C8" s="14" t="s">
        <v>13</v>
      </c>
      <c r="D8" s="5" t="s">
        <v>37</v>
      </c>
    </row>
    <row r="9" spans="1:6" x14ac:dyDescent="0.25">
      <c r="A9" s="3" t="s">
        <v>15</v>
      </c>
      <c r="B9" s="12">
        <v>40</v>
      </c>
      <c r="C9" s="14" t="s">
        <v>13</v>
      </c>
      <c r="D9" s="5" t="s">
        <v>0</v>
      </c>
    </row>
    <row r="10" spans="1:6" x14ac:dyDescent="0.25">
      <c r="A10" s="3" t="s">
        <v>16</v>
      </c>
      <c r="B10" s="12">
        <v>0</v>
      </c>
      <c r="C10" s="14" t="s">
        <v>13</v>
      </c>
      <c r="D10" s="5" t="s">
        <v>0</v>
      </c>
    </row>
    <row r="11" spans="1:6" x14ac:dyDescent="0.25">
      <c r="A11" s="8" t="s">
        <v>38</v>
      </c>
      <c r="B11" s="12">
        <f>ATAN((3*B12/4 -3*B13/4)/B7)*180/PI()</f>
        <v>32.051527019186473</v>
      </c>
      <c r="C11" s="14" t="s">
        <v>13</v>
      </c>
      <c r="D11" s="5" t="s">
        <v>14</v>
      </c>
    </row>
    <row r="12" spans="1:6" x14ac:dyDescent="0.25">
      <c r="A12" s="6" t="s">
        <v>22</v>
      </c>
      <c r="B12" s="12">
        <f>$B$30/$C$30*C12</f>
        <v>16.210240000000002</v>
      </c>
      <c r="C12" s="14">
        <v>3.58</v>
      </c>
      <c r="D12" s="5" t="s">
        <v>27</v>
      </c>
    </row>
    <row r="13" spans="1:6" x14ac:dyDescent="0.25">
      <c r="A13" s="6" t="s">
        <v>26</v>
      </c>
      <c r="B13" s="12">
        <f>B12*B28</f>
        <v>3.6878296000000006</v>
      </c>
      <c r="C13" s="14">
        <v>0.81</v>
      </c>
      <c r="D13" s="5" t="s">
        <v>14</v>
      </c>
    </row>
    <row r="14" spans="1:6" x14ac:dyDescent="0.25">
      <c r="A14" s="6" t="s">
        <v>20</v>
      </c>
      <c r="B14" s="12">
        <v>0</v>
      </c>
      <c r="C14" s="14" t="s">
        <v>13</v>
      </c>
      <c r="D14" s="5" t="s">
        <v>19</v>
      </c>
    </row>
    <row r="15" spans="1:6" x14ac:dyDescent="0.25">
      <c r="A15" s="6" t="s">
        <v>17</v>
      </c>
      <c r="B15" s="13" t="s">
        <v>18</v>
      </c>
      <c r="C15" s="14" t="s">
        <v>13</v>
      </c>
      <c r="D15" s="5" t="s">
        <v>0</v>
      </c>
    </row>
    <row r="16" spans="1:6" x14ac:dyDescent="0.25">
      <c r="A16" s="3" t="s">
        <v>52</v>
      </c>
      <c r="B16" s="12">
        <f>$B$30/$C$30*C16</f>
        <v>3.4865600000000003</v>
      </c>
      <c r="C16" s="14">
        <v>0.77</v>
      </c>
      <c r="D16" s="5" t="s">
        <v>27</v>
      </c>
    </row>
    <row r="17" spans="1:4" x14ac:dyDescent="0.25">
      <c r="A17" s="3" t="s">
        <v>53</v>
      </c>
      <c r="B17" s="12">
        <f>$B$30/$C$30*C17</f>
        <v>11.13888</v>
      </c>
      <c r="C17" s="14">
        <v>2.46</v>
      </c>
      <c r="D17" s="5" t="s">
        <v>27</v>
      </c>
    </row>
    <row r="18" spans="1:4" x14ac:dyDescent="0.25">
      <c r="A18" s="6" t="s">
        <v>54</v>
      </c>
      <c r="B18" s="12">
        <f>B16/B7</f>
        <v>0.23243733333333336</v>
      </c>
      <c r="C18" s="14" t="s">
        <v>13</v>
      </c>
      <c r="D18" s="5" t="s">
        <v>14</v>
      </c>
    </row>
    <row r="19" spans="1:4" x14ac:dyDescent="0.25">
      <c r="A19" s="6" t="s">
        <v>55</v>
      </c>
      <c r="B19" s="12">
        <f>B17/B7</f>
        <v>0.74259200000000003</v>
      </c>
      <c r="C19" s="14" t="s">
        <v>13</v>
      </c>
      <c r="D19" s="5" t="s">
        <v>14</v>
      </c>
    </row>
    <row r="20" spans="1:4" x14ac:dyDescent="0.25">
      <c r="A20" s="10" t="s">
        <v>56</v>
      </c>
      <c r="B20" s="12">
        <f>$B$30/$C$30*C20</f>
        <v>13.267040000000001</v>
      </c>
      <c r="C20" s="14">
        <v>2.93</v>
      </c>
      <c r="D20" s="5" t="s">
        <v>27</v>
      </c>
    </row>
    <row r="21" spans="1:4" x14ac:dyDescent="0.25">
      <c r="A21" s="10" t="s">
        <v>57</v>
      </c>
      <c r="B21" s="12">
        <f>$B$30/$C$30*C21</f>
        <v>2.8526400000000005</v>
      </c>
      <c r="C21" s="14">
        <v>0.63</v>
      </c>
      <c r="D21" s="5" t="s">
        <v>27</v>
      </c>
    </row>
    <row r="22" spans="1:4" x14ac:dyDescent="0.25">
      <c r="A22" s="10" t="s">
        <v>58</v>
      </c>
      <c r="B22" s="12">
        <f>$B$30/$C$30*C22</f>
        <v>6.6561600000000007</v>
      </c>
      <c r="C22" s="14">
        <v>1.47</v>
      </c>
      <c r="D22" s="5" t="s">
        <v>27</v>
      </c>
    </row>
    <row r="23" spans="1:4" x14ac:dyDescent="0.25">
      <c r="A23" s="10" t="s">
        <v>59</v>
      </c>
      <c r="B23" s="12">
        <f>$B$30/$C$30*C23</f>
        <v>1.4489600000000002</v>
      </c>
      <c r="C23" s="14">
        <v>0.32</v>
      </c>
      <c r="D23" s="5" t="s">
        <v>27</v>
      </c>
    </row>
    <row r="24" spans="1:4" x14ac:dyDescent="0.25">
      <c r="A24" s="6" t="s">
        <v>60</v>
      </c>
      <c r="B24" s="12">
        <f>B21/B20</f>
        <v>0.21501706484641639</v>
      </c>
      <c r="C24" s="14" t="s">
        <v>13</v>
      </c>
      <c r="D24" s="5" t="s">
        <v>14</v>
      </c>
    </row>
    <row r="25" spans="1:4" x14ac:dyDescent="0.25">
      <c r="A25" s="6" t="s">
        <v>61</v>
      </c>
      <c r="B25" s="12">
        <f>B23/B22</f>
        <v>0.21768707482993199</v>
      </c>
      <c r="C25" s="14" t="s">
        <v>13</v>
      </c>
      <c r="D25" s="5" t="s">
        <v>14</v>
      </c>
    </row>
    <row r="26" spans="1:4" x14ac:dyDescent="0.25">
      <c r="A26" s="3" t="s">
        <v>21</v>
      </c>
      <c r="B26" s="12">
        <v>0</v>
      </c>
      <c r="C26" s="14" t="s">
        <v>13</v>
      </c>
      <c r="D26" s="5" t="s">
        <v>19</v>
      </c>
    </row>
    <row r="27" spans="1:4" x14ac:dyDescent="0.25">
      <c r="A27" s="3" t="s">
        <v>7</v>
      </c>
      <c r="B27" s="12">
        <v>3</v>
      </c>
      <c r="C27" s="14" t="s">
        <v>13</v>
      </c>
      <c r="D27" s="5" t="s">
        <v>0</v>
      </c>
    </row>
    <row r="28" spans="1:4" x14ac:dyDescent="0.25">
      <c r="A28" s="3" t="s">
        <v>8</v>
      </c>
      <c r="B28" s="12">
        <v>0.22750000000000001</v>
      </c>
      <c r="C28" s="14" t="s">
        <v>13</v>
      </c>
      <c r="D28" s="5" t="s">
        <v>0</v>
      </c>
    </row>
    <row r="29" spans="1:4" x14ac:dyDescent="0.25">
      <c r="A29" s="3" t="s">
        <v>3</v>
      </c>
      <c r="B29" s="12">
        <f>B5/B6</f>
        <v>10</v>
      </c>
      <c r="C29" s="14" t="s">
        <v>13</v>
      </c>
      <c r="D29" s="5" t="s">
        <v>14</v>
      </c>
    </row>
    <row r="30" spans="1:4" x14ac:dyDescent="0.25">
      <c r="A30" s="10" t="s">
        <v>4</v>
      </c>
      <c r="B30" s="12">
        <v>11.32</v>
      </c>
      <c r="C30" s="14">
        <v>2.5</v>
      </c>
      <c r="D30" s="5" t="s">
        <v>0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603-7BA0-4D9A-95EF-34A9C14C4734}">
  <dimension ref="A1:F42"/>
  <sheetViews>
    <sheetView workbookViewId="0">
      <selection activeCell="A9" sqref="A9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General!$B$4/General!$C$4*C2</f>
        <v>37.899360000000001</v>
      </c>
      <c r="C2" s="14">
        <v>8.3699999999999992</v>
      </c>
      <c r="D2" s="5" t="s">
        <v>27</v>
      </c>
    </row>
    <row r="3" spans="1:6" x14ac:dyDescent="0.25">
      <c r="A3" s="3" t="s">
        <v>63</v>
      </c>
      <c r="B3" s="12">
        <f>B2+B14/4</f>
        <v>39.880360000000003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General!B6-'Horizontal Tail'!B3</f>
        <v>-12.940360000000002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63.675+2*B14*(B8-B9)</f>
        <v>113.18922336000003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16.844160000000002</v>
      </c>
      <c r="C7" s="14" t="s">
        <v>13</v>
      </c>
      <c r="D7" s="5" t="s">
        <v>14</v>
      </c>
    </row>
    <row r="8" spans="1:6" x14ac:dyDescent="0.25">
      <c r="A8" s="6" t="s">
        <v>40</v>
      </c>
      <c r="B8" s="12">
        <f>General!$B$4/General!$C$4*C8</f>
        <v>8.4220800000000011</v>
      </c>
      <c r="C8" s="14">
        <v>1.86</v>
      </c>
      <c r="D8" s="5" t="s">
        <v>27</v>
      </c>
    </row>
    <row r="9" spans="1:6" x14ac:dyDescent="0.25">
      <c r="A9" s="3" t="s">
        <v>39</v>
      </c>
      <c r="B9" s="12">
        <f>General!$B$4/General!$C$4*C9</f>
        <v>5.2977600000000002</v>
      </c>
      <c r="C9" s="14">
        <v>1.17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40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ATAN((3*B14/4 -3*B15/4)/B9)*180/PI()</f>
        <v>34.38363626055137</v>
      </c>
      <c r="C13" s="14" t="s">
        <v>13</v>
      </c>
      <c r="D13" s="5" t="s">
        <v>14</v>
      </c>
      <c r="E13">
        <f>DEGREES(ATAN(TAN(RADIANS(B11)) - (4/B31)*(0.25*(1 - B32)/(1 +B32))))</f>
        <v>33.585183760425153</v>
      </c>
    </row>
    <row r="14" spans="1:6" x14ac:dyDescent="0.25">
      <c r="A14" s="6" t="s">
        <v>47</v>
      </c>
      <c r="B14" s="12">
        <f>General!$B$4/General!$C$4*C14</f>
        <v>7.9240000000000013</v>
      </c>
      <c r="C14" s="14">
        <v>1.75</v>
      </c>
      <c r="D14" s="5" t="s">
        <v>27</v>
      </c>
    </row>
    <row r="15" spans="1:6" x14ac:dyDescent="0.25">
      <c r="A15" s="6" t="s">
        <v>48</v>
      </c>
      <c r="B15" s="12">
        <f>B14*B32</f>
        <v>3.0903600000000004</v>
      </c>
      <c r="C15" s="14">
        <v>0.67</v>
      </c>
      <c r="D15" s="5" t="s">
        <v>14</v>
      </c>
    </row>
    <row r="16" spans="1:6" x14ac:dyDescent="0.25">
      <c r="A16" s="6" t="s">
        <v>49</v>
      </c>
      <c r="B16" s="12">
        <f>B8-B9</f>
        <v>3.1243200000000009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0.37096774193548393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51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General!$B$4/General!$C$4*C20</f>
        <v>3.12432</v>
      </c>
      <c r="C20" s="14">
        <v>0.69</v>
      </c>
      <c r="D20" s="5" t="s">
        <v>27</v>
      </c>
    </row>
    <row r="21" spans="1:4" x14ac:dyDescent="0.25">
      <c r="A21" s="3" t="s">
        <v>53</v>
      </c>
      <c r="B21" s="12">
        <f>B8</f>
        <v>8.4220800000000011</v>
      </c>
      <c r="C21" s="14" t="s">
        <v>13</v>
      </c>
      <c r="D21" s="5" t="s">
        <v>14</v>
      </c>
    </row>
    <row r="22" spans="1:4" x14ac:dyDescent="0.25">
      <c r="A22" s="6" t="s">
        <v>54</v>
      </c>
      <c r="B22" s="12">
        <f>B20/B8</f>
        <v>0.37096774193548382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1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B14</f>
        <v>7.9240000000000013</v>
      </c>
      <c r="C24" s="14" t="s">
        <v>13</v>
      </c>
      <c r="D24" s="5" t="s">
        <v>14</v>
      </c>
    </row>
    <row r="25" spans="1:4" x14ac:dyDescent="0.25">
      <c r="A25" s="10" t="s">
        <v>57</v>
      </c>
      <c r="B25" s="12">
        <f>B24</f>
        <v>7.9240000000000013</v>
      </c>
      <c r="C25" s="14" t="s">
        <v>13</v>
      </c>
      <c r="D25" s="5" t="s">
        <v>14</v>
      </c>
    </row>
    <row r="26" spans="1:4" x14ac:dyDescent="0.25">
      <c r="A26" s="10" t="s">
        <v>58</v>
      </c>
      <c r="B26" s="12">
        <f>B15</f>
        <v>3.0903600000000004</v>
      </c>
      <c r="C26" s="14" t="s">
        <v>13</v>
      </c>
      <c r="D26" s="5" t="s">
        <v>14</v>
      </c>
    </row>
    <row r="27" spans="1:4" x14ac:dyDescent="0.25">
      <c r="A27" s="10" t="s">
        <v>59</v>
      </c>
      <c r="B27" s="12">
        <f>B15</f>
        <v>3.0903600000000004</v>
      </c>
      <c r="C27" s="14" t="s">
        <v>13</v>
      </c>
      <c r="D27" s="5" t="s">
        <v>14</v>
      </c>
    </row>
    <row r="28" spans="1:4" x14ac:dyDescent="0.25">
      <c r="A28" s="6" t="s">
        <v>60</v>
      </c>
      <c r="B28" s="12">
        <f>B25/B24</f>
        <v>1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1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2.5066496410458274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v>0.39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6.7197903225806463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5.90625</v>
      </c>
      <c r="C34" s="5" t="s">
        <v>13</v>
      </c>
      <c r="D34" s="5" t="s">
        <v>0</v>
      </c>
    </row>
    <row r="35" spans="1:6" x14ac:dyDescent="0.25">
      <c r="A35" s="10"/>
      <c r="C35" s="14"/>
    </row>
    <row r="37" spans="1:6" s="5" customFormat="1" x14ac:dyDescent="0.25">
      <c r="A37" s="3"/>
      <c r="B37" s="12"/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E82D-4DDD-45B9-B0D1-292FAA56D14E}">
  <dimension ref="A1:F42"/>
  <sheetViews>
    <sheetView tabSelected="1" workbookViewId="0">
      <selection activeCell="A22" sqref="A22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General!$B$7/General!$C$7*C2</f>
        <v>35.786776691116543</v>
      </c>
      <c r="C2" s="14">
        <v>8.9</v>
      </c>
      <c r="D2" s="5" t="s">
        <v>27</v>
      </c>
    </row>
    <row r="3" spans="1:6" x14ac:dyDescent="0.25">
      <c r="A3" s="3" t="s">
        <v>63</v>
      </c>
      <c r="B3" s="12">
        <f>B2+B14/4</f>
        <v>38.068686328443356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General!B6-'Vertical Tail'!B3</f>
        <v>-11.128686328443354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54.675+2*B14*(B8-B9)</f>
        <v>90.643065981085385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20.024511002444989</v>
      </c>
      <c r="C7" s="14" t="s">
        <v>13</v>
      </c>
      <c r="D7" s="5" t="s">
        <v>27</v>
      </c>
    </row>
    <row r="8" spans="1:6" x14ac:dyDescent="0.25">
      <c r="A8" s="6" t="s">
        <v>40</v>
      </c>
      <c r="B8" s="12">
        <f>General!$B$7/General!$C$7*C8</f>
        <v>10.012255501222494</v>
      </c>
      <c r="C8" s="14">
        <v>2.4900000000000002</v>
      </c>
      <c r="D8" s="5" t="s">
        <v>27</v>
      </c>
    </row>
    <row r="9" spans="1:6" x14ac:dyDescent="0.25">
      <c r="A9" s="3" t="s">
        <v>39</v>
      </c>
      <c r="B9" s="12">
        <f>General!$B$7/General!$C$7*C9</f>
        <v>8.0419722901385491</v>
      </c>
      <c r="C9" s="14">
        <f>C8-0.49</f>
        <v>2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47.5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DEGREES(ATAN(TAN(RADIANS(B11)) - (4/B31)*(0.25*(1 - B32)/(1 +B32))))</f>
        <v>45.100495471809488</v>
      </c>
      <c r="C13" s="14" t="s">
        <v>13</v>
      </c>
      <c r="D13" s="5" t="s">
        <v>14</v>
      </c>
    </row>
    <row r="14" spans="1:6" x14ac:dyDescent="0.25">
      <c r="A14" s="6" t="s">
        <v>47</v>
      </c>
      <c r="B14" s="12">
        <f>General!$B$7/General!$C$7*C14</f>
        <v>9.1276385493072532</v>
      </c>
      <c r="C14" s="14">
        <v>2.27</v>
      </c>
      <c r="D14" s="5" t="s">
        <v>27</v>
      </c>
    </row>
    <row r="15" spans="1:6" x14ac:dyDescent="0.25">
      <c r="A15" s="6" t="s">
        <v>48</v>
      </c>
      <c r="B15" s="12">
        <f>General!$B$7/General!$C$7*C15</f>
        <v>4.0209861450692745</v>
      </c>
      <c r="C15" s="14">
        <v>1</v>
      </c>
      <c r="D15" s="5" t="s">
        <v>14</v>
      </c>
    </row>
    <row r="16" spans="1:6" x14ac:dyDescent="0.25">
      <c r="A16" s="6" t="s">
        <v>49</v>
      </c>
      <c r="B16" s="12">
        <f>B8-B9</f>
        <v>1.9702832110839452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0.19678714859437757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66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General!$B$7/General!$C$7*C20</f>
        <v>3.5786776691116544</v>
      </c>
      <c r="C20" s="14">
        <v>0.89</v>
      </c>
      <c r="D20" s="5" t="s">
        <v>27</v>
      </c>
    </row>
    <row r="21" spans="1:4" x14ac:dyDescent="0.25">
      <c r="A21" s="3" t="s">
        <v>53</v>
      </c>
      <c r="B21" s="12">
        <f>General!$B$7/General!$C$7*C21</f>
        <v>9.409107579462102</v>
      </c>
      <c r="C21" s="14">
        <v>2.34</v>
      </c>
      <c r="D21" s="5" t="s">
        <v>14</v>
      </c>
    </row>
    <row r="22" spans="1:4" x14ac:dyDescent="0.25">
      <c r="A22" s="6" t="s">
        <v>54</v>
      </c>
      <c r="B22" s="12">
        <f>B20/B8</f>
        <v>0.35742971887550201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0.93975903614457823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General!$B$7/General!$C$7*C24</f>
        <v>8.122392013039935</v>
      </c>
      <c r="C24" s="14">
        <v>2.02</v>
      </c>
      <c r="D24" s="5" t="s">
        <v>14</v>
      </c>
    </row>
    <row r="25" spans="1:4" x14ac:dyDescent="0.25">
      <c r="A25" s="10" t="s">
        <v>57</v>
      </c>
      <c r="B25" s="12">
        <f>General!$B$7/General!$C$7*C25</f>
        <v>2.6136409942950287</v>
      </c>
      <c r="C25" s="14">
        <v>0.65</v>
      </c>
      <c r="D25" s="5" t="s">
        <v>14</v>
      </c>
    </row>
    <row r="26" spans="1:4" x14ac:dyDescent="0.25">
      <c r="A26" s="10" t="s">
        <v>58</v>
      </c>
      <c r="B26" s="12">
        <f>General!$B$7/General!$C$7*C26</f>
        <v>4.704553789731051</v>
      </c>
      <c r="C26" s="14">
        <v>1.17</v>
      </c>
      <c r="D26" s="5" t="s">
        <v>14</v>
      </c>
    </row>
    <row r="27" spans="1:4" x14ac:dyDescent="0.25">
      <c r="A27" s="10" t="s">
        <v>59</v>
      </c>
      <c r="B27" s="12">
        <f>General!$B$7/General!$C$7*C27</f>
        <v>1.407345150774246</v>
      </c>
      <c r="C27" s="14">
        <v>0.35</v>
      </c>
      <c r="D27" s="5" t="s">
        <v>14</v>
      </c>
    </row>
    <row r="28" spans="1:4" x14ac:dyDescent="0.25">
      <c r="A28" s="6" t="s">
        <v>60</v>
      </c>
      <c r="B28" s="12">
        <f>B25/B24</f>
        <v>0.32178217821782179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0.29914529914529914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4.4237365158269659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f>B15/B14</f>
        <v>0.44052863436123346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4.5266057168645908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6.8375000000000004</v>
      </c>
      <c r="C34" s="5" t="s">
        <v>13</v>
      </c>
      <c r="D34" s="5" t="s">
        <v>0</v>
      </c>
    </row>
    <row r="35" spans="1:6" x14ac:dyDescent="0.25">
      <c r="A35" s="10"/>
      <c r="C35" s="14"/>
    </row>
    <row r="37" spans="1:6" s="5" customFormat="1" x14ac:dyDescent="0.25">
      <c r="A37" s="3"/>
      <c r="B37" s="12"/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Main Wing</vt:lpstr>
      <vt:lpstr>Horizontal Tail</vt:lpstr>
      <vt:lpstr>Vertical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Bolander</dc:creator>
  <cp:lastModifiedBy>Christian Bolander</cp:lastModifiedBy>
  <dcterms:created xsi:type="dcterms:W3CDTF">2021-02-03T20:20:59Z</dcterms:created>
  <dcterms:modified xsi:type="dcterms:W3CDTF">2021-02-04T00:18:30Z</dcterms:modified>
</cp:coreProperties>
</file>