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ocuments\GitHub\F-16-Aero-Database\TODatabase\"/>
    </mc:Choice>
  </mc:AlternateContent>
  <xr:revisionPtr revIDLastSave="0" documentId="13_ncr:1_{AC874BE8-11CE-44B6-A02F-C3E9C6CC6B48}" xr6:coauthVersionLast="46" xr6:coauthVersionMax="46" xr10:uidLastSave="{00000000-0000-0000-0000-000000000000}"/>
  <bookViews>
    <workbookView xWindow="21555" yWindow="2910" windowWidth="14400" windowHeight="11745" activeTab="3" xr2:uid="{3E8F2039-709E-449F-8242-523A09CEFF71}"/>
  </bookViews>
  <sheets>
    <sheet name="General" sheetId="2" r:id="rId1"/>
    <sheet name="Main Wing" sheetId="1" r:id="rId2"/>
    <sheet name="Horizontal Tail" sheetId="3" r:id="rId3"/>
    <sheet name="Vertical Tai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3" i="3" l="1"/>
  <c r="V14" i="3"/>
  <c r="V12" i="3"/>
  <c r="V11" i="3"/>
  <c r="V6" i="3"/>
  <c r="V21" i="3"/>
  <c r="V20" i="3"/>
  <c r="V19" i="3"/>
  <c r="V18" i="3"/>
  <c r="V17" i="3"/>
  <c r="V5" i="3"/>
  <c r="V16" i="3"/>
  <c r="V2" i="3"/>
  <c r="V3" i="3" s="1"/>
  <c r="V4" i="3" s="1"/>
  <c r="I12" i="3"/>
  <c r="H17" i="3"/>
  <c r="H2" i="3"/>
  <c r="I24" i="4"/>
  <c r="H24" i="4"/>
  <c r="X24" i="4" s="1"/>
  <c r="H26" i="4"/>
  <c r="H25" i="4"/>
  <c r="H23" i="4"/>
  <c r="H21" i="4"/>
  <c r="H20" i="4"/>
  <c r="H19" i="4"/>
  <c r="H17" i="4"/>
  <c r="H18" i="4" s="1"/>
  <c r="X18" i="4" s="1"/>
  <c r="H14" i="4"/>
  <c r="H12" i="4"/>
  <c r="H11" i="4"/>
  <c r="I12" i="4"/>
  <c r="H9" i="4"/>
  <c r="X3" i="4"/>
  <c r="X4" i="4"/>
  <c r="X6" i="4"/>
  <c r="X7" i="4"/>
  <c r="X8" i="4"/>
  <c r="X9" i="4"/>
  <c r="X10" i="4"/>
  <c r="X11" i="4"/>
  <c r="X12" i="4"/>
  <c r="X13" i="4"/>
  <c r="X14" i="4"/>
  <c r="X15" i="4"/>
  <c r="X16" i="4"/>
  <c r="X19" i="4"/>
  <c r="X20" i="4"/>
  <c r="X21" i="4"/>
  <c r="X22" i="4"/>
  <c r="X23" i="4"/>
  <c r="X25" i="4"/>
  <c r="X26" i="4"/>
  <c r="H6" i="4"/>
  <c r="H5" i="4"/>
  <c r="X5" i="4" s="1"/>
  <c r="H4" i="4"/>
  <c r="H3" i="4"/>
  <c r="H16" i="4"/>
  <c r="H2" i="4"/>
  <c r="Y5" i="3"/>
  <c r="Y7" i="3"/>
  <c r="Y8" i="3"/>
  <c r="Y10" i="3"/>
  <c r="Y13" i="3"/>
  <c r="Y15" i="3"/>
  <c r="Y22" i="3"/>
  <c r="Y24" i="3"/>
  <c r="Y25" i="3"/>
  <c r="Y26" i="3"/>
  <c r="Y27" i="3"/>
  <c r="Y28" i="3"/>
  <c r="Y29" i="3"/>
  <c r="H19" i="3"/>
  <c r="Y19" i="3" s="1"/>
  <c r="H18" i="3"/>
  <c r="Y18" i="3" s="1"/>
  <c r="H6" i="3"/>
  <c r="H9" i="3" s="1"/>
  <c r="H5" i="3"/>
  <c r="H20" i="3"/>
  <c r="H21" i="3"/>
  <c r="H16" i="3"/>
  <c r="Y16" i="3" s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28" i="1"/>
  <c r="Y29" i="1"/>
  <c r="Y30" i="1"/>
  <c r="Y2" i="1"/>
  <c r="H30" i="1"/>
  <c r="R30" i="1" s="1"/>
  <c r="H29" i="1"/>
  <c r="H28" i="1"/>
  <c r="H26" i="1"/>
  <c r="R26" i="1" s="1"/>
  <c r="H25" i="1"/>
  <c r="R25" i="1"/>
  <c r="R18" i="1"/>
  <c r="R19" i="1"/>
  <c r="R20" i="1"/>
  <c r="R21" i="1"/>
  <c r="R22" i="1"/>
  <c r="R23" i="1"/>
  <c r="R24" i="1"/>
  <c r="R27" i="1"/>
  <c r="R28" i="1"/>
  <c r="R29" i="1"/>
  <c r="R31" i="1"/>
  <c r="R1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2" i="1"/>
  <c r="H24" i="1"/>
  <c r="H23" i="1"/>
  <c r="H22" i="1"/>
  <c r="H21" i="1"/>
  <c r="H20" i="1"/>
  <c r="H19" i="1"/>
  <c r="H18" i="1"/>
  <c r="H17" i="1"/>
  <c r="H5" i="1"/>
  <c r="H7" i="1"/>
  <c r="H6" i="1"/>
  <c r="H14" i="1"/>
  <c r="H8" i="1"/>
  <c r="J5" i="2"/>
  <c r="J4" i="2"/>
  <c r="I3" i="2"/>
  <c r="I5" i="2"/>
  <c r="I4" i="2"/>
  <c r="H13" i="1"/>
  <c r="H3" i="1" s="1"/>
  <c r="H4" i="1" s="1"/>
  <c r="H2" i="1"/>
  <c r="I2" i="2"/>
  <c r="H29" i="3"/>
  <c r="R44" i="3"/>
  <c r="R17" i="3"/>
  <c r="R18" i="3"/>
  <c r="U6" i="4"/>
  <c r="U24" i="4" s="1"/>
  <c r="R12" i="3"/>
  <c r="V29" i="3"/>
  <c r="R16" i="3"/>
  <c r="V9" i="3"/>
  <c r="V5" i="1"/>
  <c r="V9" i="1"/>
  <c r="V10" i="1"/>
  <c r="V8" i="1"/>
  <c r="V7" i="1" s="1"/>
  <c r="V14" i="1"/>
  <c r="V29" i="1" s="1"/>
  <c r="V13" i="1"/>
  <c r="V2" i="1"/>
  <c r="V3" i="1" s="1"/>
  <c r="V4" i="1" s="1"/>
  <c r="U21" i="4"/>
  <c r="U13" i="4"/>
  <c r="U10" i="4"/>
  <c r="U26" i="4"/>
  <c r="U25" i="4"/>
  <c r="U19" i="4"/>
  <c r="U20" i="4" s="1"/>
  <c r="U5" i="4"/>
  <c r="U16" i="4"/>
  <c r="U17" i="4" s="1"/>
  <c r="U18" i="4" s="1"/>
  <c r="U2" i="4"/>
  <c r="U3" i="4" s="1"/>
  <c r="U4" i="4" s="1"/>
  <c r="W2" i="2"/>
  <c r="W4" i="2"/>
  <c r="W3" i="2"/>
  <c r="P4" i="2"/>
  <c r="N5" i="1"/>
  <c r="Q38" i="3"/>
  <c r="Q43" i="3"/>
  <c r="Q44" i="3"/>
  <c r="Q9" i="3"/>
  <c r="Q12" i="3"/>
  <c r="Q13" i="3"/>
  <c r="Q16" i="3"/>
  <c r="Q17" i="3"/>
  <c r="Q18" i="3"/>
  <c r="Q26" i="3"/>
  <c r="R15" i="3"/>
  <c r="R26" i="3"/>
  <c r="N21" i="3"/>
  <c r="N35" i="3" s="1"/>
  <c r="R35" i="3" s="1"/>
  <c r="N20" i="3"/>
  <c r="Q20" i="3" s="1"/>
  <c r="N9" i="3"/>
  <c r="N8" i="3" s="1"/>
  <c r="N10" i="3" s="1"/>
  <c r="N42" i="4"/>
  <c r="N35" i="4"/>
  <c r="N34" i="4"/>
  <c r="N33" i="4"/>
  <c r="N32" i="4"/>
  <c r="N20" i="4"/>
  <c r="N10" i="4"/>
  <c r="N9" i="4"/>
  <c r="N8" i="4"/>
  <c r="N5" i="4"/>
  <c r="N19" i="4"/>
  <c r="B21" i="3"/>
  <c r="Q21" i="3" s="1"/>
  <c r="B12" i="1"/>
  <c r="N21" i="4"/>
  <c r="N2" i="4"/>
  <c r="Q38" i="4"/>
  <c r="Q26" i="4"/>
  <c r="Q13" i="4"/>
  <c r="Q12" i="4"/>
  <c r="N45" i="3"/>
  <c r="N42" i="3"/>
  <c r="N32" i="3"/>
  <c r="R32" i="3" s="1"/>
  <c r="R38" i="3"/>
  <c r="N24" i="3"/>
  <c r="N28" i="3" s="1"/>
  <c r="N5" i="3"/>
  <c r="N2" i="3"/>
  <c r="O2" i="3"/>
  <c r="N19" i="3"/>
  <c r="N7" i="3"/>
  <c r="N11" i="3" s="1"/>
  <c r="Q6" i="1"/>
  <c r="Q7" i="1"/>
  <c r="Q9" i="1"/>
  <c r="Q15" i="1"/>
  <c r="Q27" i="1"/>
  <c r="N24" i="1"/>
  <c r="P6" i="2"/>
  <c r="N18" i="1"/>
  <c r="N22" i="1"/>
  <c r="N17" i="1"/>
  <c r="P5" i="2"/>
  <c r="N30" i="1"/>
  <c r="N28" i="1"/>
  <c r="Q28" i="1" s="1"/>
  <c r="N14" i="1"/>
  <c r="N29" i="1" s="1"/>
  <c r="Q29" i="1" s="1"/>
  <c r="N31" i="1"/>
  <c r="N23" i="1" s="1"/>
  <c r="N26" i="1" s="1"/>
  <c r="N11" i="1"/>
  <c r="N10" i="1"/>
  <c r="Q10" i="1" s="1"/>
  <c r="N13" i="1"/>
  <c r="P3" i="2"/>
  <c r="P2" i="2"/>
  <c r="N3" i="3" l="1"/>
  <c r="N4" i="3" s="1"/>
  <c r="R9" i="3"/>
  <c r="H3" i="3"/>
  <c r="Y17" i="3"/>
  <c r="Y21" i="3"/>
  <c r="Y20" i="3"/>
  <c r="H11" i="3"/>
  <c r="Y9" i="3"/>
  <c r="Y6" i="3"/>
  <c r="H12" i="3"/>
  <c r="Y12" i="3" s="1"/>
  <c r="H14" i="3"/>
  <c r="Y14" i="3" s="1"/>
  <c r="Y3" i="3"/>
  <c r="H4" i="3"/>
  <c r="Y4" i="3" s="1"/>
  <c r="Y2" i="3"/>
  <c r="X17" i="4"/>
  <c r="X2" i="4"/>
  <c r="U9" i="4"/>
  <c r="U12" i="4"/>
  <c r="U23" i="4" s="1"/>
  <c r="N36" i="4"/>
  <c r="V6" i="1"/>
  <c r="V30" i="1" s="1"/>
  <c r="R39" i="3"/>
  <c r="R42" i="3"/>
  <c r="R13" i="3"/>
  <c r="R7" i="3"/>
  <c r="R10" i="3"/>
  <c r="R11" i="3"/>
  <c r="N6" i="3"/>
  <c r="R6" i="3" s="1"/>
  <c r="N12" i="1"/>
  <c r="Q12" i="1" s="1"/>
  <c r="R24" i="3"/>
  <c r="N11" i="4"/>
  <c r="N7" i="4" s="1"/>
  <c r="R21" i="3"/>
  <c r="N2" i="1"/>
  <c r="N3" i="1" s="1"/>
  <c r="N4" i="1" s="1"/>
  <c r="Q31" i="1"/>
  <c r="N21" i="1"/>
  <c r="N22" i="4"/>
  <c r="N29" i="4" s="1"/>
  <c r="Q42" i="3"/>
  <c r="R4" i="3"/>
  <c r="N25" i="1"/>
  <c r="N37" i="4"/>
  <c r="Q11" i="1"/>
  <c r="R5" i="3"/>
  <c r="R20" i="3"/>
  <c r="N6" i="4"/>
  <c r="Q10" i="3"/>
  <c r="N19" i="1"/>
  <c r="N20" i="1"/>
  <c r="N22" i="3"/>
  <c r="N28" i="4"/>
  <c r="R8" i="3"/>
  <c r="R19" i="3"/>
  <c r="R2" i="3"/>
  <c r="N40" i="3"/>
  <c r="N34" i="3"/>
  <c r="N33" i="3"/>
  <c r="N25" i="3"/>
  <c r="N14" i="3"/>
  <c r="N37" i="3"/>
  <c r="N30" i="3"/>
  <c r="R28" i="3"/>
  <c r="N29" i="3"/>
  <c r="N40" i="4"/>
  <c r="N24" i="4"/>
  <c r="N3" i="4"/>
  <c r="Q42" i="4"/>
  <c r="B15" i="2"/>
  <c r="B45" i="3"/>
  <c r="Q45" i="3" s="1"/>
  <c r="Y11" i="3" l="1"/>
  <c r="H23" i="3"/>
  <c r="Y23" i="3" s="1"/>
  <c r="N30" i="4"/>
  <c r="N31" i="4"/>
  <c r="N23" i="4"/>
  <c r="V28" i="1"/>
  <c r="R43" i="3"/>
  <c r="R45" i="3"/>
  <c r="N25" i="4"/>
  <c r="R3" i="3"/>
  <c r="R37" i="3"/>
  <c r="R14" i="3"/>
  <c r="R25" i="3"/>
  <c r="R33" i="3"/>
  <c r="N41" i="4"/>
  <c r="N36" i="3"/>
  <c r="R34" i="3"/>
  <c r="Q22" i="3"/>
  <c r="N23" i="3"/>
  <c r="R22" i="3"/>
  <c r="R40" i="3"/>
  <c r="N41" i="3"/>
  <c r="R29" i="3"/>
  <c r="N31" i="3"/>
  <c r="R30" i="3"/>
  <c r="N4" i="4"/>
  <c r="B6" i="2"/>
  <c r="B5" i="4"/>
  <c r="Q5" i="4" s="1"/>
  <c r="B35" i="4"/>
  <c r="Q35" i="4" s="1"/>
  <c r="B34" i="4"/>
  <c r="Q34" i="4" s="1"/>
  <c r="B33" i="4"/>
  <c r="Q33" i="4" s="1"/>
  <c r="B32" i="4"/>
  <c r="Q32" i="4" s="1"/>
  <c r="B29" i="4"/>
  <c r="Q29" i="4" s="1"/>
  <c r="C8" i="4"/>
  <c r="B8" i="4" s="1"/>
  <c r="Q8" i="4" s="1"/>
  <c r="B28" i="4"/>
  <c r="Q28" i="4" s="1"/>
  <c r="B21" i="4"/>
  <c r="Q21" i="4" s="1"/>
  <c r="B19" i="4"/>
  <c r="Q19" i="4" s="1"/>
  <c r="B11" i="4"/>
  <c r="B2" i="4"/>
  <c r="Q2" i="4" s="1"/>
  <c r="B7" i="2"/>
  <c r="B28" i="3"/>
  <c r="B19" i="3"/>
  <c r="Q19" i="3" s="1"/>
  <c r="B8" i="3"/>
  <c r="Q8" i="3" s="1"/>
  <c r="B11" i="3"/>
  <c r="Q11" i="3" s="1"/>
  <c r="B5" i="3"/>
  <c r="Q5" i="3" s="1"/>
  <c r="B2" i="3"/>
  <c r="Q2" i="3" s="1"/>
  <c r="B24" i="1"/>
  <c r="Q24" i="1" s="1"/>
  <c r="B23" i="1"/>
  <c r="Q23" i="1" s="1"/>
  <c r="B22" i="1"/>
  <c r="B21" i="1"/>
  <c r="Q21" i="1" s="1"/>
  <c r="B18" i="1"/>
  <c r="Q18" i="1" s="1"/>
  <c r="B17" i="1"/>
  <c r="Q17" i="1" s="1"/>
  <c r="B13" i="1"/>
  <c r="B30" i="1"/>
  <c r="Q30" i="1" s="1"/>
  <c r="B2" i="1"/>
  <c r="Q2" i="1" s="1"/>
  <c r="B8" i="1"/>
  <c r="B25" i="1" l="1"/>
  <c r="Q25" i="1" s="1"/>
  <c r="Q22" i="1"/>
  <c r="B20" i="1"/>
  <c r="Q20" i="1" s="1"/>
  <c r="Q8" i="1"/>
  <c r="B26" i="1"/>
  <c r="Q26" i="1" s="1"/>
  <c r="Q13" i="1"/>
  <c r="B14" i="1"/>
  <c r="Q14" i="1" s="1"/>
  <c r="Q23" i="3"/>
  <c r="R23" i="3"/>
  <c r="R41" i="3"/>
  <c r="R36" i="3"/>
  <c r="B7" i="4"/>
  <c r="Q7" i="4" s="1"/>
  <c r="Q11" i="4"/>
  <c r="B7" i="3"/>
  <c r="Q7" i="3" s="1"/>
  <c r="B6" i="3"/>
  <c r="Q6" i="3" s="1"/>
  <c r="B40" i="3"/>
  <c r="Q40" i="3" s="1"/>
  <c r="B30" i="3"/>
  <c r="Q30" i="3" s="1"/>
  <c r="Q28" i="3"/>
  <c r="R31" i="3"/>
  <c r="B6" i="4"/>
  <c r="Q6" i="4" s="1"/>
  <c r="B40" i="4"/>
  <c r="Q40" i="4" s="1"/>
  <c r="B3" i="4"/>
  <c r="B31" i="4"/>
  <c r="Q31" i="4" s="1"/>
  <c r="B24" i="4"/>
  <c r="B30" i="4"/>
  <c r="Q30" i="4" s="1"/>
  <c r="B29" i="3"/>
  <c r="Q29" i="3" s="1"/>
  <c r="B32" i="3"/>
  <c r="Q32" i="3" s="1"/>
  <c r="B36" i="4"/>
  <c r="Q36" i="4" s="1"/>
  <c r="B24" i="3"/>
  <c r="Q24" i="3" s="1"/>
  <c r="B3" i="3"/>
  <c r="Q3" i="3" s="1"/>
  <c r="B3" i="1"/>
  <c r="B19" i="1"/>
  <c r="Q19" i="1" s="1"/>
  <c r="B4" i="1" l="1"/>
  <c r="Q4" i="1" s="1"/>
  <c r="Q3" i="1"/>
  <c r="B31" i="3"/>
  <c r="Q31" i="3" s="1"/>
  <c r="B4" i="4"/>
  <c r="Q4" i="4" s="1"/>
  <c r="Q3" i="4"/>
  <c r="B25" i="4"/>
  <c r="Q25" i="4" s="1"/>
  <c r="Q24" i="4"/>
  <c r="B4" i="3"/>
  <c r="Q4" i="3" s="1"/>
  <c r="B25" i="3"/>
  <c r="Q25" i="3" s="1"/>
  <c r="B33" i="3"/>
  <c r="Q33" i="3" s="1"/>
  <c r="B39" i="3"/>
  <c r="Q39" i="3" s="1"/>
  <c r="B41" i="4"/>
  <c r="Q41" i="4" s="1"/>
  <c r="B39" i="4"/>
  <c r="B41" i="3"/>
  <c r="Q41" i="3" s="1"/>
  <c r="B14" i="4" l="1"/>
  <c r="Q14" i="4" s="1"/>
  <c r="B15" i="4"/>
  <c r="Q15" i="4" s="1"/>
  <c r="Q39" i="4"/>
  <c r="B36" i="3"/>
  <c r="Q36" i="3" s="1"/>
  <c r="B37" i="4"/>
  <c r="Q37" i="4" s="1"/>
  <c r="B15" i="3"/>
  <c r="Q15" i="3" s="1"/>
  <c r="B14" i="3"/>
  <c r="Q14" i="3" s="1"/>
  <c r="E15" i="3"/>
  <c r="B34" i="3"/>
  <c r="Q34" i="3" s="1"/>
  <c r="B35" i="3" l="1"/>
  <c r="Q35" i="3" s="1"/>
  <c r="B37" i="3" l="1"/>
  <c r="Q37" i="3" s="1"/>
</calcChain>
</file>

<file path=xl/sharedStrings.xml><?xml version="1.0" encoding="utf-8"?>
<sst xmlns="http://schemas.openxmlformats.org/spreadsheetml/2006/main" count="899" uniqueCount="117">
  <si>
    <t>Fox</t>
  </si>
  <si>
    <t>Property</t>
  </si>
  <si>
    <t>Source</t>
  </si>
  <si>
    <t>Mean Geometric Chord</t>
  </si>
  <si>
    <t>Mean Aerodynamic Chord</t>
  </si>
  <si>
    <t>Planform Area</t>
  </si>
  <si>
    <t>Span</t>
  </si>
  <si>
    <t>Aspect Ratio</t>
  </si>
  <si>
    <t>Taper Ratio</t>
  </si>
  <si>
    <t>Weight, lbf</t>
  </si>
  <si>
    <t>CG Reference Location, ft</t>
  </si>
  <si>
    <t>Stevens</t>
  </si>
  <si>
    <t>Scale</t>
  </si>
  <si>
    <t>-</t>
  </si>
  <si>
    <t>Calculated</t>
  </si>
  <si>
    <t>LE Sweep, deg</t>
  </si>
  <si>
    <t>TE Sweep, deg</t>
  </si>
  <si>
    <t>Airfoil</t>
  </si>
  <si>
    <t>NACA 64A204</t>
  </si>
  <si>
    <t>Pilot's Manual*</t>
  </si>
  <si>
    <t>Dihedral, deg</t>
  </si>
  <si>
    <t>Mounting Angle, deg</t>
  </si>
  <si>
    <t>Main Wing Root Chord</t>
  </si>
  <si>
    <t>Scale (in)</t>
  </si>
  <si>
    <t>x to LE of Root Section</t>
  </si>
  <si>
    <t>x to Root QC</t>
  </si>
  <si>
    <t>Main Wing Tip Chord</t>
  </si>
  <si>
    <t>Measured (Fox)</t>
  </si>
  <si>
    <t>x from CG to Root QC</t>
  </si>
  <si>
    <t>Semispan</t>
  </si>
  <si>
    <t>Reference Area, ft^2</t>
  </si>
  <si>
    <t>Value</t>
  </si>
  <si>
    <t>Reference Longitudinal Length (MW MAC), ft</t>
  </si>
  <si>
    <t>Reference Lateral Length (MW Span), ft</t>
  </si>
  <si>
    <t>Page/Slide</t>
  </si>
  <si>
    <t>Twist</t>
  </si>
  <si>
    <t>Estimated</t>
  </si>
  <si>
    <t>Assumption</t>
  </si>
  <si>
    <t>QC Sweep, deg</t>
  </si>
  <si>
    <t>Semispan, ft</t>
  </si>
  <si>
    <t>Span, ft</t>
  </si>
  <si>
    <t>Planform Area, ft^2</t>
  </si>
  <si>
    <t>x from CG to Root QC, ft</t>
  </si>
  <si>
    <t>Twist, deg</t>
  </si>
  <si>
    <t>Mean Aerodynamic Chord, ft</t>
  </si>
  <si>
    <t>Root Chord, ft</t>
  </si>
  <si>
    <t>Tip Chord, ft</t>
  </si>
  <si>
    <t>NACA 0005</t>
  </si>
  <si>
    <t>Control Surface Start Spanwise Station, ft</t>
  </si>
  <si>
    <t>Control Surface End Spanwise Station, ft</t>
  </si>
  <si>
    <t>Control Surface Start Span Fraction</t>
  </si>
  <si>
    <t>Control Surface End Span Fraction</t>
  </si>
  <si>
    <t>Control Surface Start Wing Chord, ft</t>
  </si>
  <si>
    <t>Control Surface Start Chord, ft</t>
  </si>
  <si>
    <t>Control Surface End Wing Chord, ft</t>
  </si>
  <si>
    <t>Control Surface End Chord, ft</t>
  </si>
  <si>
    <t>Control Surface Start Chord Fraction</t>
  </si>
  <si>
    <t>Control Surface End Chord Fraction</t>
  </si>
  <si>
    <t>x from Nose to LE of Root Section, ft</t>
  </si>
  <si>
    <t>x from Nose to Root QC, ft</t>
  </si>
  <si>
    <t>z from CG to Root Section, ft</t>
  </si>
  <si>
    <t>Total Length Including Sting (Reference), ft</t>
  </si>
  <si>
    <t>NACA 0004</t>
  </si>
  <si>
    <t>Differential Deflection Limits, deg</t>
  </si>
  <si>
    <t>Nguyen</t>
  </si>
  <si>
    <t>Aileron Deflection Limits, deg</t>
  </si>
  <si>
    <t>Differential Mixing Coefficient</t>
  </si>
  <si>
    <t>Conversions</t>
  </si>
  <si>
    <t>ft to m</t>
  </si>
  <si>
    <t>m to ft</t>
  </si>
  <si>
    <t>Manual</t>
  </si>
  <si>
    <t>Measured(Manual)</t>
  </si>
  <si>
    <t>Horizontal Tail Span (Reference Lat), ft</t>
  </si>
  <si>
    <t>Mean Aerodynamic Chord (Reference Long), ft</t>
  </si>
  <si>
    <t>Diff (Fox)</t>
  </si>
  <si>
    <t>Diff (Lockheed)</t>
  </si>
  <si>
    <t>Measured (Manual)</t>
  </si>
  <si>
    <t>Mean Geometric Chord, ft</t>
  </si>
  <si>
    <t>https://core.ac.uk/download/pdf/249335986.pdf</t>
  </si>
  <si>
    <t>http://www.dept.aoe.vt.edu/~lutze/AOE3104/airfoilwings.pdf</t>
  </si>
  <si>
    <t>Semispan w/o Fuselage or Nub, ft</t>
  </si>
  <si>
    <t>Semispan of Nub, ft</t>
  </si>
  <si>
    <t>Semispan of Fuselage Section, ft</t>
  </si>
  <si>
    <t>Nub Chord, ft</t>
  </si>
  <si>
    <t>Fuselage Chord Transition Spanwise Station, ft</t>
  </si>
  <si>
    <t>Fuselage Chord Transition Span Fraction</t>
  </si>
  <si>
    <t>Nub Chord Transition Spanwise Station, ft</t>
  </si>
  <si>
    <t>Nub Chord Transition Span Fraction</t>
  </si>
  <si>
    <t>Main LE Sweep, deg</t>
  </si>
  <si>
    <t>Main TE Sweep, deg</t>
  </si>
  <si>
    <t>Main QC Sweep, deg</t>
  </si>
  <si>
    <t>Nub LE Sweep, deg</t>
  </si>
  <si>
    <t>Nub TE Sweep, deg</t>
  </si>
  <si>
    <t>Nub QC Sweep, deg</t>
  </si>
  <si>
    <t>CG Reference Location (z), ft</t>
  </si>
  <si>
    <t>Total Length</t>
  </si>
  <si>
    <t>CAD</t>
  </si>
  <si>
    <t>S.1 Start Span Fraction</t>
  </si>
  <si>
    <t>S.1 End Span Fraction</t>
  </si>
  <si>
    <t>S.1 QC Sweep, deg</t>
  </si>
  <si>
    <t>S.2 QC Sweep, deg</t>
  </si>
  <si>
    <t>S.2 Start Span Fraction</t>
  </si>
  <si>
    <t>S.2 End Span Fraction</t>
  </si>
  <si>
    <t>S.3 QC Sweep, deg</t>
  </si>
  <si>
    <t>S.3 Start Span Fraction</t>
  </si>
  <si>
    <t>S.3 End Span Fraction</t>
  </si>
  <si>
    <t>S.1 Start Chord, ft</t>
  </si>
  <si>
    <t>S.1 End Chord, ft</t>
  </si>
  <si>
    <t>S.2 Start Chord, ft</t>
  </si>
  <si>
    <t>S.2 End Chord, ft</t>
  </si>
  <si>
    <t>S.3 Start Chord, ft</t>
  </si>
  <si>
    <t>S.3 End Chord, ft</t>
  </si>
  <si>
    <t>Spanwise Reference, ft</t>
  </si>
  <si>
    <t>Lockheed (Measured)</t>
  </si>
  <si>
    <t>Fuselage Reference, ft</t>
  </si>
  <si>
    <t>From Nose</t>
  </si>
  <si>
    <t>Diff (Dave)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</si>
</sst>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164" fontId="0" fillId="0" borderId="0" xfId="0" applyNumberFormat="1"/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0</xdr:rowOff>
    </xdr:from>
    <xdr:to>
      <xdr:col>4</xdr:col>
      <xdr:colOff>364531</xdr:colOff>
      <xdr:row>39</xdr:row>
      <xdr:rowOff>104923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6CFB87-6B91-4E5F-97E3-CBAC7AF4B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477000"/>
          <a:ext cx="6449325" cy="1057423"/>
        </a:xfrm>
        <a:prstGeom prst="rect">
          <a:avLst/>
        </a:prstGeom>
      </xdr:spPr>
    </xdr:pic>
    <xdr:clientData/>
  </xdr:twoCellAnchor>
  <xdr:twoCellAnchor editAs="oneCell">
    <xdr:from>
      <xdr:col>5</xdr:col>
      <xdr:colOff>537881</xdr:colOff>
      <xdr:row>31</xdr:row>
      <xdr:rowOff>168088</xdr:rowOff>
    </xdr:from>
    <xdr:to>
      <xdr:col>10</xdr:col>
      <xdr:colOff>227802</xdr:colOff>
      <xdr:row>41</xdr:row>
      <xdr:rowOff>34985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053D98-07E2-4084-8D23-556333EE5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27793" y="6073588"/>
          <a:ext cx="6335009" cy="17718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92E2A-D30F-43EF-A94C-834989349B33}">
  <dimension ref="A1:Z16"/>
  <sheetViews>
    <sheetView topLeftCell="B1" workbookViewId="0">
      <selection activeCell="I5" sqref="I5"/>
    </sheetView>
  </sheetViews>
  <sheetFormatPr defaultRowHeight="15" x14ac:dyDescent="0.25"/>
  <cols>
    <col min="1" max="1" width="41.85546875" bestFit="1" customWidth="1"/>
    <col min="2" max="3" width="12.7109375" customWidth="1"/>
    <col min="4" max="4" width="15" bestFit="1" customWidth="1"/>
    <col min="5" max="5" width="10.5703125" bestFit="1" customWidth="1"/>
    <col min="8" max="8" width="31.140625" bestFit="1" customWidth="1"/>
    <col min="9" max="11" width="12.5703125" customWidth="1"/>
    <col min="12" max="12" width="10.5703125" bestFit="1" customWidth="1"/>
    <col min="15" max="15" width="43.140625" bestFit="1" customWidth="1"/>
    <col min="16" max="16" width="12" bestFit="1" customWidth="1"/>
    <col min="17" max="17" width="5.5703125" bestFit="1" customWidth="1"/>
    <col min="18" max="18" width="18.140625" bestFit="1" customWidth="1"/>
    <col min="19" max="19" width="10.5703125" bestFit="1" customWidth="1"/>
    <col min="22" max="22" width="26.7109375" bestFit="1" customWidth="1"/>
  </cols>
  <sheetData>
    <row r="1" spans="1:26" x14ac:dyDescent="0.25">
      <c r="A1" s="1" t="s">
        <v>1</v>
      </c>
      <c r="B1" s="1" t="s">
        <v>31</v>
      </c>
      <c r="C1" s="1" t="s">
        <v>12</v>
      </c>
      <c r="D1" s="1" t="s">
        <v>2</v>
      </c>
      <c r="E1" s="1" t="s">
        <v>34</v>
      </c>
      <c r="H1" s="1" t="s">
        <v>1</v>
      </c>
      <c r="I1" s="1" t="s">
        <v>31</v>
      </c>
      <c r="J1" s="1" t="s">
        <v>12</v>
      </c>
      <c r="K1" s="1" t="s">
        <v>2</v>
      </c>
      <c r="L1" s="1"/>
      <c r="O1" s="1" t="s">
        <v>1</v>
      </c>
      <c r="P1" s="1" t="s">
        <v>31</v>
      </c>
      <c r="Q1" s="1" t="s">
        <v>12</v>
      </c>
      <c r="R1" s="1" t="s">
        <v>2</v>
      </c>
      <c r="S1" s="1" t="s">
        <v>34</v>
      </c>
      <c r="V1" s="1" t="s">
        <v>1</v>
      </c>
      <c r="W1" s="1" t="s">
        <v>31</v>
      </c>
      <c r="X1" s="1" t="s">
        <v>12</v>
      </c>
      <c r="Y1" s="1" t="s">
        <v>2</v>
      </c>
      <c r="Z1" s="1" t="s">
        <v>34</v>
      </c>
    </row>
    <row r="2" spans="1:26" x14ac:dyDescent="0.25">
      <c r="A2" s="8" t="s">
        <v>9</v>
      </c>
      <c r="B2" s="7">
        <v>20500</v>
      </c>
      <c r="C2" s="5" t="s">
        <v>13</v>
      </c>
      <c r="D2" s="5" t="s">
        <v>11</v>
      </c>
      <c r="H2" s="2" t="s">
        <v>112</v>
      </c>
      <c r="I2" s="12">
        <f>(71.12 - 53)/12</f>
        <v>1.5100000000000005</v>
      </c>
      <c r="J2" s="5">
        <v>0.36</v>
      </c>
      <c r="K2" s="5"/>
      <c r="O2" s="2" t="s">
        <v>61</v>
      </c>
      <c r="P2" s="5">
        <f>49+5.2/12</f>
        <v>49.43333333333333</v>
      </c>
      <c r="Q2" s="5">
        <v>9.61</v>
      </c>
      <c r="R2" s="5" t="s">
        <v>70</v>
      </c>
      <c r="V2" s="2" t="s">
        <v>95</v>
      </c>
      <c r="W2" s="5">
        <f>574.40944881/12</f>
        <v>47.867454067499999</v>
      </c>
      <c r="X2" s="5"/>
      <c r="Y2" s="5" t="s">
        <v>96</v>
      </c>
      <c r="Z2">
        <v>9</v>
      </c>
    </row>
    <row r="3" spans="1:26" x14ac:dyDescent="0.25">
      <c r="A3" s="8" t="s">
        <v>30</v>
      </c>
      <c r="B3" s="5">
        <v>300</v>
      </c>
      <c r="C3" s="5" t="s">
        <v>13</v>
      </c>
      <c r="D3" s="5" t="s">
        <v>0</v>
      </c>
      <c r="H3" s="2" t="s">
        <v>114</v>
      </c>
      <c r="I3" s="12">
        <f>50/12</f>
        <v>4.166666666666667</v>
      </c>
      <c r="J3" s="5">
        <v>1.1200000000000001</v>
      </c>
      <c r="O3" s="2" t="s">
        <v>10</v>
      </c>
      <c r="P3">
        <f>P2/Q2*Q3 - 22.2/12</f>
        <v>27.727696843565727</v>
      </c>
      <c r="Q3">
        <v>5.75</v>
      </c>
      <c r="R3" t="s">
        <v>70</v>
      </c>
      <c r="V3" s="2" t="s">
        <v>10</v>
      </c>
      <c r="W3">
        <f>323.36688629/12</f>
        <v>26.94724052416667</v>
      </c>
      <c r="Y3" s="5" t="s">
        <v>96</v>
      </c>
    </row>
    <row r="4" spans="1:26" x14ac:dyDescent="0.25">
      <c r="A4" s="9" t="s">
        <v>32</v>
      </c>
      <c r="B4" s="5">
        <v>11.32</v>
      </c>
      <c r="C4" s="5">
        <v>2.5</v>
      </c>
      <c r="D4" s="5" t="s">
        <v>0</v>
      </c>
      <c r="H4" s="2" t="s">
        <v>10</v>
      </c>
      <c r="I4" s="12">
        <f>323.36688629/12</f>
        <v>26.94724052416667</v>
      </c>
      <c r="J4" s="14">
        <f>J3/I3*I4</f>
        <v>7.2434182528960003</v>
      </c>
      <c r="K4" s="5" t="s">
        <v>96</v>
      </c>
      <c r="L4" t="s">
        <v>115</v>
      </c>
      <c r="O4" s="2" t="s">
        <v>94</v>
      </c>
      <c r="P4">
        <f>P3/Q3*Q4</f>
        <v>4.7739860652400115</v>
      </c>
      <c r="Q4">
        <v>0.99</v>
      </c>
      <c r="V4" s="2" t="s">
        <v>94</v>
      </c>
      <c r="W4" s="12">
        <f>11.47832079/12</f>
        <v>0.95652673249999998</v>
      </c>
      <c r="Y4" s="5" t="s">
        <v>96</v>
      </c>
    </row>
    <row r="5" spans="1:26" x14ac:dyDescent="0.25">
      <c r="A5" s="8" t="s">
        <v>33</v>
      </c>
      <c r="B5" s="5">
        <v>30</v>
      </c>
      <c r="C5" s="5" t="s">
        <v>13</v>
      </c>
      <c r="D5" s="5" t="s">
        <v>0</v>
      </c>
      <c r="H5" s="2" t="s">
        <v>94</v>
      </c>
      <c r="I5" s="12">
        <f>11.47832079/12</f>
        <v>0.95652673249999998</v>
      </c>
      <c r="J5" s="14">
        <f>J3/I3*I5</f>
        <v>0.25711438569599998</v>
      </c>
      <c r="K5" s="5" t="s">
        <v>96</v>
      </c>
      <c r="L5" t="s">
        <v>115</v>
      </c>
      <c r="O5" s="2" t="s">
        <v>72</v>
      </c>
      <c r="P5">
        <f>18+4.2/12</f>
        <v>18.350000000000001</v>
      </c>
      <c r="Q5">
        <v>3.5</v>
      </c>
      <c r="R5" t="s">
        <v>71</v>
      </c>
    </row>
    <row r="6" spans="1:26" x14ac:dyDescent="0.25">
      <c r="A6" s="2" t="s">
        <v>10</v>
      </c>
      <c r="B6" s="5">
        <f>B4/C4*C6</f>
        <v>26.941600000000005</v>
      </c>
      <c r="C6" s="5">
        <v>5.95</v>
      </c>
      <c r="D6" s="5" t="s">
        <v>27</v>
      </c>
      <c r="H6" s="2"/>
      <c r="I6" s="12"/>
      <c r="J6" s="14"/>
      <c r="O6" s="2" t="s">
        <v>73</v>
      </c>
      <c r="P6" s="12">
        <f>135.84/12</f>
        <v>11.32</v>
      </c>
      <c r="Q6" s="14">
        <v>2.17</v>
      </c>
      <c r="R6" t="s">
        <v>71</v>
      </c>
    </row>
    <row r="7" spans="1:26" x14ac:dyDescent="0.25">
      <c r="A7" s="2" t="s">
        <v>61</v>
      </c>
      <c r="B7" s="5">
        <f>39.47*15/12</f>
        <v>49.337499999999999</v>
      </c>
      <c r="C7" s="5">
        <v>12.27</v>
      </c>
      <c r="D7" s="5" t="s">
        <v>0</v>
      </c>
    </row>
    <row r="14" spans="1:26" x14ac:dyDescent="0.25">
      <c r="A14" s="15" t="s">
        <v>67</v>
      </c>
    </row>
    <row r="15" spans="1:26" x14ac:dyDescent="0.25">
      <c r="A15" t="s">
        <v>68</v>
      </c>
      <c r="B15">
        <f>1/B16</f>
        <v>0.30479999024640031</v>
      </c>
    </row>
    <row r="16" spans="1:26" x14ac:dyDescent="0.25">
      <c r="A16" t="s">
        <v>69</v>
      </c>
      <c r="B16">
        <v>3.28084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BCD00-6B66-4330-AB34-9A8ADBDB78E3}">
  <dimension ref="A1:Y42"/>
  <sheetViews>
    <sheetView topLeftCell="E1" zoomScale="85" zoomScaleNormal="85" workbookViewId="0">
      <selection activeCell="V12" sqref="V12"/>
    </sheetView>
  </sheetViews>
  <sheetFormatPr defaultRowHeight="15" x14ac:dyDescent="0.25"/>
  <cols>
    <col min="1" max="1" width="38.140625" bestFit="1" customWidth="1"/>
    <col min="2" max="2" width="12.85546875" style="12" bestFit="1" customWidth="1"/>
    <col min="3" max="3" width="12.42578125" style="5" customWidth="1"/>
    <col min="4" max="4" width="27.7109375" style="5" customWidth="1"/>
    <col min="7" max="7" width="38.140625" bestFit="1" customWidth="1"/>
    <col min="8" max="9" width="15.5703125" customWidth="1"/>
    <col min="10" max="10" width="21.140625" bestFit="1" customWidth="1"/>
    <col min="13" max="13" width="38.140625" bestFit="1" customWidth="1"/>
    <col min="14" max="14" width="12.85546875" bestFit="1" customWidth="1"/>
    <col min="16" max="16" width="20.85546875" customWidth="1"/>
    <col min="17" max="17" width="9.28515625" bestFit="1" customWidth="1"/>
    <col min="18" max="18" width="14.7109375" bestFit="1" customWidth="1"/>
    <col min="21" max="21" width="38.140625" bestFit="1" customWidth="1"/>
    <col min="22" max="22" width="12.85546875" bestFit="1" customWidth="1"/>
    <col min="25" max="25" width="10.5703125" bestFit="1" customWidth="1"/>
  </cols>
  <sheetData>
    <row r="1" spans="1:25" x14ac:dyDescent="0.25">
      <c r="A1" s="1" t="s">
        <v>1</v>
      </c>
      <c r="B1" s="11" t="s">
        <v>31</v>
      </c>
      <c r="C1" s="1" t="s">
        <v>23</v>
      </c>
      <c r="D1" s="1" t="s">
        <v>2</v>
      </c>
      <c r="F1" s="4"/>
      <c r="G1" s="1" t="s">
        <v>1</v>
      </c>
      <c r="H1" s="11" t="s">
        <v>31</v>
      </c>
      <c r="I1" s="1" t="s">
        <v>23</v>
      </c>
      <c r="J1" s="1" t="s">
        <v>2</v>
      </c>
      <c r="M1" s="1" t="s">
        <v>1</v>
      </c>
      <c r="N1" s="11" t="s">
        <v>31</v>
      </c>
      <c r="O1" s="1" t="s">
        <v>23</v>
      </c>
      <c r="P1" s="1" t="s">
        <v>2</v>
      </c>
      <c r="Q1" s="1" t="s">
        <v>74</v>
      </c>
      <c r="R1" s="1" t="s">
        <v>75</v>
      </c>
      <c r="U1" s="1" t="s">
        <v>1</v>
      </c>
      <c r="V1" s="11" t="s">
        <v>31</v>
      </c>
      <c r="W1" s="1" t="s">
        <v>23</v>
      </c>
      <c r="X1" s="1" t="s">
        <v>2</v>
      </c>
      <c r="Y1" s="15" t="s">
        <v>116</v>
      </c>
    </row>
    <row r="2" spans="1:25" x14ac:dyDescent="0.25">
      <c r="A2" s="3" t="s">
        <v>24</v>
      </c>
      <c r="B2" s="12">
        <f>$B$31/$C$31*C2</f>
        <v>18.021440000000002</v>
      </c>
      <c r="C2" s="14">
        <v>3.98</v>
      </c>
      <c r="D2" s="5" t="s">
        <v>27</v>
      </c>
      <c r="G2" s="3" t="s">
        <v>24</v>
      </c>
      <c r="H2" s="12">
        <f>General!$I$2/General!$J$2*'Main Wing'!I2</f>
        <v>18.245833333333337</v>
      </c>
      <c r="I2" s="14">
        <v>4.3499999999999996</v>
      </c>
      <c r="J2" s="5" t="s">
        <v>113</v>
      </c>
      <c r="M2" s="3" t="s">
        <v>24</v>
      </c>
      <c r="N2" s="12">
        <f>$N$31/$O$31*O2</f>
        <v>18.101566820276499</v>
      </c>
      <c r="O2" s="14">
        <v>3.47</v>
      </c>
      <c r="P2" s="5" t="s">
        <v>71</v>
      </c>
      <c r="Q2" s="16">
        <f>N2-B2</f>
        <v>8.0126820276497313E-2</v>
      </c>
      <c r="R2" s="16">
        <f>N2-H2</f>
        <v>-0.14426651305683791</v>
      </c>
      <c r="U2" s="3" t="s">
        <v>24</v>
      </c>
      <c r="V2" s="12">
        <f>219.41897/12</f>
        <v>18.284914166666667</v>
      </c>
      <c r="W2" s="14"/>
      <c r="X2" s="5"/>
      <c r="Y2" s="16">
        <f>V2-H2</f>
        <v>3.9080833333329679E-2</v>
      </c>
    </row>
    <row r="3" spans="1:25" x14ac:dyDescent="0.25">
      <c r="A3" s="3" t="s">
        <v>25</v>
      </c>
      <c r="B3" s="12">
        <f>B2+B13/4</f>
        <v>22.074000000000002</v>
      </c>
      <c r="C3" s="14" t="s">
        <v>13</v>
      </c>
      <c r="D3" s="5" t="s">
        <v>14</v>
      </c>
      <c r="G3" s="3" t="s">
        <v>25</v>
      </c>
      <c r="H3" s="12">
        <f>H2+H13/4</f>
        <v>22.345902777777784</v>
      </c>
      <c r="I3" s="14"/>
      <c r="J3" s="5" t="s">
        <v>14</v>
      </c>
      <c r="M3" s="3" t="s">
        <v>25</v>
      </c>
      <c r="N3" s="12">
        <f>N2+N13/4</f>
        <v>22.174900153609833</v>
      </c>
      <c r="O3" s="14"/>
      <c r="P3" s="5" t="s">
        <v>14</v>
      </c>
      <c r="Q3" s="16">
        <f t="shared" ref="Q3:Q4" si="0">N3-B3</f>
        <v>0.10090015360983173</v>
      </c>
      <c r="R3" s="16">
        <f t="shared" ref="R3:R15" si="1">N3-H3</f>
        <v>-0.17100262416795076</v>
      </c>
      <c r="U3" s="3" t="s">
        <v>25</v>
      </c>
      <c r="V3" s="12">
        <f>V2+V13/4</f>
        <v>22.387406041666665</v>
      </c>
      <c r="W3" s="14"/>
      <c r="X3" s="5"/>
      <c r="Y3" s="16">
        <f t="shared" ref="Y3:Y30" si="2">V3-H3</f>
        <v>4.1503263888881037E-2</v>
      </c>
    </row>
    <row r="4" spans="1:25" x14ac:dyDescent="0.25">
      <c r="A4" s="6" t="s">
        <v>28</v>
      </c>
      <c r="B4" s="12">
        <f>General!B6-'Main Wing'!B3</f>
        <v>4.867600000000003</v>
      </c>
      <c r="C4" s="14" t="s">
        <v>13</v>
      </c>
      <c r="D4" s="5" t="s">
        <v>14</v>
      </c>
      <c r="G4" s="6" t="s">
        <v>28</v>
      </c>
      <c r="H4" s="12">
        <f>General!I4-'Main Wing'!H3</f>
        <v>4.6013377463888858</v>
      </c>
      <c r="I4" s="14"/>
      <c r="J4" s="5" t="s">
        <v>14</v>
      </c>
      <c r="M4" s="6" t="s">
        <v>28</v>
      </c>
      <c r="N4" s="12">
        <f>General!P3-'Main Wing'!N3</f>
        <v>5.552796689955894</v>
      </c>
      <c r="O4" s="14"/>
      <c r="P4" s="5" t="s">
        <v>14</v>
      </c>
      <c r="Q4" s="16">
        <f t="shared" si="0"/>
        <v>0.685196689955891</v>
      </c>
      <c r="R4" s="16">
        <f t="shared" si="1"/>
        <v>0.95145894356700822</v>
      </c>
      <c r="U4" s="6" t="s">
        <v>28</v>
      </c>
      <c r="V4" s="12">
        <f>General!W3-'Main Wing'!V3</f>
        <v>4.5598344825000048</v>
      </c>
      <c r="X4" s="5"/>
      <c r="Y4" s="16">
        <f t="shared" si="2"/>
        <v>-4.1503263888881037E-2</v>
      </c>
    </row>
    <row r="5" spans="1:25" x14ac:dyDescent="0.25">
      <c r="A5" s="6" t="s">
        <v>60</v>
      </c>
      <c r="G5" s="6" t="s">
        <v>60</v>
      </c>
      <c r="H5" s="12">
        <f>General!I3/General!J3*'Main Wing'!I5</f>
        <v>0.11160714285714286</v>
      </c>
      <c r="I5" s="14">
        <v>0.03</v>
      </c>
      <c r="J5" s="5" t="s">
        <v>113</v>
      </c>
      <c r="M5" s="6" t="s">
        <v>60</v>
      </c>
      <c r="N5" s="12">
        <f>General!P2/General!Q2*'Main Wing'!O5</f>
        <v>0.77159209157127984</v>
      </c>
      <c r="O5">
        <v>0.15</v>
      </c>
      <c r="P5" s="5" t="s">
        <v>71</v>
      </c>
      <c r="R5" s="16">
        <f t="shared" si="1"/>
        <v>0.65998494871413693</v>
      </c>
      <c r="U5" s="6" t="s">
        <v>60</v>
      </c>
      <c r="V5" s="12">
        <f>(2.62005-1.40078)/12</f>
        <v>0.10160583333333334</v>
      </c>
      <c r="Y5" s="16">
        <f t="shared" si="2"/>
        <v>-1.0001309523809523E-2</v>
      </c>
    </row>
    <row r="6" spans="1:25" x14ac:dyDescent="0.25">
      <c r="A6" s="10" t="s">
        <v>5</v>
      </c>
      <c r="B6" s="12">
        <v>300</v>
      </c>
      <c r="C6" s="14" t="s">
        <v>13</v>
      </c>
      <c r="D6" s="5" t="s">
        <v>0</v>
      </c>
      <c r="G6" s="10" t="s">
        <v>5</v>
      </c>
      <c r="H6" s="12">
        <f>(H13+H14)*H8</f>
        <v>308.76354166666687</v>
      </c>
      <c r="I6" s="14"/>
      <c r="J6" s="5" t="s">
        <v>14</v>
      </c>
      <c r="M6" s="10" t="s">
        <v>5</v>
      </c>
      <c r="N6" s="12">
        <v>300</v>
      </c>
      <c r="O6" s="14"/>
      <c r="P6" s="5" t="s">
        <v>70</v>
      </c>
      <c r="Q6" s="16">
        <f t="shared" ref="Q6:Q15" si="3">N6-B6</f>
        <v>0</v>
      </c>
      <c r="R6" s="16">
        <f t="shared" si="1"/>
        <v>-8.7635416666668675</v>
      </c>
      <c r="U6" s="10" t="s">
        <v>5</v>
      </c>
      <c r="V6" s="12">
        <f>0.5*(V13+V14)*V7</f>
        <v>314.26116534338746</v>
      </c>
      <c r="W6" s="14"/>
      <c r="X6" s="5"/>
      <c r="Y6" s="16">
        <f t="shared" si="2"/>
        <v>5.4976236767205933</v>
      </c>
    </row>
    <row r="7" spans="1:25" x14ac:dyDescent="0.25">
      <c r="A7" s="10" t="s">
        <v>6</v>
      </c>
      <c r="B7" s="12">
        <v>30</v>
      </c>
      <c r="C7" s="14" t="s">
        <v>13</v>
      </c>
      <c r="D7" s="5" t="s">
        <v>0</v>
      </c>
      <c r="G7" s="10" t="s">
        <v>6</v>
      </c>
      <c r="H7" s="12">
        <f>H8*2</f>
        <v>31.458333333333343</v>
      </c>
      <c r="I7" s="14"/>
      <c r="J7" s="5" t="s">
        <v>14</v>
      </c>
      <c r="M7" s="10" t="s">
        <v>6</v>
      </c>
      <c r="N7" s="12">
        <v>30</v>
      </c>
      <c r="O7" s="14"/>
      <c r="P7" s="5" t="s">
        <v>70</v>
      </c>
      <c r="Q7" s="16">
        <f t="shared" si="3"/>
        <v>0</v>
      </c>
      <c r="R7" s="16">
        <f t="shared" si="1"/>
        <v>-1.4583333333333428</v>
      </c>
      <c r="U7" s="10" t="s">
        <v>6</v>
      </c>
      <c r="V7" s="12">
        <f>V8*2</f>
        <v>31.91601</v>
      </c>
      <c r="W7" s="14"/>
      <c r="X7" s="5"/>
      <c r="Y7" s="16">
        <f t="shared" si="2"/>
        <v>0.45767666666665718</v>
      </c>
    </row>
    <row r="8" spans="1:25" x14ac:dyDescent="0.25">
      <c r="A8" s="6" t="s">
        <v>29</v>
      </c>
      <c r="B8" s="12">
        <f>B7/2</f>
        <v>15</v>
      </c>
      <c r="C8" s="14" t="s">
        <v>13</v>
      </c>
      <c r="D8" s="5" t="s">
        <v>14</v>
      </c>
      <c r="G8" s="6" t="s">
        <v>29</v>
      </c>
      <c r="H8" s="12">
        <f>General!$I$2/General!$J$2*'Main Wing'!I8</f>
        <v>15.729166666666671</v>
      </c>
      <c r="I8" s="14">
        <v>3.75</v>
      </c>
      <c r="J8" s="5" t="s">
        <v>113</v>
      </c>
      <c r="M8" s="6" t="s">
        <v>29</v>
      </c>
      <c r="N8" s="12">
        <v>15</v>
      </c>
      <c r="O8" s="14"/>
      <c r="P8" s="5" t="s">
        <v>70</v>
      </c>
      <c r="Q8" s="16">
        <f t="shared" si="3"/>
        <v>0</v>
      </c>
      <c r="R8" s="16">
        <f t="shared" si="1"/>
        <v>-0.7291666666666714</v>
      </c>
      <c r="U8" s="6" t="s">
        <v>29</v>
      </c>
      <c r="V8" s="12">
        <f>191.49606/12</f>
        <v>15.958005</v>
      </c>
      <c r="W8" s="14"/>
      <c r="X8" s="5"/>
      <c r="Y8" s="16">
        <f t="shared" si="2"/>
        <v>0.22883833333332859</v>
      </c>
    </row>
    <row r="9" spans="1:25" x14ac:dyDescent="0.25">
      <c r="A9" s="8" t="s">
        <v>35</v>
      </c>
      <c r="B9" s="12">
        <v>0</v>
      </c>
      <c r="C9" s="14" t="s">
        <v>13</v>
      </c>
      <c r="D9" s="5" t="s">
        <v>37</v>
      </c>
      <c r="G9" s="8" t="s">
        <v>35</v>
      </c>
      <c r="H9" s="12">
        <v>2</v>
      </c>
      <c r="I9" s="14"/>
      <c r="J9" s="5" t="s">
        <v>113</v>
      </c>
      <c r="M9" s="8" t="s">
        <v>35</v>
      </c>
      <c r="N9" s="12">
        <v>0</v>
      </c>
      <c r="O9" s="14"/>
      <c r="P9" s="5" t="s">
        <v>70</v>
      </c>
      <c r="Q9" s="16">
        <f t="shared" si="3"/>
        <v>0</v>
      </c>
      <c r="R9" s="16">
        <f t="shared" si="1"/>
        <v>-2</v>
      </c>
      <c r="U9" s="8" t="s">
        <v>43</v>
      </c>
      <c r="V9" s="12">
        <f>1.8869</f>
        <v>1.8869</v>
      </c>
      <c r="W9" s="14"/>
      <c r="X9" s="5"/>
      <c r="Y9" s="16">
        <f t="shared" si="2"/>
        <v>-0.11309999999999998</v>
      </c>
    </row>
    <row r="10" spans="1:25" x14ac:dyDescent="0.25">
      <c r="A10" s="3" t="s">
        <v>15</v>
      </c>
      <c r="B10" s="12">
        <v>40</v>
      </c>
      <c r="C10" s="14" t="s">
        <v>13</v>
      </c>
      <c r="D10" s="5" t="s">
        <v>0</v>
      </c>
      <c r="G10" s="3" t="s">
        <v>15</v>
      </c>
      <c r="H10" s="12">
        <v>40</v>
      </c>
      <c r="I10" s="14"/>
      <c r="J10" s="5" t="s">
        <v>113</v>
      </c>
      <c r="M10" s="3" t="s">
        <v>15</v>
      </c>
      <c r="N10" s="12">
        <f>40</f>
        <v>40</v>
      </c>
      <c r="O10" s="14"/>
      <c r="P10" s="5" t="s">
        <v>70</v>
      </c>
      <c r="Q10" s="16">
        <f t="shared" si="3"/>
        <v>0</v>
      </c>
      <c r="R10" s="16">
        <f t="shared" si="1"/>
        <v>0</v>
      </c>
      <c r="U10" s="3" t="s">
        <v>15</v>
      </c>
      <c r="V10" s="12">
        <f>39.4475</f>
        <v>39.447499999999998</v>
      </c>
      <c r="W10" s="14"/>
      <c r="X10" s="5"/>
      <c r="Y10" s="16">
        <f t="shared" si="2"/>
        <v>-0.55250000000000199</v>
      </c>
    </row>
    <row r="11" spans="1:25" x14ac:dyDescent="0.25">
      <c r="A11" s="3" t="s">
        <v>16</v>
      </c>
      <c r="B11" s="12">
        <v>0</v>
      </c>
      <c r="C11" s="14" t="s">
        <v>13</v>
      </c>
      <c r="D11" s="5" t="s">
        <v>0</v>
      </c>
      <c r="G11" s="3" t="s">
        <v>16</v>
      </c>
      <c r="H11" s="12">
        <v>0</v>
      </c>
      <c r="I11" s="14"/>
      <c r="J11" s="5" t="s">
        <v>113</v>
      </c>
      <c r="M11" s="3" t="s">
        <v>16</v>
      </c>
      <c r="N11" s="12">
        <f>0</f>
        <v>0</v>
      </c>
      <c r="O11" s="14"/>
      <c r="P11" s="5" t="s">
        <v>70</v>
      </c>
      <c r="Q11" s="16">
        <f t="shared" si="3"/>
        <v>0</v>
      </c>
      <c r="R11" s="16">
        <f t="shared" si="1"/>
        <v>0</v>
      </c>
      <c r="U11" s="3" t="s">
        <v>16</v>
      </c>
      <c r="V11" s="12">
        <v>0</v>
      </c>
      <c r="W11" s="14"/>
      <c r="X11" s="5"/>
      <c r="Y11" s="16">
        <f t="shared" si="2"/>
        <v>0</v>
      </c>
    </row>
    <row r="12" spans="1:25" x14ac:dyDescent="0.25">
      <c r="A12" s="8" t="s">
        <v>38</v>
      </c>
      <c r="B12" s="12">
        <f>DEGREES(ATAN(TAN(RADIANS(B10)) - (1/B28)*((1 - B29)/(1 +B29))))</f>
        <v>32.18317839831419</v>
      </c>
      <c r="C12" s="14" t="s">
        <v>13</v>
      </c>
      <c r="D12" s="5" t="s">
        <v>14</v>
      </c>
      <c r="G12" s="8" t="s">
        <v>38</v>
      </c>
      <c r="H12" s="12">
        <v>32</v>
      </c>
      <c r="I12" s="14"/>
      <c r="J12" s="5" t="s">
        <v>113</v>
      </c>
      <c r="M12" s="8" t="s">
        <v>38</v>
      </c>
      <c r="N12" s="12">
        <f>DEGREES(ATAN(TAN(RADIANS(N10)) - (1/N28)*((1 - N29)/(1 +N29))))</f>
        <v>32.177529844069163</v>
      </c>
      <c r="O12" s="14"/>
      <c r="P12" s="5" t="s">
        <v>14</v>
      </c>
      <c r="Q12" s="16">
        <f t="shared" si="3"/>
        <v>-5.6485542450275261E-3</v>
      </c>
      <c r="R12" s="16">
        <f t="shared" si="1"/>
        <v>0.17752984406916283</v>
      </c>
      <c r="U12" s="8" t="s">
        <v>38</v>
      </c>
      <c r="V12" s="12">
        <v>31.678840000000001</v>
      </c>
      <c r="W12" s="14"/>
      <c r="X12" s="5"/>
      <c r="Y12" s="16">
        <f t="shared" si="2"/>
        <v>-0.321159999999999</v>
      </c>
    </row>
    <row r="13" spans="1:25" x14ac:dyDescent="0.25">
      <c r="A13" s="6" t="s">
        <v>22</v>
      </c>
      <c r="B13" s="12">
        <f>$B$31/$C$31*C13</f>
        <v>16.210240000000002</v>
      </c>
      <c r="C13" s="14">
        <v>3.58</v>
      </c>
      <c r="D13" s="5" t="s">
        <v>27</v>
      </c>
      <c r="G13" s="6" t="s">
        <v>22</v>
      </c>
      <c r="H13" s="12">
        <f>General!$I$2/General!$J$2*'Main Wing'!I13</f>
        <v>16.400277777777784</v>
      </c>
      <c r="I13" s="14">
        <v>3.91</v>
      </c>
      <c r="J13" s="5" t="s">
        <v>113</v>
      </c>
      <c r="M13" s="6" t="s">
        <v>22</v>
      </c>
      <c r="N13" s="12">
        <f>195.52/12</f>
        <v>16.293333333333333</v>
      </c>
      <c r="O13" s="14"/>
      <c r="P13" s="5" t="s">
        <v>70</v>
      </c>
      <c r="Q13" s="16">
        <f t="shared" si="3"/>
        <v>8.3093333333330577E-2</v>
      </c>
      <c r="R13" s="16">
        <f t="shared" si="1"/>
        <v>-0.10694444444445139</v>
      </c>
      <c r="U13" s="6" t="s">
        <v>22</v>
      </c>
      <c r="V13" s="12">
        <f>196.91961/12</f>
        <v>16.4099675</v>
      </c>
      <c r="W13" s="14"/>
      <c r="X13" s="5"/>
      <c r="Y13" s="16">
        <f t="shared" si="2"/>
        <v>9.6897222222160906E-3</v>
      </c>
    </row>
    <row r="14" spans="1:25" x14ac:dyDescent="0.25">
      <c r="A14" s="6" t="s">
        <v>26</v>
      </c>
      <c r="B14" s="12">
        <f>B13*B29</f>
        <v>3.6878296000000006</v>
      </c>
      <c r="C14" s="14">
        <v>0.81</v>
      </c>
      <c r="D14" s="5" t="s">
        <v>14</v>
      </c>
      <c r="G14" s="6" t="s">
        <v>26</v>
      </c>
      <c r="H14" s="12">
        <f>General!$I$2/General!$J$2*'Main Wing'!I14</f>
        <v>3.229722222222223</v>
      </c>
      <c r="I14" s="14">
        <v>0.77</v>
      </c>
      <c r="J14" s="5" t="s">
        <v>113</v>
      </c>
      <c r="M14" s="6" t="s">
        <v>26</v>
      </c>
      <c r="N14" s="12">
        <f>44.42/12</f>
        <v>3.7016666666666667</v>
      </c>
      <c r="O14" s="14"/>
      <c r="P14" s="5" t="s">
        <v>70</v>
      </c>
      <c r="Q14" s="16">
        <f t="shared" si="3"/>
        <v>1.3837066666666065E-2</v>
      </c>
      <c r="R14" s="16">
        <f t="shared" si="1"/>
        <v>0.47194444444444361</v>
      </c>
      <c r="U14" s="6" t="s">
        <v>26</v>
      </c>
      <c r="V14" s="12">
        <f>39.39652/12</f>
        <v>3.2830433333333335</v>
      </c>
      <c r="W14" s="14"/>
      <c r="X14" s="5"/>
      <c r="Y14" s="16">
        <f t="shared" si="2"/>
        <v>5.3321111111110486E-2</v>
      </c>
    </row>
    <row r="15" spans="1:25" x14ac:dyDescent="0.25">
      <c r="A15" s="6" t="s">
        <v>20</v>
      </c>
      <c r="B15" s="12">
        <v>0</v>
      </c>
      <c r="C15" s="14" t="s">
        <v>13</v>
      </c>
      <c r="D15" s="5" t="s">
        <v>19</v>
      </c>
      <c r="G15" s="6" t="s">
        <v>20</v>
      </c>
      <c r="H15" s="12">
        <v>-1</v>
      </c>
      <c r="I15" s="14"/>
      <c r="J15" s="5" t="s">
        <v>113</v>
      </c>
      <c r="M15" s="6" t="s">
        <v>20</v>
      </c>
      <c r="N15" s="12">
        <v>0</v>
      </c>
      <c r="O15" s="14"/>
      <c r="P15" s="5" t="s">
        <v>70</v>
      </c>
      <c r="Q15" s="16">
        <f t="shared" si="3"/>
        <v>0</v>
      </c>
      <c r="R15" s="16">
        <f t="shared" si="1"/>
        <v>1</v>
      </c>
      <c r="U15" s="6" t="s">
        <v>20</v>
      </c>
      <c r="V15" s="12">
        <v>-1.3369500000000001</v>
      </c>
      <c r="W15" s="14"/>
      <c r="X15" s="5"/>
      <c r="Y15" s="16">
        <f t="shared" si="2"/>
        <v>-0.33695000000000008</v>
      </c>
    </row>
    <row r="16" spans="1:25" x14ac:dyDescent="0.25">
      <c r="A16" s="6" t="s">
        <v>17</v>
      </c>
      <c r="B16" s="13" t="s">
        <v>18</v>
      </c>
      <c r="C16" s="14" t="s">
        <v>13</v>
      </c>
      <c r="D16" s="5" t="s">
        <v>0</v>
      </c>
      <c r="G16" s="6" t="s">
        <v>17</v>
      </c>
      <c r="H16" s="12"/>
      <c r="I16" s="14"/>
      <c r="J16" s="5"/>
      <c r="M16" s="6" t="s">
        <v>17</v>
      </c>
      <c r="N16" s="13" t="s">
        <v>18</v>
      </c>
      <c r="O16" s="14"/>
      <c r="P16" s="5" t="s">
        <v>70</v>
      </c>
      <c r="Q16" s="16"/>
      <c r="R16" s="16"/>
      <c r="U16" s="6" t="s">
        <v>17</v>
      </c>
      <c r="V16" s="12" t="s">
        <v>18</v>
      </c>
      <c r="W16" s="14"/>
      <c r="X16" s="5"/>
      <c r="Y16" s="16"/>
    </row>
    <row r="17" spans="1:25" x14ac:dyDescent="0.25">
      <c r="A17" s="3" t="s">
        <v>48</v>
      </c>
      <c r="B17" s="12">
        <f>$B$31/$C$31*C17</f>
        <v>3.4865600000000003</v>
      </c>
      <c r="C17" s="14">
        <v>0.77</v>
      </c>
      <c r="D17" s="5" t="s">
        <v>27</v>
      </c>
      <c r="G17" s="3" t="s">
        <v>48</v>
      </c>
      <c r="H17" s="12">
        <f>General!$I$2/General!$J$2*'Main Wing'!I17</f>
        <v>3.5652777777777787</v>
      </c>
      <c r="I17" s="14">
        <v>0.85</v>
      </c>
      <c r="J17" s="5" t="s">
        <v>113</v>
      </c>
      <c r="M17" s="3" t="s">
        <v>48</v>
      </c>
      <c r="N17" s="12">
        <f>General!$P$5/General!$Q$5*'Main Wing'!O17</f>
        <v>3.5127142857142859</v>
      </c>
      <c r="O17" s="14">
        <v>0.67</v>
      </c>
      <c r="P17" s="5" t="s">
        <v>71</v>
      </c>
      <c r="Q17" s="16">
        <f t="shared" ref="Q17:Q31" si="4">N17-B17</f>
        <v>2.6154285714285574E-2</v>
      </c>
      <c r="R17" s="16">
        <f>N17-H17</f>
        <v>-5.2563492063492756E-2</v>
      </c>
      <c r="U17" s="3" t="s">
        <v>48</v>
      </c>
      <c r="V17" s="12"/>
      <c r="W17" s="14"/>
      <c r="X17" s="5"/>
      <c r="Y17" s="16"/>
    </row>
    <row r="18" spans="1:25" x14ac:dyDescent="0.25">
      <c r="A18" s="3" t="s">
        <v>49</v>
      </c>
      <c r="B18" s="12">
        <f>$B$31/$C$31*C18</f>
        <v>11.13888</v>
      </c>
      <c r="C18" s="14">
        <v>2.46</v>
      </c>
      <c r="D18" s="5" t="s">
        <v>27</v>
      </c>
      <c r="G18" s="3" t="s">
        <v>49</v>
      </c>
      <c r="H18" s="12">
        <f>General!$I$2/General!$J$2*'Main Wing'!I18</f>
        <v>11.912222222222224</v>
      </c>
      <c r="I18" s="14">
        <v>2.84</v>
      </c>
      <c r="J18" s="5" t="s">
        <v>113</v>
      </c>
      <c r="M18" s="3" t="s">
        <v>49</v>
      </c>
      <c r="N18" s="12">
        <f>General!$P$5/General!$Q$5*'Main Wing'!O18</f>
        <v>11.639142857142858</v>
      </c>
      <c r="O18" s="14">
        <v>2.2200000000000002</v>
      </c>
      <c r="P18" s="5" t="s">
        <v>71</v>
      </c>
      <c r="Q18" s="16">
        <f t="shared" si="4"/>
        <v>0.50026285714285734</v>
      </c>
      <c r="R18" s="16">
        <f t="shared" ref="R18:R31" si="5">N18-H18</f>
        <v>-0.27307936507936681</v>
      </c>
      <c r="U18" s="3" t="s">
        <v>49</v>
      </c>
      <c r="V18" s="12"/>
      <c r="W18" s="14"/>
      <c r="X18" s="5"/>
      <c r="Y18" s="16"/>
    </row>
    <row r="19" spans="1:25" x14ac:dyDescent="0.25">
      <c r="A19" s="6" t="s">
        <v>50</v>
      </c>
      <c r="B19" s="12">
        <f>B17/B8</f>
        <v>0.23243733333333336</v>
      </c>
      <c r="C19" s="14" t="s">
        <v>13</v>
      </c>
      <c r="D19" s="5" t="s">
        <v>14</v>
      </c>
      <c r="G19" s="6" t="s">
        <v>50</v>
      </c>
      <c r="H19" s="12">
        <f>H17/H8</f>
        <v>0.22666666666666666</v>
      </c>
      <c r="I19" s="14"/>
      <c r="J19" s="5" t="s">
        <v>14</v>
      </c>
      <c r="M19" s="6" t="s">
        <v>50</v>
      </c>
      <c r="N19" s="12">
        <f>N17/N8</f>
        <v>0.23418095238095241</v>
      </c>
      <c r="O19" s="14"/>
      <c r="P19" s="5" t="s">
        <v>14</v>
      </c>
      <c r="Q19" s="16">
        <f t="shared" si="4"/>
        <v>1.7436190476190494E-3</v>
      </c>
      <c r="R19" s="16">
        <f t="shared" si="5"/>
        <v>7.5142857142857511E-3</v>
      </c>
      <c r="U19" s="6" t="s">
        <v>50</v>
      </c>
      <c r="V19" s="12" t="s">
        <v>13</v>
      </c>
      <c r="W19" s="14"/>
      <c r="X19" s="5"/>
      <c r="Y19" s="16"/>
    </row>
    <row r="20" spans="1:25" x14ac:dyDescent="0.25">
      <c r="A20" s="6" t="s">
        <v>51</v>
      </c>
      <c r="B20" s="12">
        <f>B18/B8</f>
        <v>0.74259200000000003</v>
      </c>
      <c r="C20" s="14" t="s">
        <v>13</v>
      </c>
      <c r="D20" s="5" t="s">
        <v>14</v>
      </c>
      <c r="G20" s="6" t="s">
        <v>51</v>
      </c>
      <c r="H20" s="12">
        <f>H18/H8</f>
        <v>0.7573333333333333</v>
      </c>
      <c r="I20" s="14"/>
      <c r="J20" s="5" t="s">
        <v>14</v>
      </c>
      <c r="M20" s="6" t="s">
        <v>51</v>
      </c>
      <c r="N20" s="12">
        <f>N18/N8</f>
        <v>0.77594285714285716</v>
      </c>
      <c r="O20" s="14"/>
      <c r="P20" s="5" t="s">
        <v>14</v>
      </c>
      <c r="Q20" s="16">
        <f t="shared" si="4"/>
        <v>3.3350857142857127E-2</v>
      </c>
      <c r="R20" s="16">
        <f t="shared" si="5"/>
        <v>1.8609523809523854E-2</v>
      </c>
      <c r="U20" s="6" t="s">
        <v>51</v>
      </c>
      <c r="V20" s="12" t="s">
        <v>13</v>
      </c>
      <c r="W20" s="14"/>
      <c r="X20" s="5"/>
      <c r="Y20" s="16"/>
    </row>
    <row r="21" spans="1:25" x14ac:dyDescent="0.25">
      <c r="A21" s="10" t="s">
        <v>52</v>
      </c>
      <c r="B21" s="12">
        <f>$B$31/$C$31*C21</f>
        <v>13.267040000000001</v>
      </c>
      <c r="C21" s="14">
        <v>2.93</v>
      </c>
      <c r="D21" s="5" t="s">
        <v>27</v>
      </c>
      <c r="G21" s="10" t="s">
        <v>52</v>
      </c>
      <c r="H21" s="12">
        <f>General!$I$2/General!$J$2*'Main Wing'!I21</f>
        <v>13.422222222222226</v>
      </c>
      <c r="I21" s="14">
        <v>3.2</v>
      </c>
      <c r="J21" s="5" t="s">
        <v>113</v>
      </c>
      <c r="M21" s="10" t="s">
        <v>52</v>
      </c>
      <c r="N21" s="12">
        <f>N31/O31*O21</f>
        <v>13.145806451612904</v>
      </c>
      <c r="O21" s="14">
        <v>2.52</v>
      </c>
      <c r="P21" s="5" t="s">
        <v>71</v>
      </c>
      <c r="Q21" s="16">
        <f t="shared" si="4"/>
        <v>-0.12123354838709766</v>
      </c>
      <c r="R21" s="16">
        <f t="shared" si="5"/>
        <v>-0.27641577060932221</v>
      </c>
      <c r="U21" s="10" t="s">
        <v>52</v>
      </c>
      <c r="V21" s="12"/>
      <c r="W21" s="14"/>
      <c r="X21" s="5"/>
      <c r="Y21" s="16"/>
    </row>
    <row r="22" spans="1:25" x14ac:dyDescent="0.25">
      <c r="A22" s="10" t="s">
        <v>53</v>
      </c>
      <c r="B22" s="12">
        <f>$B$31/$C$31*C22</f>
        <v>2.8526400000000005</v>
      </c>
      <c r="C22" s="14">
        <v>0.63</v>
      </c>
      <c r="D22" s="5" t="s">
        <v>27</v>
      </c>
      <c r="G22" s="10" t="s">
        <v>53</v>
      </c>
      <c r="H22" s="12">
        <f>General!$I$2/General!$J$2*'Main Wing'!I22</f>
        <v>2.9780555555555561</v>
      </c>
      <c r="I22" s="14">
        <v>0.71</v>
      </c>
      <c r="J22" s="5" t="s">
        <v>113</v>
      </c>
      <c r="M22" s="10" t="s">
        <v>53</v>
      </c>
      <c r="N22" s="12">
        <f>30.63/12</f>
        <v>2.5524999999999998</v>
      </c>
      <c r="O22" s="14"/>
      <c r="P22" s="5" t="s">
        <v>70</v>
      </c>
      <c r="Q22" s="16">
        <f t="shared" si="4"/>
        <v>-0.30014000000000074</v>
      </c>
      <c r="R22" s="16">
        <f t="shared" si="5"/>
        <v>-0.42555555555555635</v>
      </c>
      <c r="U22" s="10" t="s">
        <v>53</v>
      </c>
      <c r="V22" s="12"/>
      <c r="W22" s="14"/>
      <c r="X22" s="5"/>
      <c r="Y22" s="16"/>
    </row>
    <row r="23" spans="1:25" x14ac:dyDescent="0.25">
      <c r="A23" s="10" t="s">
        <v>54</v>
      </c>
      <c r="B23" s="12">
        <f>$B$31/$C$31*C23</f>
        <v>6.6561600000000007</v>
      </c>
      <c r="C23" s="14">
        <v>1.47</v>
      </c>
      <c r="D23" s="5" t="s">
        <v>27</v>
      </c>
      <c r="G23" s="10" t="s">
        <v>54</v>
      </c>
      <c r="H23" s="12">
        <f>General!$I$2/General!$J$2*'Main Wing'!I23</f>
        <v>6.5013888888888909</v>
      </c>
      <c r="I23" s="14">
        <v>1.55</v>
      </c>
      <c r="J23" s="5" t="s">
        <v>113</v>
      </c>
      <c r="M23" s="10" t="s">
        <v>54</v>
      </c>
      <c r="N23" s="12">
        <f>N31/O31*O23</f>
        <v>6.4164055299539173</v>
      </c>
      <c r="O23" s="14">
        <v>1.23</v>
      </c>
      <c r="P23" s="5" t="s">
        <v>71</v>
      </c>
      <c r="Q23" s="16">
        <f t="shared" si="4"/>
        <v>-0.23975447004608341</v>
      </c>
      <c r="R23" s="16">
        <f t="shared" si="5"/>
        <v>-8.4983358934973552E-2</v>
      </c>
      <c r="U23" s="10" t="s">
        <v>54</v>
      </c>
      <c r="V23" s="12"/>
      <c r="W23" s="14"/>
      <c r="X23" s="5"/>
      <c r="Y23" s="16"/>
    </row>
    <row r="24" spans="1:25" x14ac:dyDescent="0.25">
      <c r="A24" s="10" t="s">
        <v>55</v>
      </c>
      <c r="B24" s="12">
        <f>$B$31/$C$31*C24</f>
        <v>1.4489600000000002</v>
      </c>
      <c r="C24" s="14">
        <v>0.32</v>
      </c>
      <c r="D24" s="5" t="s">
        <v>27</v>
      </c>
      <c r="G24" s="10" t="s">
        <v>55</v>
      </c>
      <c r="H24" s="12">
        <f>General!$I$2/General!$J$2*'Main Wing'!I24</f>
        <v>1.5100000000000002</v>
      </c>
      <c r="I24" s="14">
        <v>0.36</v>
      </c>
      <c r="J24" s="5" t="s">
        <v>113</v>
      </c>
      <c r="M24" s="10" t="s">
        <v>55</v>
      </c>
      <c r="N24" s="12">
        <f>15.16/12</f>
        <v>1.2633333333333334</v>
      </c>
      <c r="O24" s="14"/>
      <c r="P24" s="5" t="s">
        <v>70</v>
      </c>
      <c r="Q24" s="16">
        <f t="shared" si="4"/>
        <v>-0.18562666666666683</v>
      </c>
      <c r="R24" s="16">
        <f t="shared" si="5"/>
        <v>-0.24666666666666681</v>
      </c>
      <c r="U24" s="10" t="s">
        <v>55</v>
      </c>
      <c r="V24" s="12"/>
      <c r="W24" s="14"/>
      <c r="X24" s="5"/>
      <c r="Y24" s="16"/>
    </row>
    <row r="25" spans="1:25" x14ac:dyDescent="0.25">
      <c r="A25" s="6" t="s">
        <v>56</v>
      </c>
      <c r="B25" s="12">
        <f>B22/B21</f>
        <v>0.21501706484641639</v>
      </c>
      <c r="C25" s="14" t="s">
        <v>13</v>
      </c>
      <c r="D25" s="5" t="s">
        <v>14</v>
      </c>
      <c r="G25" s="6" t="s">
        <v>56</v>
      </c>
      <c r="H25" s="12">
        <f>H22/H21</f>
        <v>0.22187499999999999</v>
      </c>
      <c r="I25" s="14"/>
      <c r="J25" s="5" t="s">
        <v>14</v>
      </c>
      <c r="M25" s="6" t="s">
        <v>56</v>
      </c>
      <c r="N25" s="12">
        <f>N22/N21</f>
        <v>0.19416838437377304</v>
      </c>
      <c r="O25" s="14"/>
      <c r="P25" s="5" t="s">
        <v>14</v>
      </c>
      <c r="Q25" s="16">
        <f t="shared" si="4"/>
        <v>-2.0848680472643349E-2</v>
      </c>
      <c r="R25" s="16">
        <f t="shared" si="5"/>
        <v>-2.7706615626226949E-2</v>
      </c>
      <c r="U25" s="6" t="s">
        <v>56</v>
      </c>
      <c r="V25" s="12" t="s">
        <v>13</v>
      </c>
      <c r="W25" s="14"/>
      <c r="X25" s="5"/>
      <c r="Y25" s="16"/>
    </row>
    <row r="26" spans="1:25" x14ac:dyDescent="0.25">
      <c r="A26" s="6" t="s">
        <v>57</v>
      </c>
      <c r="B26" s="12">
        <f>B24/B23</f>
        <v>0.21768707482993199</v>
      </c>
      <c r="C26" s="14" t="s">
        <v>13</v>
      </c>
      <c r="D26" s="5" t="s">
        <v>14</v>
      </c>
      <c r="G26" s="6" t="s">
        <v>57</v>
      </c>
      <c r="H26" s="12">
        <f>H24/H23</f>
        <v>0.23225806451612899</v>
      </c>
      <c r="I26" s="14"/>
      <c r="J26" s="5" t="s">
        <v>14</v>
      </c>
      <c r="M26" s="6" t="s">
        <v>57</v>
      </c>
      <c r="N26" s="12">
        <f>N24/N23</f>
        <v>0.19689112968868205</v>
      </c>
      <c r="O26" s="14"/>
      <c r="P26" s="5" t="s">
        <v>14</v>
      </c>
      <c r="Q26" s="16">
        <f t="shared" si="4"/>
        <v>-2.0795945141249939E-2</v>
      </c>
      <c r="R26" s="16">
        <f t="shared" si="5"/>
        <v>-3.5366934827446933E-2</v>
      </c>
      <c r="U26" s="6" t="s">
        <v>57</v>
      </c>
      <c r="V26" s="12" t="s">
        <v>13</v>
      </c>
      <c r="W26" s="14"/>
      <c r="X26" s="5"/>
      <c r="Y26" s="16"/>
    </row>
    <row r="27" spans="1:25" x14ac:dyDescent="0.25">
      <c r="A27" s="3" t="s">
        <v>21</v>
      </c>
      <c r="B27" s="12">
        <v>0</v>
      </c>
      <c r="C27" s="14" t="s">
        <v>13</v>
      </c>
      <c r="D27" s="5" t="s">
        <v>19</v>
      </c>
      <c r="G27" s="3" t="s">
        <v>21</v>
      </c>
      <c r="H27" s="12">
        <v>0</v>
      </c>
      <c r="I27" s="14"/>
      <c r="J27" s="5" t="s">
        <v>113</v>
      </c>
      <c r="M27" s="3" t="s">
        <v>21</v>
      </c>
      <c r="N27" s="12">
        <v>0</v>
      </c>
      <c r="O27" s="14"/>
      <c r="P27" s="5" t="s">
        <v>70</v>
      </c>
      <c r="Q27" s="16">
        <f t="shared" si="4"/>
        <v>0</v>
      </c>
      <c r="R27" s="16">
        <f t="shared" si="5"/>
        <v>0</v>
      </c>
      <c r="U27" s="3" t="s">
        <v>21</v>
      </c>
      <c r="V27" s="12"/>
      <c r="W27" s="14"/>
      <c r="X27" s="5"/>
      <c r="Y27" s="16"/>
    </row>
    <row r="28" spans="1:25" x14ac:dyDescent="0.25">
      <c r="A28" s="3" t="s">
        <v>7</v>
      </c>
      <c r="B28" s="12">
        <v>3</v>
      </c>
      <c r="C28" s="14" t="s">
        <v>13</v>
      </c>
      <c r="D28" s="5" t="s">
        <v>0</v>
      </c>
      <c r="G28" s="3" t="s">
        <v>7</v>
      </c>
      <c r="H28" s="12">
        <f>H7*H7/H6</f>
        <v>3.2051282051282048</v>
      </c>
      <c r="I28" s="14"/>
      <c r="J28" s="5" t="s">
        <v>14</v>
      </c>
      <c r="M28" s="3" t="s">
        <v>7</v>
      </c>
      <c r="N28" s="12">
        <f>3</f>
        <v>3</v>
      </c>
      <c r="O28" s="14"/>
      <c r="P28" s="5" t="s">
        <v>70</v>
      </c>
      <c r="Q28" s="16">
        <f t="shared" si="4"/>
        <v>0</v>
      </c>
      <c r="R28" s="16">
        <f t="shared" si="5"/>
        <v>-0.20512820512820484</v>
      </c>
      <c r="U28" s="3" t="s">
        <v>7</v>
      </c>
      <c r="V28" s="12">
        <f>V7*V7/V6</f>
        <v>3.2413540286056652</v>
      </c>
      <c r="W28" s="14"/>
      <c r="X28" s="5"/>
      <c r="Y28" s="16">
        <f t="shared" si="2"/>
        <v>3.6225823477460395E-2</v>
      </c>
    </row>
    <row r="29" spans="1:25" x14ac:dyDescent="0.25">
      <c r="A29" s="3" t="s">
        <v>8</v>
      </c>
      <c r="B29" s="12">
        <v>0.22750000000000001</v>
      </c>
      <c r="C29" s="14" t="s">
        <v>13</v>
      </c>
      <c r="D29" s="5" t="s">
        <v>0</v>
      </c>
      <c r="G29" s="3" t="s">
        <v>8</v>
      </c>
      <c r="H29" s="12">
        <f>H14/H13</f>
        <v>0.19693094629156008</v>
      </c>
      <c r="I29" s="14"/>
      <c r="J29" s="5" t="s">
        <v>14</v>
      </c>
      <c r="M29" s="3" t="s">
        <v>8</v>
      </c>
      <c r="N29" s="12">
        <f>N14/N13</f>
        <v>0.22718903436988544</v>
      </c>
      <c r="O29" s="14"/>
      <c r="P29" s="5" t="s">
        <v>14</v>
      </c>
      <c r="Q29" s="16">
        <f t="shared" si="4"/>
        <v>-3.1096563011456801E-4</v>
      </c>
      <c r="R29" s="16">
        <f t="shared" si="5"/>
        <v>3.0258088078325363E-2</v>
      </c>
      <c r="U29" s="3" t="s">
        <v>8</v>
      </c>
      <c r="V29" s="12">
        <f>V14/V13</f>
        <v>0.20006397534506595</v>
      </c>
      <c r="W29" s="14"/>
      <c r="X29" s="5"/>
      <c r="Y29" s="16">
        <f t="shared" si="2"/>
        <v>3.1330290535058758E-3</v>
      </c>
    </row>
    <row r="30" spans="1:25" x14ac:dyDescent="0.25">
      <c r="A30" s="3" t="s">
        <v>3</v>
      </c>
      <c r="B30" s="12">
        <f>B6/B7</f>
        <v>10</v>
      </c>
      <c r="C30" s="14" t="s">
        <v>13</v>
      </c>
      <c r="D30" s="5" t="s">
        <v>14</v>
      </c>
      <c r="G30" s="3" t="s">
        <v>3</v>
      </c>
      <c r="H30" s="12">
        <f>H6/H7</f>
        <v>9.8150000000000031</v>
      </c>
      <c r="I30" s="14"/>
      <c r="J30" s="5" t="s">
        <v>14</v>
      </c>
      <c r="M30" s="3" t="s">
        <v>3</v>
      </c>
      <c r="N30" s="12">
        <f>N6/N7</f>
        <v>10</v>
      </c>
      <c r="O30" s="14"/>
      <c r="P30" s="5" t="s">
        <v>14</v>
      </c>
      <c r="Q30" s="16">
        <f t="shared" si="4"/>
        <v>0</v>
      </c>
      <c r="R30" s="16">
        <f t="shared" si="5"/>
        <v>0.18499999999999694</v>
      </c>
      <c r="U30" s="3" t="s">
        <v>3</v>
      </c>
      <c r="V30" s="12">
        <f>V6/V7</f>
        <v>9.8465054166666661</v>
      </c>
      <c r="W30" s="14"/>
      <c r="X30" s="5"/>
      <c r="Y30" s="16">
        <f t="shared" si="2"/>
        <v>3.1505416666663066E-2</v>
      </c>
    </row>
    <row r="31" spans="1:25" x14ac:dyDescent="0.25">
      <c r="A31" s="10" t="s">
        <v>4</v>
      </c>
      <c r="B31" s="12">
        <v>11.32</v>
      </c>
      <c r="C31" s="14">
        <v>2.5</v>
      </c>
      <c r="D31" s="5" t="s">
        <v>0</v>
      </c>
      <c r="G31" s="10" t="s">
        <v>4</v>
      </c>
      <c r="H31" s="12"/>
      <c r="I31" s="14"/>
      <c r="J31" s="5"/>
      <c r="M31" s="10" t="s">
        <v>4</v>
      </c>
      <c r="N31" s="12">
        <f>135.84/12</f>
        <v>11.32</v>
      </c>
      <c r="O31" s="14">
        <v>2.17</v>
      </c>
      <c r="P31" s="5" t="s">
        <v>71</v>
      </c>
      <c r="Q31" s="16">
        <f t="shared" si="4"/>
        <v>0</v>
      </c>
      <c r="R31" s="16">
        <f t="shared" si="5"/>
        <v>11.32</v>
      </c>
      <c r="U31" s="10" t="s">
        <v>4</v>
      </c>
      <c r="V31" s="12"/>
      <c r="W31" s="14"/>
      <c r="X31" s="5"/>
      <c r="Y31" s="16"/>
    </row>
    <row r="33" spans="1:7" x14ac:dyDescent="0.25">
      <c r="A33" s="3"/>
    </row>
    <row r="34" spans="1:7" x14ac:dyDescent="0.25">
      <c r="A34" s="3"/>
    </row>
    <row r="35" spans="1:7" x14ac:dyDescent="0.25">
      <c r="A35" s="3"/>
    </row>
    <row r="36" spans="1:7" x14ac:dyDescent="0.25">
      <c r="A36" s="3"/>
    </row>
    <row r="37" spans="1:7" x14ac:dyDescent="0.25">
      <c r="A37" s="3"/>
    </row>
    <row r="38" spans="1:7" x14ac:dyDescent="0.25">
      <c r="A38" s="3"/>
    </row>
    <row r="41" spans="1:7" x14ac:dyDescent="0.25">
      <c r="A41" t="s">
        <v>78</v>
      </c>
    </row>
    <row r="42" spans="1:7" x14ac:dyDescent="0.25">
      <c r="G42" t="s">
        <v>79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79603-7BA0-4D9A-95EF-34A9C14C4734}">
  <dimension ref="A1:Y45"/>
  <sheetViews>
    <sheetView topLeftCell="O1" zoomScale="85" zoomScaleNormal="85" workbookViewId="0">
      <selection activeCell="V24" sqref="V24"/>
    </sheetView>
  </sheetViews>
  <sheetFormatPr defaultRowHeight="15" x14ac:dyDescent="0.25"/>
  <cols>
    <col min="1" max="1" width="38.28515625" bestFit="1" customWidth="1"/>
    <col min="2" max="2" width="12.85546875" style="12" bestFit="1" customWidth="1"/>
    <col min="3" max="3" width="12.42578125" style="5" customWidth="1"/>
    <col min="4" max="4" width="27.7109375" style="5" customWidth="1"/>
    <col min="7" max="7" width="38.140625" bestFit="1" customWidth="1"/>
    <col min="8" max="8" width="9.5703125" bestFit="1" customWidth="1"/>
    <col min="10" max="10" width="20.42578125" bestFit="1" customWidth="1"/>
    <col min="12" max="12" width="9.7109375" customWidth="1"/>
    <col min="13" max="13" width="43" bestFit="1" customWidth="1"/>
    <col min="14" max="14" width="12.85546875" bestFit="1" customWidth="1"/>
    <col min="16" max="16" width="19.5703125" bestFit="1" customWidth="1"/>
    <col min="17" max="17" width="9.5703125" bestFit="1" customWidth="1"/>
    <col min="18" max="18" width="14.7109375" bestFit="1" customWidth="1"/>
    <col min="21" max="21" width="33.28515625" bestFit="1" customWidth="1"/>
    <col min="22" max="22" width="12.28515625" bestFit="1" customWidth="1"/>
    <col min="24" max="24" width="10.85546875" bestFit="1" customWidth="1"/>
  </cols>
  <sheetData>
    <row r="1" spans="1:25" x14ac:dyDescent="0.25">
      <c r="A1" s="1" t="s">
        <v>1</v>
      </c>
      <c r="B1" s="11" t="s">
        <v>31</v>
      </c>
      <c r="C1" s="1" t="s">
        <v>23</v>
      </c>
      <c r="D1" s="1" t="s">
        <v>2</v>
      </c>
      <c r="F1" s="4"/>
      <c r="G1" s="1" t="s">
        <v>1</v>
      </c>
      <c r="H1" s="11" t="s">
        <v>31</v>
      </c>
      <c r="I1" s="1" t="s">
        <v>23</v>
      </c>
      <c r="J1" s="1" t="s">
        <v>2</v>
      </c>
      <c r="M1" s="1" t="s">
        <v>1</v>
      </c>
      <c r="N1" s="11" t="s">
        <v>31</v>
      </c>
      <c r="O1" s="1" t="s">
        <v>23</v>
      </c>
      <c r="P1" s="1" t="s">
        <v>2</v>
      </c>
      <c r="Q1" s="1" t="s">
        <v>74</v>
      </c>
      <c r="R1" s="1" t="s">
        <v>75</v>
      </c>
      <c r="U1" s="1" t="s">
        <v>1</v>
      </c>
      <c r="V1" s="11" t="s">
        <v>31</v>
      </c>
      <c r="W1" s="1" t="s">
        <v>23</v>
      </c>
      <c r="X1" s="1" t="s">
        <v>2</v>
      </c>
      <c r="Y1" s="15" t="s">
        <v>116</v>
      </c>
    </row>
    <row r="2" spans="1:25" x14ac:dyDescent="0.25">
      <c r="A2" s="3" t="s">
        <v>58</v>
      </c>
      <c r="B2" s="12">
        <f>General!$B$4/General!$C$4*C2</f>
        <v>37.899360000000001</v>
      </c>
      <c r="C2" s="14">
        <v>8.3699999999999992</v>
      </c>
      <c r="D2" s="5" t="s">
        <v>27</v>
      </c>
      <c r="G2" s="3" t="s">
        <v>58</v>
      </c>
      <c r="H2" s="12">
        <f>General!$I$2/General!$J$2*'Horizontal Tail'!I2</f>
        <v>39.595555555555563</v>
      </c>
      <c r="I2" s="14">
        <v>9.44</v>
      </c>
      <c r="J2" s="5" t="s">
        <v>113</v>
      </c>
      <c r="L2" s="3"/>
      <c r="M2" s="3" t="s">
        <v>58</v>
      </c>
      <c r="N2" s="12">
        <f>General!$P$5/General!$Q$5*'Horizontal Tail'!O2</f>
        <v>38.272857142857141</v>
      </c>
      <c r="O2" s="14">
        <f>7.3</f>
        <v>7.3</v>
      </c>
      <c r="P2" s="5" t="s">
        <v>76</v>
      </c>
      <c r="Q2" s="16">
        <f>N2-B2</f>
        <v>0.37349714285713986</v>
      </c>
      <c r="R2" s="16">
        <f t="shared" ref="R2:R12" si="0">N2-V2</f>
        <v>-0.37719036380952531</v>
      </c>
      <c r="U2" s="3" t="s">
        <v>58</v>
      </c>
      <c r="V2" s="12">
        <f>463.80057008/12</f>
        <v>38.650047506666667</v>
      </c>
      <c r="W2" s="14"/>
      <c r="X2" s="5"/>
      <c r="Y2" s="16">
        <f>V2-H2</f>
        <v>-0.94550804888889672</v>
      </c>
    </row>
    <row r="3" spans="1:25" x14ac:dyDescent="0.25">
      <c r="A3" s="3" t="s">
        <v>59</v>
      </c>
      <c r="B3" s="12">
        <f>B2+B19/4</f>
        <v>39.880360000000003</v>
      </c>
      <c r="C3" s="14" t="s">
        <v>13</v>
      </c>
      <c r="D3" s="5" t="s">
        <v>14</v>
      </c>
      <c r="G3" s="3" t="s">
        <v>59</v>
      </c>
      <c r="H3" s="12">
        <f>H2+H16/4</f>
        <v>40.644166666666678</v>
      </c>
      <c r="I3" s="14"/>
      <c r="J3" s="5" t="s">
        <v>14</v>
      </c>
      <c r="L3" s="3"/>
      <c r="M3" s="3" t="s">
        <v>59</v>
      </c>
      <c r="N3" s="12">
        <f>N2+N19/4</f>
        <v>40.269107142857138</v>
      </c>
      <c r="O3" s="14"/>
      <c r="P3" s="5" t="s">
        <v>14</v>
      </c>
      <c r="Q3" s="16">
        <f t="shared" ref="Q3:Q26" si="1">N3-B3</f>
        <v>0.38874714285713452</v>
      </c>
      <c r="R3" s="16">
        <f t="shared" si="0"/>
        <v>0.44916067660713566</v>
      </c>
      <c r="U3" s="3" t="s">
        <v>59</v>
      </c>
      <c r="V3" s="12">
        <f>V2+V16/4</f>
        <v>39.819946466250002</v>
      </c>
      <c r="W3" s="14"/>
      <c r="X3" s="5"/>
      <c r="Y3" s="16">
        <f t="shared" ref="Y3:Y22" si="2">V3-H3</f>
        <v>-0.82422020041667565</v>
      </c>
    </row>
    <row r="4" spans="1:25" x14ac:dyDescent="0.25">
      <c r="A4" s="6" t="s">
        <v>42</v>
      </c>
      <c r="B4" s="12">
        <f>General!B6-'Horizontal Tail'!B3</f>
        <v>-12.938759999999998</v>
      </c>
      <c r="C4" s="14" t="s">
        <v>13</v>
      </c>
      <c r="D4" s="5" t="s">
        <v>14</v>
      </c>
      <c r="G4" s="6" t="s">
        <v>42</v>
      </c>
      <c r="H4" s="12">
        <f>General!I4-'Horizontal Tail'!H3</f>
        <v>-13.696926142500008</v>
      </c>
      <c r="I4" s="14"/>
      <c r="J4" s="5" t="s">
        <v>14</v>
      </c>
      <c r="L4" s="6"/>
      <c r="M4" s="6" t="s">
        <v>42</v>
      </c>
      <c r="N4" s="12">
        <f>General!P3-'Horizontal Tail'!N3</f>
        <v>-12.54141029929141</v>
      </c>
      <c r="O4" s="14"/>
      <c r="P4" s="5" t="s">
        <v>14</v>
      </c>
      <c r="Q4" s="16">
        <f t="shared" si="1"/>
        <v>0.39734970070858822</v>
      </c>
      <c r="R4" s="16">
        <f t="shared" si="0"/>
        <v>0.33129564279192181</v>
      </c>
      <c r="U4" s="6" t="s">
        <v>42</v>
      </c>
      <c r="V4" s="12">
        <f>General!W3-'Horizontal Tail'!V3</f>
        <v>-12.872705942083332</v>
      </c>
      <c r="X4" s="5"/>
      <c r="Y4" s="16">
        <f t="shared" si="2"/>
        <v>0.82422020041667565</v>
      </c>
    </row>
    <row r="5" spans="1:25" x14ac:dyDescent="0.25">
      <c r="A5" s="6" t="s">
        <v>60</v>
      </c>
      <c r="B5" s="12">
        <f>General!$B$4/General!$C$4*C5</f>
        <v>0.13584000000000002</v>
      </c>
      <c r="C5" s="14">
        <v>0.03</v>
      </c>
      <c r="D5" s="5" t="s">
        <v>27</v>
      </c>
      <c r="G5" s="6" t="s">
        <v>60</v>
      </c>
      <c r="H5" s="12">
        <f>General!$I$2/General!$J$2*'Horizontal Tail'!I5</f>
        <v>4.1944444444444458E-2</v>
      </c>
      <c r="I5" s="14">
        <v>0.01</v>
      </c>
      <c r="J5" s="5" t="s">
        <v>113</v>
      </c>
      <c r="L5" s="6"/>
      <c r="M5" s="6" t="s">
        <v>60</v>
      </c>
      <c r="N5" s="12">
        <f>General!$P$2/General!$Q$2*'Horizontal Tail'!O5</f>
        <v>0.72015261879986125</v>
      </c>
      <c r="O5" s="14">
        <v>0.14000000000000001</v>
      </c>
      <c r="P5" s="5" t="s">
        <v>76</v>
      </c>
      <c r="Q5" s="16">
        <f t="shared" si="1"/>
        <v>0.58431261879986129</v>
      </c>
      <c r="R5" s="16">
        <f t="shared" si="0"/>
        <v>0.78931928546652796</v>
      </c>
      <c r="U5" s="6" t="s">
        <v>60</v>
      </c>
      <c r="V5" s="12">
        <f>-0.83/12</f>
        <v>-6.9166666666666668E-2</v>
      </c>
      <c r="W5" s="14"/>
      <c r="X5" s="5"/>
      <c r="Y5" s="16">
        <f t="shared" si="2"/>
        <v>-0.11111111111111113</v>
      </c>
    </row>
    <row r="6" spans="1:25" x14ac:dyDescent="0.25">
      <c r="A6" s="10" t="s">
        <v>41</v>
      </c>
      <c r="B6" s="12">
        <f>63.675+2*B19*(B11-B8)</f>
        <v>113.18922336000003</v>
      </c>
      <c r="C6" s="14" t="s">
        <v>13</v>
      </c>
      <c r="D6" s="5" t="s">
        <v>14</v>
      </c>
      <c r="G6" s="6" t="s">
        <v>39</v>
      </c>
      <c r="H6" s="12">
        <f>General!$I$2/General!$J$2*'Horizontal Tail'!I6</f>
        <v>9.2697222222222244</v>
      </c>
      <c r="I6" s="14">
        <v>2.21</v>
      </c>
      <c r="J6" s="5" t="s">
        <v>113</v>
      </c>
      <c r="L6" s="10"/>
      <c r="M6" s="10" t="s">
        <v>41</v>
      </c>
      <c r="N6" s="12">
        <f>63.675+2*N19*(N11-N8)</f>
        <v>128.77936666666668</v>
      </c>
      <c r="O6" s="14"/>
      <c r="P6" s="5" t="s">
        <v>14</v>
      </c>
      <c r="Q6" s="16">
        <f t="shared" si="1"/>
        <v>15.590143306666647</v>
      </c>
      <c r="R6" s="16">
        <f t="shared" si="0"/>
        <v>119.41542468</v>
      </c>
      <c r="U6" s="6" t="s">
        <v>39</v>
      </c>
      <c r="V6" s="12">
        <f>112.36730384/12</f>
        <v>9.3639419866666671</v>
      </c>
      <c r="W6" s="14"/>
      <c r="X6" s="5"/>
      <c r="Y6" s="16">
        <f t="shared" si="2"/>
        <v>9.4219764444442689E-2</v>
      </c>
    </row>
    <row r="7" spans="1:25" x14ac:dyDescent="0.25">
      <c r="A7" s="10" t="s">
        <v>40</v>
      </c>
      <c r="B7" s="12">
        <f>B11*2</f>
        <v>16.844160000000002</v>
      </c>
      <c r="C7" s="14" t="s">
        <v>13</v>
      </c>
      <c r="D7" s="5" t="s">
        <v>14</v>
      </c>
      <c r="G7" s="6" t="s">
        <v>99</v>
      </c>
      <c r="H7" s="12">
        <v>9</v>
      </c>
      <c r="I7" s="14"/>
      <c r="J7" s="5" t="s">
        <v>113</v>
      </c>
      <c r="L7" s="10"/>
      <c r="M7" s="10" t="s">
        <v>40</v>
      </c>
      <c r="N7" s="12">
        <f>18 + 4.2/12</f>
        <v>18.350000000000001</v>
      </c>
      <c r="O7" s="14"/>
      <c r="P7" s="5" t="s">
        <v>70</v>
      </c>
      <c r="Q7" s="16">
        <f t="shared" si="1"/>
        <v>1.5058399999999992</v>
      </c>
      <c r="R7" s="16">
        <f t="shared" si="0"/>
        <v>5.3654364500000007</v>
      </c>
      <c r="U7" s="6" t="s">
        <v>99</v>
      </c>
      <c r="V7" s="12">
        <v>12.984563550000001</v>
      </c>
      <c r="W7" s="14"/>
      <c r="X7" s="5"/>
      <c r="Y7" s="16">
        <f t="shared" si="2"/>
        <v>3.9845635500000007</v>
      </c>
    </row>
    <row r="8" spans="1:25" x14ac:dyDescent="0.25">
      <c r="A8" s="3" t="s">
        <v>80</v>
      </c>
      <c r="B8" s="12">
        <f>General!$B$4/General!$C$4*C8</f>
        <v>5.2977600000000002</v>
      </c>
      <c r="C8" s="14">
        <v>1.17</v>
      </c>
      <c r="D8" s="5" t="s">
        <v>27</v>
      </c>
      <c r="G8" s="6" t="s">
        <v>97</v>
      </c>
      <c r="H8" s="12">
        <v>0</v>
      </c>
      <c r="I8" s="14">
        <v>0</v>
      </c>
      <c r="J8" s="5" t="s">
        <v>113</v>
      </c>
      <c r="L8" s="3"/>
      <c r="M8" s="3" t="s">
        <v>80</v>
      </c>
      <c r="N8" s="12">
        <f>69.63/12-N9</f>
        <v>5.0983333333333327</v>
      </c>
      <c r="O8" s="14"/>
      <c r="P8" s="5" t="s">
        <v>70</v>
      </c>
      <c r="Q8" s="16">
        <f t="shared" si="1"/>
        <v>-0.19942666666666753</v>
      </c>
      <c r="R8" s="16">
        <f t="shared" si="0"/>
        <v>5.0983333333333327</v>
      </c>
      <c r="U8" s="6" t="s">
        <v>97</v>
      </c>
      <c r="V8" s="12">
        <v>0</v>
      </c>
      <c r="W8" s="14"/>
      <c r="X8" s="5"/>
      <c r="Y8" s="16">
        <f t="shared" si="2"/>
        <v>0</v>
      </c>
    </row>
    <row r="9" spans="1:25" x14ac:dyDescent="0.25">
      <c r="A9" s="3" t="s">
        <v>81</v>
      </c>
      <c r="G9" s="6" t="s">
        <v>98</v>
      </c>
      <c r="H9" s="12">
        <f>General!$I$2/General!$J$2*'Horizontal Tail'!I9/$H$6</f>
        <v>0.3800904977375566</v>
      </c>
      <c r="I9" s="14">
        <v>0.84</v>
      </c>
      <c r="J9" s="5" t="s">
        <v>113</v>
      </c>
      <c r="L9" s="3"/>
      <c r="M9" s="3" t="s">
        <v>81</v>
      </c>
      <c r="N9" s="12">
        <f>8.45/12</f>
        <v>0.70416666666666661</v>
      </c>
      <c r="O9" s="14"/>
      <c r="P9" s="5" t="s">
        <v>70</v>
      </c>
      <c r="Q9" s="16">
        <f t="shared" si="1"/>
        <v>0.70416666666666661</v>
      </c>
      <c r="R9" s="16">
        <f t="shared" si="0"/>
        <v>0.32576762578068214</v>
      </c>
      <c r="U9" s="6" t="s">
        <v>98</v>
      </c>
      <c r="V9" s="12">
        <f>42.51968/12/V6</f>
        <v>0.37839904088598447</v>
      </c>
      <c r="W9" s="14"/>
      <c r="X9" s="5"/>
      <c r="Y9" s="16">
        <f t="shared" si="2"/>
        <v>-1.6914568515721262E-3</v>
      </c>
    </row>
    <row r="10" spans="1:25" x14ac:dyDescent="0.25">
      <c r="A10" s="3" t="s">
        <v>82</v>
      </c>
      <c r="G10" s="6" t="s">
        <v>100</v>
      </c>
      <c r="H10" s="12">
        <v>35.5</v>
      </c>
      <c r="I10" s="14"/>
      <c r="J10" s="5" t="s">
        <v>113</v>
      </c>
      <c r="L10" s="3"/>
      <c r="M10" s="3" t="s">
        <v>82</v>
      </c>
      <c r="N10" s="12">
        <f>N7/2 - N8-N9</f>
        <v>3.3725000000000014</v>
      </c>
      <c r="O10" s="14"/>
      <c r="P10" s="5" t="s">
        <v>14</v>
      </c>
      <c r="Q10" s="16">
        <f t="shared" si="1"/>
        <v>3.3725000000000014</v>
      </c>
      <c r="R10" s="16">
        <f t="shared" si="0"/>
        <v>-28.565367219999999</v>
      </c>
      <c r="U10" s="6" t="s">
        <v>100</v>
      </c>
      <c r="V10" s="12">
        <v>31.937867220000001</v>
      </c>
      <c r="W10" s="14"/>
      <c r="X10" s="5"/>
      <c r="Y10" s="16">
        <f t="shared" si="2"/>
        <v>-3.5621327799999989</v>
      </c>
    </row>
    <row r="11" spans="1:25" x14ac:dyDescent="0.25">
      <c r="A11" s="6" t="s">
        <v>39</v>
      </c>
      <c r="B11" s="12">
        <f>General!$B$4/General!$C$4*C11</f>
        <v>8.4220800000000011</v>
      </c>
      <c r="C11" s="14">
        <v>1.86</v>
      </c>
      <c r="D11" s="5" t="s">
        <v>27</v>
      </c>
      <c r="G11" s="6" t="s">
        <v>101</v>
      </c>
      <c r="H11" s="12">
        <f>H9</f>
        <v>0.3800904977375566</v>
      </c>
      <c r="I11" s="14"/>
      <c r="J11" s="5" t="s">
        <v>113</v>
      </c>
      <c r="L11" s="6"/>
      <c r="M11" s="6" t="s">
        <v>39</v>
      </c>
      <c r="N11" s="12">
        <f>N7/2</f>
        <v>9.1750000000000007</v>
      </c>
      <c r="O11" s="14"/>
      <c r="P11" s="5" t="s">
        <v>14</v>
      </c>
      <c r="Q11" s="16">
        <f t="shared" si="1"/>
        <v>0.75291999999999959</v>
      </c>
      <c r="R11" s="16">
        <f t="shared" si="0"/>
        <v>8.7966009591140164</v>
      </c>
      <c r="U11" s="6" t="s">
        <v>101</v>
      </c>
      <c r="V11" s="12">
        <f>V9</f>
        <v>0.37839904088598447</v>
      </c>
      <c r="W11" s="14"/>
      <c r="X11" s="5"/>
      <c r="Y11" s="16">
        <f t="shared" si="2"/>
        <v>-1.6914568515721262E-3</v>
      </c>
    </row>
    <row r="12" spans="1:25" x14ac:dyDescent="0.25">
      <c r="A12" s="8" t="s">
        <v>43</v>
      </c>
      <c r="B12" s="12">
        <v>0</v>
      </c>
      <c r="C12" s="14" t="s">
        <v>13</v>
      </c>
      <c r="D12" s="5" t="s">
        <v>37</v>
      </c>
      <c r="G12" s="6" t="s">
        <v>102</v>
      </c>
      <c r="H12" s="12">
        <f>General!$I$2/General!$J$2*'Horizontal Tail'!I12/$H$6</f>
        <v>0.90045248868778283</v>
      </c>
      <c r="I12" s="14">
        <f>0.85+1.14</f>
        <v>1.9899999999999998</v>
      </c>
      <c r="J12" s="5" t="s">
        <v>113</v>
      </c>
      <c r="L12" s="8"/>
      <c r="M12" s="8" t="s">
        <v>43</v>
      </c>
      <c r="N12" s="12">
        <v>0</v>
      </c>
      <c r="O12" s="14"/>
      <c r="P12" s="5" t="s">
        <v>70</v>
      </c>
      <c r="Q12" s="16">
        <f t="shared" si="1"/>
        <v>0</v>
      </c>
      <c r="R12" s="16">
        <f t="shared" si="0"/>
        <v>-0.92347264990673461</v>
      </c>
      <c r="U12" s="6" t="s">
        <v>102</v>
      </c>
      <c r="V12" s="12">
        <f>103.76813184/12/V6</f>
        <v>0.92347264990673461</v>
      </c>
      <c r="W12" s="14"/>
      <c r="X12" s="5"/>
      <c r="Y12" s="16">
        <f t="shared" si="2"/>
        <v>2.3020161218951785E-2</v>
      </c>
    </row>
    <row r="13" spans="1:25" x14ac:dyDescent="0.25">
      <c r="A13" s="3" t="s">
        <v>88</v>
      </c>
      <c r="B13" s="12">
        <v>40</v>
      </c>
      <c r="C13" s="14" t="s">
        <v>13</v>
      </c>
      <c r="D13" s="5" t="s">
        <v>0</v>
      </c>
      <c r="G13" s="6" t="s">
        <v>103</v>
      </c>
      <c r="H13" s="12">
        <v>25</v>
      </c>
      <c r="I13" s="14"/>
      <c r="J13" s="5" t="s">
        <v>113</v>
      </c>
      <c r="L13" s="3"/>
      <c r="M13" s="3" t="s">
        <v>88</v>
      </c>
      <c r="N13" s="12">
        <v>40</v>
      </c>
      <c r="O13" s="14"/>
      <c r="P13" s="5" t="s">
        <v>70</v>
      </c>
      <c r="Q13" s="16">
        <f t="shared" si="1"/>
        <v>0</v>
      </c>
      <c r="R13" s="16" t="e">
        <f>N13-#REF!</f>
        <v>#REF!</v>
      </c>
      <c r="U13" s="6" t="s">
        <v>103</v>
      </c>
      <c r="V13" s="12">
        <v>14.86538865</v>
      </c>
      <c r="Y13" s="16">
        <f t="shared" si="2"/>
        <v>-10.13461135</v>
      </c>
    </row>
    <row r="14" spans="1:25" x14ac:dyDescent="0.25">
      <c r="A14" s="3" t="s">
        <v>89</v>
      </c>
      <c r="B14" s="12">
        <f>DEGREES(ATAN(TAN(RADIANS(B13)) - (4/B39)*((1 - B40)/(1 +B40))))</f>
        <v>7.7695655316416028</v>
      </c>
      <c r="C14" s="14" t="s">
        <v>13</v>
      </c>
      <c r="D14" s="5" t="s">
        <v>14</v>
      </c>
      <c r="G14" s="6" t="s">
        <v>104</v>
      </c>
      <c r="H14" s="12">
        <f>General!$I$2/General!$J$2*'Horizontal Tail'!I14/$H$6</f>
        <v>0.89592760180995468</v>
      </c>
      <c r="I14" s="14">
        <v>1.98</v>
      </c>
      <c r="J14" s="5" t="s">
        <v>113</v>
      </c>
      <c r="L14" s="3"/>
      <c r="M14" s="3" t="s">
        <v>89</v>
      </c>
      <c r="N14" s="12">
        <f>DEGREES(ATAN(TAN(RADIANS(N13)) - (4/N39)*((1 - N40)/(1 +N40))))</f>
        <v>-14.659075122334226</v>
      </c>
      <c r="O14" s="14"/>
      <c r="P14" s="5" t="s">
        <v>70</v>
      </c>
      <c r="Q14" s="16">
        <f t="shared" si="1"/>
        <v>-22.42864065397583</v>
      </c>
      <c r="R14" s="16" t="e">
        <f>N14-#REF!</f>
        <v>#REF!</v>
      </c>
      <c r="U14" s="6" t="s">
        <v>104</v>
      </c>
      <c r="V14" s="16">
        <f>V12</f>
        <v>0.92347264990673461</v>
      </c>
      <c r="Y14" s="16">
        <f t="shared" si="2"/>
        <v>2.7545048096779934E-2</v>
      </c>
    </row>
    <row r="15" spans="1:25" x14ac:dyDescent="0.25">
      <c r="A15" s="8" t="s">
        <v>90</v>
      </c>
      <c r="B15" s="12">
        <f>DEGREES(ATAN(TAN(RADIANS(B13)) - (1/B39)*((1 - B40)/(1 +B40))))</f>
        <v>33.561695374583273</v>
      </c>
      <c r="C15" s="14" t="s">
        <v>13</v>
      </c>
      <c r="D15" s="5" t="s">
        <v>14</v>
      </c>
      <c r="E15">
        <f>DEGREES(ATAN(TAN(RADIANS(B13)) - (4/B39)*(0.25*(1 - B40)/(1 +B40))))</f>
        <v>33.561695374583273</v>
      </c>
      <c r="G15" s="6" t="s">
        <v>105</v>
      </c>
      <c r="H15" s="12">
        <v>1</v>
      </c>
      <c r="I15" s="14"/>
      <c r="J15" s="5" t="s">
        <v>113</v>
      </c>
      <c r="L15" s="8"/>
      <c r="M15" s="8" t="s">
        <v>90</v>
      </c>
      <c r="N15" s="12">
        <v>31.5</v>
      </c>
      <c r="O15" s="14"/>
      <c r="P15" s="5" t="s">
        <v>76</v>
      </c>
      <c r="Q15" s="16">
        <f t="shared" si="1"/>
        <v>-2.0616953745832731</v>
      </c>
      <c r="R15" s="16" t="e">
        <f>N15-#REF!</f>
        <v>#REF!</v>
      </c>
      <c r="U15" s="6" t="s">
        <v>105</v>
      </c>
      <c r="V15" s="12">
        <v>1</v>
      </c>
      <c r="Y15" s="16">
        <f t="shared" si="2"/>
        <v>0</v>
      </c>
    </row>
    <row r="16" spans="1:25" x14ac:dyDescent="0.25">
      <c r="A16" s="3" t="s">
        <v>91</v>
      </c>
      <c r="G16" s="6" t="s">
        <v>106</v>
      </c>
      <c r="H16" s="12">
        <f>General!$I$2/General!$J$2*'Horizontal Tail'!I16</f>
        <v>4.1944444444444455</v>
      </c>
      <c r="I16" s="14">
        <v>1</v>
      </c>
      <c r="J16" s="5" t="s">
        <v>113</v>
      </c>
      <c r="L16" s="3"/>
      <c r="M16" s="3" t="s">
        <v>91</v>
      </c>
      <c r="N16" s="12">
        <v>40</v>
      </c>
      <c r="O16" s="14"/>
      <c r="P16" s="5" t="s">
        <v>70</v>
      </c>
      <c r="Q16" s="16">
        <f t="shared" si="1"/>
        <v>40</v>
      </c>
      <c r="R16" s="16">
        <f>N16-V16</f>
        <v>35.320404161666666</v>
      </c>
      <c r="U16" s="6" t="s">
        <v>106</v>
      </c>
      <c r="V16" s="12">
        <f>56.15515006/12</f>
        <v>4.6795958383333334</v>
      </c>
      <c r="W16" s="14"/>
      <c r="X16" s="5"/>
      <c r="Y16" s="16">
        <f t="shared" si="2"/>
        <v>0.48515139388888784</v>
      </c>
    </row>
    <row r="17" spans="1:25" x14ac:dyDescent="0.25">
      <c r="A17" s="3" t="s">
        <v>92</v>
      </c>
      <c r="G17" s="6" t="s">
        <v>107</v>
      </c>
      <c r="H17" s="12">
        <f>General!$I$2/General!$J$2*'Horizontal Tail'!I17</f>
        <v>8.1791666666666689</v>
      </c>
      <c r="I17" s="14">
        <v>1.95</v>
      </c>
      <c r="J17" s="5" t="s">
        <v>113</v>
      </c>
      <c r="L17" s="3"/>
      <c r="M17" s="3" t="s">
        <v>92</v>
      </c>
      <c r="N17" s="12">
        <v>-57</v>
      </c>
      <c r="O17" s="14"/>
      <c r="P17" s="5" t="s">
        <v>76</v>
      </c>
      <c r="Q17" s="16">
        <f t="shared" si="1"/>
        <v>-57</v>
      </c>
      <c r="R17" s="16">
        <f>N17-V17</f>
        <v>-64.947721522500004</v>
      </c>
      <c r="U17" s="6" t="s">
        <v>107</v>
      </c>
      <c r="V17" s="12">
        <f>95.37265827/12</f>
        <v>7.9477215225000002</v>
      </c>
      <c r="W17" s="14"/>
      <c r="X17" s="5"/>
      <c r="Y17" s="16">
        <f t="shared" si="2"/>
        <v>-0.23144514416666873</v>
      </c>
    </row>
    <row r="18" spans="1:25" x14ac:dyDescent="0.25">
      <c r="A18" s="8" t="s">
        <v>93</v>
      </c>
      <c r="G18" s="6" t="s">
        <v>108</v>
      </c>
      <c r="H18" s="12">
        <f>General!$I$2/General!$J$2*'Horizontal Tail'!I18</f>
        <v>8.1791666666666689</v>
      </c>
      <c r="I18" s="14">
        <v>1.95</v>
      </c>
      <c r="J18" s="5" t="s">
        <v>113</v>
      </c>
      <c r="L18" s="8"/>
      <c r="M18" s="8" t="s">
        <v>93</v>
      </c>
      <c r="N18" s="12">
        <v>14</v>
      </c>
      <c r="O18" s="14"/>
      <c r="P18" s="5" t="s">
        <v>76</v>
      </c>
      <c r="Q18" s="16">
        <f t="shared" si="1"/>
        <v>14</v>
      </c>
      <c r="R18" s="16">
        <f>N18-V18</f>
        <v>6.0522784774999998</v>
      </c>
      <c r="U18" s="6" t="s">
        <v>108</v>
      </c>
      <c r="V18" s="12">
        <f>V17</f>
        <v>7.9477215225000002</v>
      </c>
      <c r="W18" s="14"/>
      <c r="X18" s="5"/>
      <c r="Y18" s="16">
        <f t="shared" si="2"/>
        <v>-0.23144514416666873</v>
      </c>
    </row>
    <row r="19" spans="1:25" x14ac:dyDescent="0.25">
      <c r="A19" s="6" t="s">
        <v>45</v>
      </c>
      <c r="B19" s="12">
        <f>General!$B$4/General!$C$4*C19</f>
        <v>7.9240000000000013</v>
      </c>
      <c r="C19" s="14">
        <v>1.75</v>
      </c>
      <c r="D19" s="5" t="s">
        <v>27</v>
      </c>
      <c r="G19" s="6" t="s">
        <v>109</v>
      </c>
      <c r="H19" s="12">
        <f>General!$I$2/General!$J$2*'Horizontal Tail'!I19</f>
        <v>3.7330555555555565</v>
      </c>
      <c r="I19" s="14">
        <v>0.89</v>
      </c>
      <c r="J19" s="5" t="s">
        <v>113</v>
      </c>
      <c r="L19" s="6"/>
      <c r="M19" s="6" t="s">
        <v>45</v>
      </c>
      <c r="N19" s="12">
        <f>95.82/12</f>
        <v>7.9849999999999994</v>
      </c>
      <c r="O19" s="14"/>
      <c r="P19" s="5" t="s">
        <v>70</v>
      </c>
      <c r="Q19" s="16">
        <f t="shared" si="1"/>
        <v>6.0999999999998167E-2</v>
      </c>
      <c r="R19" s="16">
        <f>N19-V21</f>
        <v>5.8765354333333324</v>
      </c>
      <c r="U19" s="6" t="s">
        <v>109</v>
      </c>
      <c r="V19" s="12">
        <f>44.46600827/12</f>
        <v>3.7055006891666671</v>
      </c>
      <c r="W19" s="14"/>
      <c r="X19" s="5"/>
      <c r="Y19" s="16">
        <f t="shared" si="2"/>
        <v>-2.7554866388889376E-2</v>
      </c>
    </row>
    <row r="20" spans="1:25" x14ac:dyDescent="0.25">
      <c r="A20" s="6" t="s">
        <v>83</v>
      </c>
      <c r="G20" s="6" t="s">
        <v>110</v>
      </c>
      <c r="H20" s="12">
        <f>General!$I$2/General!$J$2*'Horizontal Tail'!I20</f>
        <v>3.7330555555555565</v>
      </c>
      <c r="I20" s="14">
        <v>0.89</v>
      </c>
      <c r="J20" s="5" t="s">
        <v>113</v>
      </c>
      <c r="L20" s="6"/>
      <c r="M20" s="6" t="s">
        <v>83</v>
      </c>
      <c r="N20" s="12">
        <f>General!$P$5/General!$Q$5*'Horizontal Tail'!O20</f>
        <v>3.7748571428571429</v>
      </c>
      <c r="O20" s="14">
        <v>0.72</v>
      </c>
      <c r="P20" t="s">
        <v>76</v>
      </c>
      <c r="Q20" s="16">
        <f t="shared" si="1"/>
        <v>3.7748571428571429</v>
      </c>
      <c r="R20" s="16" t="e">
        <f>N20-#REF!</f>
        <v>#REF!</v>
      </c>
      <c r="U20" s="6" t="s">
        <v>110</v>
      </c>
      <c r="V20" s="12">
        <f>V19</f>
        <v>3.7055006891666671</v>
      </c>
      <c r="Y20" s="16">
        <f t="shared" si="2"/>
        <v>-2.7554866388889376E-2</v>
      </c>
    </row>
    <row r="21" spans="1:25" x14ac:dyDescent="0.25">
      <c r="A21" s="6" t="s">
        <v>46</v>
      </c>
      <c r="B21" s="12">
        <f>General!$B$4/General!$C$4*C21</f>
        <v>3.0790400000000004</v>
      </c>
      <c r="C21" s="14">
        <v>0.68</v>
      </c>
      <c r="D21" s="5" t="s">
        <v>14</v>
      </c>
      <c r="G21" s="6" t="s">
        <v>111</v>
      </c>
      <c r="H21" s="12">
        <f>General!$I$2/General!$J$2*'Horizontal Tail'!I21</f>
        <v>2.0972222222222228</v>
      </c>
      <c r="I21" s="14">
        <v>0.5</v>
      </c>
      <c r="J21" s="5" t="s">
        <v>113</v>
      </c>
      <c r="L21" s="6"/>
      <c r="M21" s="6" t="s">
        <v>46</v>
      </c>
      <c r="N21" s="12">
        <f>37.39/12-12.05/12</f>
        <v>2.1116666666666664</v>
      </c>
      <c r="O21" s="14"/>
      <c r="P21" s="5" t="s">
        <v>70</v>
      </c>
      <c r="Q21" s="16">
        <f t="shared" si="1"/>
        <v>-0.96737333333333408</v>
      </c>
      <c r="R21" s="16" t="e">
        <f>N21-#REF!</f>
        <v>#REF!</v>
      </c>
      <c r="U21" s="6" t="s">
        <v>111</v>
      </c>
      <c r="V21" s="12">
        <f>25.3015748/12</f>
        <v>2.1084645666666666</v>
      </c>
      <c r="Y21" s="16">
        <f t="shared" si="2"/>
        <v>1.124234444444383E-2</v>
      </c>
    </row>
    <row r="22" spans="1:25" x14ac:dyDescent="0.25">
      <c r="A22" s="3" t="s">
        <v>86</v>
      </c>
      <c r="G22" s="6" t="s">
        <v>20</v>
      </c>
      <c r="H22" s="12">
        <v>-11</v>
      </c>
      <c r="I22" s="14"/>
      <c r="J22" s="5" t="s">
        <v>113</v>
      </c>
      <c r="L22" s="3"/>
      <c r="M22" s="3" t="s">
        <v>86</v>
      </c>
      <c r="N22" s="12">
        <f>N11-N9</f>
        <v>8.470833333333335</v>
      </c>
      <c r="O22" s="14"/>
      <c r="P22" t="s">
        <v>70</v>
      </c>
      <c r="Q22" s="16">
        <f t="shared" si="1"/>
        <v>8.470833333333335</v>
      </c>
      <c r="R22" s="16">
        <f>N22-V22</f>
        <v>18.470833333333335</v>
      </c>
      <c r="U22" s="6" t="s">
        <v>20</v>
      </c>
      <c r="V22" s="12">
        <v>-10</v>
      </c>
      <c r="W22" s="14"/>
      <c r="X22" s="5"/>
      <c r="Y22" s="16">
        <f t="shared" si="2"/>
        <v>1</v>
      </c>
    </row>
    <row r="23" spans="1:25" x14ac:dyDescent="0.25">
      <c r="A23" s="6" t="s">
        <v>87</v>
      </c>
      <c r="G23" s="6" t="s">
        <v>50</v>
      </c>
      <c r="H23" s="12">
        <f>H11</f>
        <v>0.3800904977375566</v>
      </c>
      <c r="I23" s="14"/>
      <c r="J23" s="5" t="s">
        <v>113</v>
      </c>
      <c r="L23" s="6"/>
      <c r="M23" s="6" t="s">
        <v>87</v>
      </c>
      <c r="N23" s="12">
        <f>N22/N11</f>
        <v>0.92325158946412367</v>
      </c>
      <c r="O23" s="14"/>
      <c r="P23" s="5" t="s">
        <v>14</v>
      </c>
      <c r="Q23" s="16">
        <f t="shared" si="1"/>
        <v>0.92325158946412367</v>
      </c>
      <c r="R23" s="16">
        <f>N23-V23</f>
        <v>0.54485254857813925</v>
      </c>
      <c r="U23" s="6" t="s">
        <v>50</v>
      </c>
      <c r="V23" s="12">
        <f>V11</f>
        <v>0.37839904088598447</v>
      </c>
      <c r="W23" s="14"/>
      <c r="X23" s="5"/>
      <c r="Y23" s="16">
        <f>V23-H23</f>
        <v>-1.6914568515721262E-3</v>
      </c>
    </row>
    <row r="24" spans="1:25" x14ac:dyDescent="0.25">
      <c r="A24" s="3" t="s">
        <v>84</v>
      </c>
      <c r="B24" s="12">
        <f>B11-B8</f>
        <v>3.1243200000000009</v>
      </c>
      <c r="C24" s="14" t="s">
        <v>13</v>
      </c>
      <c r="D24" s="5" t="s">
        <v>14</v>
      </c>
      <c r="G24" s="6" t="s">
        <v>51</v>
      </c>
      <c r="H24" s="12">
        <v>1</v>
      </c>
      <c r="I24" s="14"/>
      <c r="J24" s="5" t="s">
        <v>113</v>
      </c>
      <c r="L24" s="3"/>
      <c r="M24" s="3" t="s">
        <v>84</v>
      </c>
      <c r="N24" s="12">
        <f>General!$P$5/General!$Q$5*'Horizontal Tail'!O24</f>
        <v>3.67</v>
      </c>
      <c r="O24" s="14">
        <v>0.7</v>
      </c>
      <c r="P24" s="5" t="s">
        <v>76</v>
      </c>
      <c r="Q24" s="16">
        <f t="shared" si="1"/>
        <v>0.54567999999999905</v>
      </c>
      <c r="R24" s="16">
        <f>N24-V24</f>
        <v>2.67</v>
      </c>
      <c r="U24" s="6" t="s">
        <v>51</v>
      </c>
      <c r="V24" s="12">
        <v>1</v>
      </c>
      <c r="W24" s="14"/>
      <c r="X24" s="5"/>
      <c r="Y24" s="16">
        <f>V24-H24</f>
        <v>0</v>
      </c>
    </row>
    <row r="25" spans="1:25" x14ac:dyDescent="0.25">
      <c r="A25" s="6" t="s">
        <v>85</v>
      </c>
      <c r="B25" s="12">
        <f>B24/B11</f>
        <v>0.37096774193548393</v>
      </c>
      <c r="C25" s="14" t="s">
        <v>13</v>
      </c>
      <c r="D25" s="5" t="s">
        <v>14</v>
      </c>
      <c r="G25" s="6" t="s">
        <v>56</v>
      </c>
      <c r="H25" s="12">
        <v>1</v>
      </c>
      <c r="I25" s="14"/>
      <c r="J25" s="5" t="s">
        <v>113</v>
      </c>
      <c r="L25" s="6"/>
      <c r="M25" s="6" t="s">
        <v>85</v>
      </c>
      <c r="N25" s="12">
        <f>N24/N11</f>
        <v>0.39999999999999997</v>
      </c>
      <c r="O25" s="14"/>
      <c r="P25" s="5" t="s">
        <v>14</v>
      </c>
      <c r="Q25" s="16">
        <f t="shared" si="1"/>
        <v>2.9032258064516037E-2</v>
      </c>
      <c r="R25" s="16">
        <f>N25-V25</f>
        <v>-0.60000000000000009</v>
      </c>
      <c r="U25" s="6" t="s">
        <v>56</v>
      </c>
      <c r="V25" s="12">
        <v>1</v>
      </c>
      <c r="W25" s="14"/>
      <c r="X25" s="5"/>
      <c r="Y25" s="16">
        <f>V25-H25</f>
        <v>0</v>
      </c>
    </row>
    <row r="26" spans="1:25" x14ac:dyDescent="0.25">
      <c r="A26" s="6" t="s">
        <v>20</v>
      </c>
      <c r="B26" s="12">
        <v>-10</v>
      </c>
      <c r="C26" s="14" t="s">
        <v>13</v>
      </c>
      <c r="D26" s="5" t="s">
        <v>0</v>
      </c>
      <c r="G26" s="6" t="s">
        <v>57</v>
      </c>
      <c r="H26" s="12">
        <v>1</v>
      </c>
      <c r="I26" s="14"/>
      <c r="J26" s="5" t="s">
        <v>113</v>
      </c>
      <c r="L26" s="6"/>
      <c r="M26" s="6" t="s">
        <v>20</v>
      </c>
      <c r="N26" s="12">
        <v>-10</v>
      </c>
      <c r="O26" s="14"/>
      <c r="P26" s="5" t="s">
        <v>70</v>
      </c>
      <c r="Q26" s="16">
        <f t="shared" si="1"/>
        <v>0</v>
      </c>
      <c r="R26" s="16">
        <f>N26-V26</f>
        <v>-11</v>
      </c>
      <c r="U26" s="6" t="s">
        <v>57</v>
      </c>
      <c r="V26" s="12">
        <v>1</v>
      </c>
      <c r="W26" s="14"/>
      <c r="X26" s="5"/>
      <c r="Y26" s="16">
        <f>V26-H26</f>
        <v>0</v>
      </c>
    </row>
    <row r="27" spans="1:25" x14ac:dyDescent="0.25">
      <c r="A27" s="6" t="s">
        <v>17</v>
      </c>
      <c r="B27" s="13" t="s">
        <v>47</v>
      </c>
      <c r="C27" s="14" t="s">
        <v>13</v>
      </c>
      <c r="D27" s="5" t="s">
        <v>36</v>
      </c>
      <c r="G27" s="10" t="s">
        <v>63</v>
      </c>
      <c r="H27" s="12">
        <v>5.375</v>
      </c>
      <c r="I27" s="14"/>
      <c r="J27" s="5" t="s">
        <v>64</v>
      </c>
      <c r="L27" s="6"/>
      <c r="M27" s="6" t="s">
        <v>17</v>
      </c>
      <c r="N27" s="12" t="s">
        <v>47</v>
      </c>
      <c r="O27" s="14"/>
      <c r="P27" s="5" t="s">
        <v>36</v>
      </c>
      <c r="Q27" s="16"/>
      <c r="R27" s="16"/>
      <c r="U27" s="10" t="s">
        <v>63</v>
      </c>
      <c r="V27" s="12">
        <v>5.375</v>
      </c>
      <c r="W27" s="14"/>
      <c r="X27" s="5" t="s">
        <v>64</v>
      </c>
      <c r="Y27" s="16">
        <f>V27-H27</f>
        <v>0</v>
      </c>
    </row>
    <row r="28" spans="1:25" x14ac:dyDescent="0.25">
      <c r="A28" s="3" t="s">
        <v>48</v>
      </c>
      <c r="B28" s="12">
        <f>General!$B$4/General!$C$4*C28</f>
        <v>3.12432</v>
      </c>
      <c r="C28" s="14">
        <v>0.69</v>
      </c>
      <c r="D28" s="5" t="s">
        <v>27</v>
      </c>
      <c r="G28" s="3" t="s">
        <v>65</v>
      </c>
      <c r="H28" s="12">
        <v>21.5</v>
      </c>
      <c r="I28" s="14"/>
      <c r="J28" s="5" t="s">
        <v>64</v>
      </c>
      <c r="L28" s="3"/>
      <c r="M28" s="3" t="s">
        <v>48</v>
      </c>
      <c r="N28" s="12">
        <f>N24</f>
        <v>3.67</v>
      </c>
      <c r="O28" s="14"/>
      <c r="P28" s="5" t="s">
        <v>14</v>
      </c>
      <c r="Q28" s="16">
        <f>N28-B28</f>
        <v>0.54567999999999994</v>
      </c>
      <c r="R28" s="16" t="e">
        <f>N28-#REF!</f>
        <v>#REF!</v>
      </c>
      <c r="U28" s="3" t="s">
        <v>65</v>
      </c>
      <c r="V28" s="12">
        <v>21.5</v>
      </c>
      <c r="W28" s="14"/>
      <c r="X28" s="5" t="s">
        <v>64</v>
      </c>
      <c r="Y28" s="16">
        <f>V28-H28</f>
        <v>0</v>
      </c>
    </row>
    <row r="29" spans="1:25" x14ac:dyDescent="0.25">
      <c r="A29" s="3" t="s">
        <v>49</v>
      </c>
      <c r="B29" s="12">
        <f>B11</f>
        <v>8.4220800000000011</v>
      </c>
      <c r="C29" s="14" t="s">
        <v>13</v>
      </c>
      <c r="D29" s="5" t="s">
        <v>14</v>
      </c>
      <c r="G29" s="3" t="s">
        <v>66</v>
      </c>
      <c r="H29" s="12">
        <f>H27/H28</f>
        <v>0.25</v>
      </c>
      <c r="I29" s="14"/>
      <c r="J29" s="5" t="s">
        <v>14</v>
      </c>
      <c r="L29" s="3"/>
      <c r="M29" s="3" t="s">
        <v>49</v>
      </c>
      <c r="N29" s="12">
        <f>N11</f>
        <v>9.1750000000000007</v>
      </c>
      <c r="O29" s="14"/>
      <c r="P29" s="5" t="s">
        <v>14</v>
      </c>
      <c r="Q29" s="16">
        <f t="shared" ref="Q29:Q45" si="3">N29-B29</f>
        <v>0.75291999999999959</v>
      </c>
      <c r="R29" s="16" t="e">
        <f>N29-#REF!</f>
        <v>#REF!</v>
      </c>
      <c r="U29" s="3" t="s">
        <v>66</v>
      </c>
      <c r="V29" s="12">
        <f>V27/V28</f>
        <v>0.25</v>
      </c>
      <c r="W29" s="14"/>
      <c r="X29" s="5" t="s">
        <v>14</v>
      </c>
      <c r="Y29" s="16">
        <f>V29-H29</f>
        <v>0</v>
      </c>
    </row>
    <row r="30" spans="1:25" x14ac:dyDescent="0.25">
      <c r="A30" s="6" t="s">
        <v>50</v>
      </c>
      <c r="B30" s="12">
        <f>B28/B11</f>
        <v>0.37096774193548382</v>
      </c>
      <c r="C30" s="14" t="s">
        <v>13</v>
      </c>
      <c r="D30" s="5" t="s">
        <v>14</v>
      </c>
      <c r="G30" s="6"/>
      <c r="H30" s="12"/>
      <c r="I30" s="14"/>
      <c r="J30" s="5"/>
      <c r="L30" s="6"/>
      <c r="M30" s="6" t="s">
        <v>50</v>
      </c>
      <c r="N30" s="12">
        <f>N28/N11</f>
        <v>0.39999999999999997</v>
      </c>
      <c r="O30" s="14"/>
      <c r="P30" s="5" t="s">
        <v>14</v>
      </c>
      <c r="Q30" s="16">
        <f t="shared" si="3"/>
        <v>2.9032258064516148E-2</v>
      </c>
      <c r="R30" s="16">
        <f t="shared" ref="R30" si="4">N30-V22</f>
        <v>10.4</v>
      </c>
    </row>
    <row r="31" spans="1:25" x14ac:dyDescent="0.25">
      <c r="A31" s="6" t="s">
        <v>51</v>
      </c>
      <c r="B31" s="12">
        <f>B29/B11</f>
        <v>1</v>
      </c>
      <c r="C31" s="14" t="s">
        <v>13</v>
      </c>
      <c r="D31" s="5" t="s">
        <v>14</v>
      </c>
      <c r="G31" s="6"/>
      <c r="H31" s="12"/>
      <c r="I31" s="14"/>
      <c r="J31" s="5"/>
      <c r="L31" s="6"/>
      <c r="M31" s="6" t="s">
        <v>51</v>
      </c>
      <c r="N31" s="12">
        <f>N29/N11</f>
        <v>1</v>
      </c>
      <c r="O31" s="14"/>
      <c r="P31" s="5" t="s">
        <v>14</v>
      </c>
      <c r="Q31" s="16">
        <f t="shared" si="3"/>
        <v>0</v>
      </c>
      <c r="R31" s="16">
        <f>N31-V23</f>
        <v>0.62160095911401547</v>
      </c>
    </row>
    <row r="32" spans="1:25" x14ac:dyDescent="0.25">
      <c r="A32" s="10" t="s">
        <v>52</v>
      </c>
      <c r="B32" s="12">
        <f>B19</f>
        <v>7.9240000000000013</v>
      </c>
      <c r="C32" s="14" t="s">
        <v>13</v>
      </c>
      <c r="D32" s="5" t="s">
        <v>14</v>
      </c>
      <c r="G32" s="10"/>
      <c r="H32" s="12"/>
      <c r="I32" s="14"/>
      <c r="J32" s="5"/>
      <c r="L32" s="10"/>
      <c r="M32" s="10" t="s">
        <v>52</v>
      </c>
      <c r="N32" s="12">
        <f>N19</f>
        <v>7.9849999999999994</v>
      </c>
      <c r="O32" s="14"/>
      <c r="P32" s="5" t="s">
        <v>14</v>
      </c>
      <c r="Q32" s="16">
        <f t="shared" si="3"/>
        <v>6.0999999999998167E-2</v>
      </c>
      <c r="R32" s="16">
        <f>N32-V24</f>
        <v>6.9849999999999994</v>
      </c>
    </row>
    <row r="33" spans="1:18" x14ac:dyDescent="0.25">
      <c r="A33" s="10" t="s">
        <v>53</v>
      </c>
      <c r="B33" s="12">
        <f>B32</f>
        <v>7.9240000000000013</v>
      </c>
      <c r="C33" s="14" t="s">
        <v>13</v>
      </c>
      <c r="D33" s="5" t="s">
        <v>14</v>
      </c>
      <c r="G33" s="10"/>
      <c r="H33" s="12"/>
      <c r="I33" s="14"/>
      <c r="J33" s="5"/>
      <c r="L33" s="10"/>
      <c r="M33" s="10" t="s">
        <v>53</v>
      </c>
      <c r="N33" s="12">
        <f>N32</f>
        <v>7.9849999999999994</v>
      </c>
      <c r="O33" s="14"/>
      <c r="P33" s="5" t="s">
        <v>14</v>
      </c>
      <c r="Q33" s="16">
        <f t="shared" si="3"/>
        <v>6.0999999999998167E-2</v>
      </c>
      <c r="R33" s="16">
        <f>N33-V25</f>
        <v>6.9849999999999994</v>
      </c>
    </row>
    <row r="34" spans="1:18" x14ac:dyDescent="0.25">
      <c r="A34" s="10" t="s">
        <v>54</v>
      </c>
      <c r="B34" s="12">
        <f>B21</f>
        <v>3.0790400000000004</v>
      </c>
      <c r="C34" s="14" t="s">
        <v>13</v>
      </c>
      <c r="D34" s="5" t="s">
        <v>14</v>
      </c>
      <c r="G34" s="10"/>
      <c r="H34" s="12"/>
      <c r="I34" s="14"/>
      <c r="J34" s="5"/>
      <c r="L34" s="10"/>
      <c r="M34" s="10" t="s">
        <v>54</v>
      </c>
      <c r="N34" s="12">
        <f>N21</f>
        <v>2.1116666666666664</v>
      </c>
      <c r="O34" s="14"/>
      <c r="P34" s="5" t="s">
        <v>14</v>
      </c>
      <c r="Q34" s="16">
        <f t="shared" si="3"/>
        <v>-0.96737333333333408</v>
      </c>
      <c r="R34" s="16">
        <f>N34-V26</f>
        <v>1.1116666666666664</v>
      </c>
    </row>
    <row r="35" spans="1:18" x14ac:dyDescent="0.25">
      <c r="A35" s="10" t="s">
        <v>55</v>
      </c>
      <c r="B35" s="12">
        <f>B21</f>
        <v>3.0790400000000004</v>
      </c>
      <c r="C35" s="14" t="s">
        <v>13</v>
      </c>
      <c r="D35" s="5" t="s">
        <v>14</v>
      </c>
      <c r="G35" s="10"/>
      <c r="H35" s="12"/>
      <c r="I35" s="14"/>
      <c r="J35" s="5"/>
      <c r="L35" s="10"/>
      <c r="M35" s="10" t="s">
        <v>55</v>
      </c>
      <c r="N35" s="12">
        <f>N21</f>
        <v>2.1116666666666664</v>
      </c>
      <c r="O35" s="14"/>
      <c r="P35" s="5" t="s">
        <v>14</v>
      </c>
      <c r="Q35" s="16">
        <f t="shared" si="3"/>
        <v>-0.96737333333333408</v>
      </c>
      <c r="R35" s="16">
        <f>N35-V27</f>
        <v>-3.2633333333333336</v>
      </c>
    </row>
    <row r="36" spans="1:18" x14ac:dyDescent="0.25">
      <c r="A36" s="6" t="s">
        <v>56</v>
      </c>
      <c r="B36" s="12">
        <f>B33/B32</f>
        <v>1</v>
      </c>
      <c r="C36" s="14" t="s">
        <v>13</v>
      </c>
      <c r="D36" s="5" t="s">
        <v>14</v>
      </c>
      <c r="G36" s="6"/>
      <c r="H36" s="12"/>
      <c r="I36" s="14"/>
      <c r="J36" s="5"/>
      <c r="L36" s="6"/>
      <c r="M36" s="6" t="s">
        <v>56</v>
      </c>
      <c r="N36" s="12">
        <f>N33/N32</f>
        <v>1</v>
      </c>
      <c r="O36" s="14"/>
      <c r="P36" s="5" t="s">
        <v>14</v>
      </c>
      <c r="Q36" s="16">
        <f t="shared" si="3"/>
        <v>0</v>
      </c>
      <c r="R36" s="16">
        <f>N36-V28</f>
        <v>-20.5</v>
      </c>
    </row>
    <row r="37" spans="1:18" s="5" customFormat="1" x14ac:dyDescent="0.25">
      <c r="A37" s="6" t="s">
        <v>57</v>
      </c>
      <c r="B37" s="12">
        <f>B35/B34</f>
        <v>1</v>
      </c>
      <c r="C37" s="14" t="s">
        <v>13</v>
      </c>
      <c r="D37" s="5" t="s">
        <v>14</v>
      </c>
      <c r="E37"/>
      <c r="F37"/>
      <c r="G37" s="6"/>
      <c r="H37" s="12"/>
      <c r="I37" s="14"/>
      <c r="L37" s="6"/>
      <c r="M37" s="6" t="s">
        <v>57</v>
      </c>
      <c r="N37" s="12">
        <f>N35/N34</f>
        <v>1</v>
      </c>
      <c r="O37" s="14"/>
      <c r="P37" s="5" t="s">
        <v>14</v>
      </c>
      <c r="Q37" s="16">
        <f t="shared" si="3"/>
        <v>0</v>
      </c>
      <c r="R37" s="16">
        <f>N37-V29</f>
        <v>0.75</v>
      </c>
    </row>
    <row r="38" spans="1:18" s="5" customFormat="1" x14ac:dyDescent="0.25">
      <c r="A38" s="3" t="s">
        <v>21</v>
      </c>
      <c r="B38" s="12">
        <v>0</v>
      </c>
      <c r="C38" s="14" t="s">
        <v>13</v>
      </c>
      <c r="D38" s="5" t="s">
        <v>36</v>
      </c>
      <c r="E38"/>
      <c r="F38"/>
      <c r="G38" s="3"/>
      <c r="H38" s="12"/>
      <c r="I38" s="14"/>
      <c r="L38" s="3"/>
      <c r="M38" s="3" t="s">
        <v>21</v>
      </c>
      <c r="N38" s="12">
        <v>0</v>
      </c>
      <c r="O38" s="14"/>
      <c r="P38" s="5" t="s">
        <v>70</v>
      </c>
      <c r="Q38" s="16">
        <f t="shared" si="3"/>
        <v>0</v>
      </c>
      <c r="R38" s="16" t="e">
        <f>N38-#REF!</f>
        <v>#REF!</v>
      </c>
    </row>
    <row r="39" spans="1:18" s="5" customFormat="1" x14ac:dyDescent="0.25">
      <c r="A39" s="3" t="s">
        <v>7</v>
      </c>
      <c r="B39" s="12">
        <f>B7*B7/B6</f>
        <v>2.5066496410458274</v>
      </c>
      <c r="C39" s="14" t="s">
        <v>13</v>
      </c>
      <c r="D39" s="5" t="s">
        <v>14</v>
      </c>
      <c r="E39"/>
      <c r="F39"/>
      <c r="G39" s="3"/>
      <c r="H39" s="12"/>
      <c r="I39" s="14"/>
      <c r="L39" s="3"/>
      <c r="M39" s="3" t="s">
        <v>7</v>
      </c>
      <c r="N39" s="12">
        <v>2.1139999999999999</v>
      </c>
      <c r="O39" s="14"/>
      <c r="P39" s="5" t="s">
        <v>14</v>
      </c>
      <c r="Q39" s="16">
        <f t="shared" si="3"/>
        <v>-0.39264964104582756</v>
      </c>
      <c r="R39" s="16">
        <f t="shared" ref="R39:R45" si="5">N39-H31</f>
        <v>2.1139999999999999</v>
      </c>
    </row>
    <row r="40" spans="1:18" s="5" customFormat="1" x14ac:dyDescent="0.25">
      <c r="A40" s="3" t="s">
        <v>8</v>
      </c>
      <c r="B40" s="12">
        <f>B21/B19</f>
        <v>0.38857142857142857</v>
      </c>
      <c r="C40" s="14" t="s">
        <v>13</v>
      </c>
      <c r="D40" s="5" t="s">
        <v>0</v>
      </c>
      <c r="E40"/>
      <c r="F40"/>
      <c r="G40" s="3"/>
      <c r="H40" s="12"/>
      <c r="I40" s="14"/>
      <c r="L40" s="3"/>
      <c r="M40" s="3" t="s">
        <v>8</v>
      </c>
      <c r="N40" s="12">
        <f>N21/N19</f>
        <v>0.26445418493007722</v>
      </c>
      <c r="O40" s="14"/>
      <c r="P40" s="5" t="s">
        <v>14</v>
      </c>
      <c r="Q40" s="16">
        <f t="shared" si="3"/>
        <v>-0.12411724364135135</v>
      </c>
      <c r="R40" s="16">
        <f t="shared" si="5"/>
        <v>0.26445418493007722</v>
      </c>
    </row>
    <row r="41" spans="1:18" s="5" customFormat="1" x14ac:dyDescent="0.25">
      <c r="A41" s="3" t="s">
        <v>77</v>
      </c>
      <c r="B41" s="12">
        <f>B6/B7</f>
        <v>6.7197903225806463</v>
      </c>
      <c r="C41" s="14" t="s">
        <v>13</v>
      </c>
      <c r="D41" s="5" t="s">
        <v>14</v>
      </c>
      <c r="E41"/>
      <c r="F41"/>
      <c r="G41" s="3"/>
      <c r="H41" s="12"/>
      <c r="I41" s="14"/>
      <c r="L41" s="3"/>
      <c r="M41" s="3" t="s">
        <v>77</v>
      </c>
      <c r="N41" s="12">
        <f>N6/N7</f>
        <v>7.0179491371480474</v>
      </c>
      <c r="O41" s="14"/>
      <c r="P41" s="5" t="s">
        <v>14</v>
      </c>
      <c r="Q41" s="16">
        <f t="shared" si="3"/>
        <v>0.29815881456740101</v>
      </c>
      <c r="R41" s="16">
        <f t="shared" si="5"/>
        <v>7.0179491371480474</v>
      </c>
    </row>
    <row r="42" spans="1:18" s="5" customFormat="1" x14ac:dyDescent="0.25">
      <c r="A42" s="3" t="s">
        <v>44</v>
      </c>
      <c r="B42" s="12">
        <v>5.90625</v>
      </c>
      <c r="C42" s="5" t="s">
        <v>13</v>
      </c>
      <c r="D42" s="5" t="s">
        <v>0</v>
      </c>
      <c r="E42"/>
      <c r="F42"/>
      <c r="G42" s="3"/>
      <c r="H42" s="12"/>
      <c r="I42" s="14"/>
      <c r="L42" s="3"/>
      <c r="M42" s="3" t="s">
        <v>44</v>
      </c>
      <c r="N42" s="12">
        <f>70.87/12</f>
        <v>5.9058333333333337</v>
      </c>
      <c r="O42" s="14"/>
      <c r="P42" s="5" t="s">
        <v>14</v>
      </c>
      <c r="Q42" s="16">
        <f t="shared" si="3"/>
        <v>-4.1666666666628771E-4</v>
      </c>
      <c r="R42" s="16">
        <f t="shared" si="5"/>
        <v>5.9058333333333337</v>
      </c>
    </row>
    <row r="43" spans="1:18" x14ac:dyDescent="0.25">
      <c r="A43" s="10" t="s">
        <v>63</v>
      </c>
      <c r="B43" s="12">
        <v>5.375</v>
      </c>
      <c r="C43" s="14" t="s">
        <v>13</v>
      </c>
      <c r="D43" s="5" t="s">
        <v>64</v>
      </c>
      <c r="M43" s="10" t="s">
        <v>63</v>
      </c>
      <c r="N43" s="12">
        <v>5.375</v>
      </c>
      <c r="O43" s="14"/>
      <c r="P43" s="5" t="s">
        <v>64</v>
      </c>
      <c r="Q43" s="16">
        <f t="shared" si="3"/>
        <v>0</v>
      </c>
      <c r="R43" s="16">
        <f t="shared" si="5"/>
        <v>5.375</v>
      </c>
    </row>
    <row r="44" spans="1:18" x14ac:dyDescent="0.25">
      <c r="A44" s="3" t="s">
        <v>65</v>
      </c>
      <c r="B44" s="12">
        <v>21.5</v>
      </c>
      <c r="D44" s="5" t="s">
        <v>64</v>
      </c>
      <c r="M44" s="3" t="s">
        <v>65</v>
      </c>
      <c r="N44" s="12">
        <v>21.5</v>
      </c>
      <c r="O44" s="14"/>
      <c r="P44" s="5" t="s">
        <v>64</v>
      </c>
      <c r="Q44" s="16">
        <f t="shared" si="3"/>
        <v>0</v>
      </c>
      <c r="R44" s="16">
        <f t="shared" si="5"/>
        <v>21.5</v>
      </c>
    </row>
    <row r="45" spans="1:18" x14ac:dyDescent="0.25">
      <c r="A45" s="3" t="s">
        <v>66</v>
      </c>
      <c r="B45" s="12">
        <f>B43/B44</f>
        <v>0.25</v>
      </c>
      <c r="D45" s="5" t="s">
        <v>14</v>
      </c>
      <c r="M45" s="3" t="s">
        <v>66</v>
      </c>
      <c r="N45" s="12">
        <f>N43/N44</f>
        <v>0.25</v>
      </c>
      <c r="O45" s="14"/>
      <c r="P45" s="5" t="s">
        <v>14</v>
      </c>
      <c r="Q45" s="16">
        <f t="shared" si="3"/>
        <v>0</v>
      </c>
      <c r="R45" s="16">
        <f t="shared" si="5"/>
        <v>0.25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CE82D-4DDD-45B9-B0D1-292FAA56D14E}">
  <dimension ref="A1:X1048576"/>
  <sheetViews>
    <sheetView tabSelected="1" topLeftCell="N1" zoomScale="85" zoomScaleNormal="85" workbookViewId="0">
      <selection activeCell="V26" sqref="V26"/>
    </sheetView>
  </sheetViews>
  <sheetFormatPr defaultRowHeight="15" x14ac:dyDescent="0.25"/>
  <cols>
    <col min="1" max="1" width="38.28515625" bestFit="1" customWidth="1"/>
    <col min="2" max="2" width="12.85546875" style="12" bestFit="1" customWidth="1"/>
    <col min="3" max="3" width="12.42578125" style="5" customWidth="1"/>
    <col min="4" max="4" width="27.7109375" style="5" customWidth="1"/>
    <col min="7" max="7" width="43" bestFit="1" customWidth="1"/>
    <col min="8" max="8" width="9.42578125" bestFit="1" customWidth="1"/>
    <col min="10" max="10" width="21.140625" bestFit="1" customWidth="1"/>
    <col min="13" max="13" width="43" customWidth="1"/>
    <col min="14" max="14" width="9.42578125" bestFit="1" customWidth="1"/>
    <col min="16" max="16" width="19.5703125" bestFit="1" customWidth="1"/>
    <col min="17" max="17" width="9.42578125" bestFit="1" customWidth="1"/>
    <col min="20" max="20" width="33.28515625" bestFit="1" customWidth="1"/>
    <col min="24" max="24" width="10.5703125" bestFit="1" customWidth="1"/>
  </cols>
  <sheetData>
    <row r="1" spans="1:24" x14ac:dyDescent="0.25">
      <c r="A1" s="1" t="s">
        <v>1</v>
      </c>
      <c r="B1" s="11" t="s">
        <v>31</v>
      </c>
      <c r="C1" s="1" t="s">
        <v>23</v>
      </c>
      <c r="D1" s="1" t="s">
        <v>2</v>
      </c>
      <c r="F1" s="4"/>
      <c r="G1" s="1" t="s">
        <v>1</v>
      </c>
      <c r="H1" s="11" t="s">
        <v>31</v>
      </c>
      <c r="I1" s="1" t="s">
        <v>23</v>
      </c>
      <c r="J1" s="1" t="s">
        <v>2</v>
      </c>
      <c r="K1" s="17"/>
      <c r="M1" s="1" t="s">
        <v>1</v>
      </c>
      <c r="N1" s="11" t="s">
        <v>31</v>
      </c>
      <c r="O1" s="1" t="s">
        <v>23</v>
      </c>
      <c r="P1" s="1" t="s">
        <v>2</v>
      </c>
      <c r="Q1" s="1" t="s">
        <v>74</v>
      </c>
      <c r="T1" s="1" t="s">
        <v>1</v>
      </c>
      <c r="U1" s="11" t="s">
        <v>31</v>
      </c>
      <c r="V1" s="1" t="s">
        <v>23</v>
      </c>
      <c r="W1" s="1" t="s">
        <v>2</v>
      </c>
      <c r="X1" s="15" t="s">
        <v>116</v>
      </c>
    </row>
    <row r="2" spans="1:24" x14ac:dyDescent="0.25">
      <c r="A2" s="3" t="s">
        <v>58</v>
      </c>
      <c r="B2" s="12">
        <f>General!$B$7/General!$C$7*C2</f>
        <v>35.786776691116543</v>
      </c>
      <c r="C2" s="14">
        <v>8.9</v>
      </c>
      <c r="D2" s="5" t="s">
        <v>27</v>
      </c>
      <c r="G2" s="3" t="s">
        <v>58</v>
      </c>
      <c r="H2" s="12">
        <f>General!$I$3/General!$J$3*'Vertical Tail'!I2</f>
        <v>31.175595238095241</v>
      </c>
      <c r="I2" s="14">
        <v>8.3800000000000008</v>
      </c>
      <c r="J2" s="5" t="s">
        <v>113</v>
      </c>
      <c r="K2" s="16"/>
      <c r="M2" s="3" t="s">
        <v>58</v>
      </c>
      <c r="N2" s="12">
        <f>General!$P$2/General!$Q$2*'Vertical Tail'!O2</f>
        <v>36.367707249392993</v>
      </c>
      <c r="O2" s="14">
        <v>7.07</v>
      </c>
      <c r="P2" s="5" t="s">
        <v>76</v>
      </c>
      <c r="Q2" s="16">
        <f t="shared" ref="Q2:Q8" si="0">N2-B2</f>
        <v>0.58093055827644946</v>
      </c>
      <c r="T2" s="3" t="s">
        <v>58</v>
      </c>
      <c r="U2" s="12">
        <f>371.85/12</f>
        <v>30.987500000000001</v>
      </c>
      <c r="V2" s="14"/>
      <c r="W2" s="5" t="s">
        <v>96</v>
      </c>
      <c r="X2" s="16">
        <f>U2-H2</f>
        <v>-0.18809523809524009</v>
      </c>
    </row>
    <row r="3" spans="1:24" x14ac:dyDescent="0.25">
      <c r="A3" s="3" t="s">
        <v>59</v>
      </c>
      <c r="B3" s="12">
        <f>B2+B19/4</f>
        <v>38.068686328443356</v>
      </c>
      <c r="C3" s="14" t="s">
        <v>13</v>
      </c>
      <c r="D3" s="5" t="s">
        <v>14</v>
      </c>
      <c r="G3" s="3" t="s">
        <v>59</v>
      </c>
      <c r="H3" s="12">
        <f>H2+H16/4</f>
        <v>33.872767857142861</v>
      </c>
      <c r="I3" s="14"/>
      <c r="J3" s="5" t="s">
        <v>14</v>
      </c>
      <c r="K3" s="16"/>
      <c r="M3" s="3" t="s">
        <v>59</v>
      </c>
      <c r="N3" s="12">
        <f>N2+N19/4</f>
        <v>38.598894380853274</v>
      </c>
      <c r="O3" s="14"/>
      <c r="P3" s="5"/>
      <c r="Q3" s="16">
        <f t="shared" si="0"/>
        <v>0.5302080524099182</v>
      </c>
      <c r="T3" s="3" t="s">
        <v>59</v>
      </c>
      <c r="U3" s="12">
        <f>U2+U16/4</f>
        <v>33.677708333333335</v>
      </c>
      <c r="V3" s="14"/>
      <c r="W3" s="5" t="s">
        <v>96</v>
      </c>
      <c r="X3" s="16">
        <f t="shared" ref="X3:X26" si="1">U3-H3</f>
        <v>-0.19505952380952607</v>
      </c>
    </row>
    <row r="4" spans="1:24" x14ac:dyDescent="0.25">
      <c r="A4" s="6" t="s">
        <v>42</v>
      </c>
      <c r="B4" s="12">
        <f>General!B6-'Vertical Tail'!B3</f>
        <v>-11.127086328443351</v>
      </c>
      <c r="C4" s="14" t="s">
        <v>13</v>
      </c>
      <c r="D4" s="5" t="s">
        <v>14</v>
      </c>
      <c r="G4" s="6" t="s">
        <v>42</v>
      </c>
      <c r="H4" s="12">
        <f>General!I4-'Vertical Tail'!H3</f>
        <v>-6.9255273329761913</v>
      </c>
      <c r="I4" s="14"/>
      <c r="J4" s="5" t="s">
        <v>14</v>
      </c>
      <c r="K4" s="16"/>
      <c r="M4" s="6" t="s">
        <v>42</v>
      </c>
      <c r="N4" s="12">
        <f>General!P3-'Vertical Tail'!N3</f>
        <v>-10.871197537287546</v>
      </c>
      <c r="O4" s="14"/>
      <c r="P4" s="5"/>
      <c r="Q4" s="16">
        <f t="shared" si="0"/>
        <v>0.25588879115580454</v>
      </c>
      <c r="T4" s="6" t="s">
        <v>42</v>
      </c>
      <c r="U4" s="12">
        <f>General!W3-'Vertical Tail'!U3</f>
        <v>-6.7304678091666652</v>
      </c>
      <c r="W4" s="5" t="s">
        <v>96</v>
      </c>
      <c r="X4" s="16">
        <f t="shared" si="1"/>
        <v>0.19505952380952607</v>
      </c>
    </row>
    <row r="5" spans="1:24" x14ac:dyDescent="0.25">
      <c r="A5" s="6" t="s">
        <v>60</v>
      </c>
      <c r="B5" s="12">
        <f>General!$B$4/General!$C$4*C5</f>
        <v>0.13584000000000002</v>
      </c>
      <c r="C5" s="14">
        <v>0.03</v>
      </c>
      <c r="D5" s="5" t="s">
        <v>27</v>
      </c>
      <c r="G5" s="6" t="s">
        <v>60</v>
      </c>
      <c r="H5" s="12">
        <f>'Horizontal Tail'!H5</f>
        <v>4.1944444444444458E-2</v>
      </c>
      <c r="I5" s="14"/>
      <c r="J5" s="5" t="s">
        <v>113</v>
      </c>
      <c r="K5" s="16"/>
      <c r="M5" s="6" t="s">
        <v>60</v>
      </c>
      <c r="N5" s="12">
        <f>General!$P$2/General!$Q$2*'Horizontal Tail'!O5</f>
        <v>0.72015261879986125</v>
      </c>
      <c r="O5" s="14">
        <v>0.14000000000000001</v>
      </c>
      <c r="P5" s="5"/>
      <c r="Q5" s="16">
        <f t="shared" si="0"/>
        <v>0.58431261879986129</v>
      </c>
      <c r="T5" s="6" t="s">
        <v>60</v>
      </c>
      <c r="U5" s="12">
        <f>-0.82/12</f>
        <v>-6.8333333333333329E-2</v>
      </c>
      <c r="V5" s="14"/>
      <c r="W5" s="5" t="s">
        <v>96</v>
      </c>
      <c r="X5" s="16">
        <f t="shared" si="1"/>
        <v>-0.11027777777777778</v>
      </c>
    </row>
    <row r="6" spans="1:24" x14ac:dyDescent="0.25">
      <c r="A6" s="10" t="s">
        <v>41</v>
      </c>
      <c r="B6" s="12">
        <f>54.675+2*B19*(B11-B8)</f>
        <v>90.643065981085385</v>
      </c>
      <c r="C6" s="14" t="s">
        <v>13</v>
      </c>
      <c r="D6" s="5" t="s">
        <v>14</v>
      </c>
      <c r="G6" s="6" t="s">
        <v>39</v>
      </c>
      <c r="H6" s="12">
        <f>General!$I$3/General!$J$3*'Vertical Tail'!I6</f>
        <v>10.714285714285714</v>
      </c>
      <c r="I6" s="14">
        <v>2.88</v>
      </c>
      <c r="J6" s="5" t="s">
        <v>113</v>
      </c>
      <c r="K6" s="16"/>
      <c r="M6" s="10" t="s">
        <v>41</v>
      </c>
      <c r="N6" s="12">
        <f>N10*N19+0.5*(N19+N20)*N8 + 0.5*(N20+N21)*N9</f>
        <v>74.122068782139223</v>
      </c>
      <c r="O6" s="14"/>
      <c r="P6" s="5"/>
      <c r="Q6" s="16">
        <f t="shared" si="0"/>
        <v>-16.520997198946162</v>
      </c>
      <c r="T6" s="6" t="s">
        <v>39</v>
      </c>
      <c r="U6" s="12">
        <f>128.25/12</f>
        <v>10.6875</v>
      </c>
      <c r="V6" s="14"/>
      <c r="W6" s="5" t="s">
        <v>96</v>
      </c>
      <c r="X6" s="16">
        <f t="shared" si="1"/>
        <v>-2.6785714285713524E-2</v>
      </c>
    </row>
    <row r="7" spans="1:24" x14ac:dyDescent="0.25">
      <c r="A7" s="10" t="s">
        <v>40</v>
      </c>
      <c r="B7" s="12">
        <f>B11*2</f>
        <v>20.024511002444989</v>
      </c>
      <c r="C7" s="14" t="s">
        <v>13</v>
      </c>
      <c r="D7" s="5" t="s">
        <v>14</v>
      </c>
      <c r="G7" s="6" t="s">
        <v>99</v>
      </c>
      <c r="H7" s="12">
        <v>0</v>
      </c>
      <c r="I7" s="14"/>
      <c r="J7" s="5" t="s">
        <v>113</v>
      </c>
      <c r="K7" s="16"/>
      <c r="M7" s="10" t="s">
        <v>40</v>
      </c>
      <c r="N7" s="12">
        <f>N11*2</f>
        <v>20.84561220950399</v>
      </c>
      <c r="O7" s="14"/>
      <c r="P7" s="5" t="s">
        <v>14</v>
      </c>
      <c r="Q7" s="16">
        <f t="shared" si="0"/>
        <v>0.82110120705900158</v>
      </c>
      <c r="T7" s="6" t="s">
        <v>99</v>
      </c>
      <c r="U7" s="12">
        <v>0</v>
      </c>
      <c r="V7" s="14"/>
      <c r="W7" s="5" t="s">
        <v>96</v>
      </c>
      <c r="X7" s="16">
        <f t="shared" si="1"/>
        <v>0</v>
      </c>
    </row>
    <row r="8" spans="1:24" x14ac:dyDescent="0.25">
      <c r="A8" s="3" t="s">
        <v>80</v>
      </c>
      <c r="B8" s="12">
        <f>General!$B$7/General!$C$7*C8</f>
        <v>8.0419722901385491</v>
      </c>
      <c r="C8" s="14">
        <f>C11-0.49</f>
        <v>2</v>
      </c>
      <c r="D8" s="5" t="s">
        <v>27</v>
      </c>
      <c r="G8" s="6" t="s">
        <v>97</v>
      </c>
      <c r="H8" s="12">
        <v>0</v>
      </c>
      <c r="I8" s="14"/>
      <c r="J8" s="5" t="s">
        <v>113</v>
      </c>
      <c r="K8" s="16"/>
      <c r="M8" s="3" t="s">
        <v>80</v>
      </c>
      <c r="N8" s="12">
        <f>95/12</f>
        <v>7.916666666666667</v>
      </c>
      <c r="O8" s="14"/>
      <c r="P8" s="5" t="s">
        <v>70</v>
      </c>
      <c r="Q8" s="16">
        <f t="shared" si="0"/>
        <v>-0.12530562347188212</v>
      </c>
      <c r="T8" s="6" t="s">
        <v>97</v>
      </c>
      <c r="U8" s="12">
        <v>0</v>
      </c>
      <c r="V8" s="14"/>
      <c r="W8" s="5" t="s">
        <v>96</v>
      </c>
      <c r="X8" s="16">
        <f t="shared" si="1"/>
        <v>0</v>
      </c>
    </row>
    <row r="9" spans="1:24" x14ac:dyDescent="0.25">
      <c r="A9" s="3" t="s">
        <v>81</v>
      </c>
      <c r="G9" s="6" t="s">
        <v>98</v>
      </c>
      <c r="H9" s="12">
        <f>General!$I$3/General!$J$3*'Vertical Tail'!I9/$H$6</f>
        <v>0.21527777777777779</v>
      </c>
      <c r="I9" s="14">
        <v>0.62</v>
      </c>
      <c r="J9" s="5" t="s">
        <v>113</v>
      </c>
      <c r="M9" s="3" t="s">
        <v>81</v>
      </c>
      <c r="N9" s="12">
        <f>(101 - 95)/12</f>
        <v>0.5</v>
      </c>
      <c r="O9" s="14"/>
      <c r="T9" s="6" t="s">
        <v>98</v>
      </c>
      <c r="U9" s="12">
        <f>27.19/12/U6</f>
        <v>0.2120077972709552</v>
      </c>
      <c r="V9" s="14"/>
      <c r="W9" s="5" t="s">
        <v>96</v>
      </c>
      <c r="X9" s="16">
        <f t="shared" si="1"/>
        <v>-3.2699805068225896E-3</v>
      </c>
    </row>
    <row r="10" spans="1:24" x14ac:dyDescent="0.25">
      <c r="A10" s="3" t="s">
        <v>82</v>
      </c>
      <c r="G10" s="6" t="s">
        <v>100</v>
      </c>
      <c r="H10" s="12">
        <v>72</v>
      </c>
      <c r="I10" s="14"/>
      <c r="J10" s="5" t="s">
        <v>113</v>
      </c>
      <c r="M10" s="3" t="s">
        <v>82</v>
      </c>
      <c r="N10" s="12">
        <f>General!$P$2/General!$Q$2*'Vertical Tail'!O10</f>
        <v>2.0061394380853277</v>
      </c>
      <c r="O10" s="14">
        <v>0.39</v>
      </c>
      <c r="T10" s="6" t="s">
        <v>100</v>
      </c>
      <c r="U10" s="12">
        <f>90-18.27252</f>
        <v>71.72748</v>
      </c>
      <c r="V10" s="14"/>
      <c r="W10" s="5" t="s">
        <v>96</v>
      </c>
      <c r="X10" s="16">
        <f t="shared" si="1"/>
        <v>-0.2725200000000001</v>
      </c>
    </row>
    <row r="11" spans="1:24" x14ac:dyDescent="0.25">
      <c r="A11" s="6" t="s">
        <v>39</v>
      </c>
      <c r="B11" s="12">
        <f>General!$B$7/General!$C$7*C11</f>
        <v>10.012255501222494</v>
      </c>
      <c r="C11" s="14">
        <v>2.4900000000000002</v>
      </c>
      <c r="D11" s="5" t="s">
        <v>27</v>
      </c>
      <c r="G11" s="6" t="s">
        <v>101</v>
      </c>
      <c r="H11" s="12">
        <f>H9</f>
        <v>0.21527777777777779</v>
      </c>
      <c r="J11" s="5" t="s">
        <v>113</v>
      </c>
      <c r="K11" s="16"/>
      <c r="M11" s="6" t="s">
        <v>39</v>
      </c>
      <c r="N11" s="12">
        <f>N10+N9+N8</f>
        <v>10.422806104751995</v>
      </c>
      <c r="O11" s="14"/>
      <c r="P11" s="5" t="s">
        <v>14</v>
      </c>
      <c r="Q11" s="16">
        <f>N11-B11</f>
        <v>0.41055060352950079</v>
      </c>
      <c r="T11" s="6" t="s">
        <v>101</v>
      </c>
      <c r="U11" s="12">
        <v>0.2120077972709552</v>
      </c>
      <c r="V11" s="14"/>
      <c r="W11" s="5" t="s">
        <v>96</v>
      </c>
      <c r="X11" s="16">
        <f t="shared" si="1"/>
        <v>-3.2699805068225896E-3</v>
      </c>
    </row>
    <row r="12" spans="1:24" x14ac:dyDescent="0.25">
      <c r="A12" s="8" t="s">
        <v>43</v>
      </c>
      <c r="B12" s="12">
        <v>0</v>
      </c>
      <c r="C12" s="14" t="s">
        <v>13</v>
      </c>
      <c r="D12" s="5" t="s">
        <v>37</v>
      </c>
      <c r="G12" s="6" t="s">
        <v>102</v>
      </c>
      <c r="H12" s="12">
        <f>General!$I$3/General!$J$3*'Vertical Tail'!I12/$H$6</f>
        <v>0.35416666666666669</v>
      </c>
      <c r="I12" s="14">
        <f>0.4+0.62</f>
        <v>1.02</v>
      </c>
      <c r="J12" s="5" t="s">
        <v>113</v>
      </c>
      <c r="K12" s="16"/>
      <c r="M12" s="8" t="s">
        <v>43</v>
      </c>
      <c r="N12" s="12">
        <v>0</v>
      </c>
      <c r="O12" s="14"/>
      <c r="P12" s="5" t="s">
        <v>70</v>
      </c>
      <c r="Q12" s="16">
        <f>N12-B12</f>
        <v>0</v>
      </c>
      <c r="T12" s="6" t="s">
        <v>102</v>
      </c>
      <c r="U12" s="12">
        <f>45.97/12/U6</f>
        <v>0.35844054580896684</v>
      </c>
      <c r="V12" s="14"/>
      <c r="W12" s="5" t="s">
        <v>96</v>
      </c>
      <c r="X12" s="16">
        <f t="shared" si="1"/>
        <v>4.2738791423001521E-3</v>
      </c>
    </row>
    <row r="13" spans="1:24" x14ac:dyDescent="0.25">
      <c r="A13" s="3" t="s">
        <v>88</v>
      </c>
      <c r="B13" s="12">
        <v>47.5</v>
      </c>
      <c r="C13" s="14" t="s">
        <v>13</v>
      </c>
      <c r="D13" s="5" t="s">
        <v>0</v>
      </c>
      <c r="G13" s="6" t="s">
        <v>103</v>
      </c>
      <c r="H13" s="12">
        <v>43</v>
      </c>
      <c r="I13" s="14"/>
      <c r="J13" s="5" t="s">
        <v>113</v>
      </c>
      <c r="K13" s="16"/>
      <c r="M13" s="3" t="s">
        <v>88</v>
      </c>
      <c r="N13" s="12">
        <v>47.5</v>
      </c>
      <c r="O13" s="14"/>
      <c r="P13" s="5" t="s">
        <v>70</v>
      </c>
      <c r="Q13" s="16">
        <f>N13-B13</f>
        <v>0</v>
      </c>
      <c r="T13" s="6" t="s">
        <v>103</v>
      </c>
      <c r="U13" s="12">
        <f>90-46.657223</f>
        <v>43.342776999999998</v>
      </c>
      <c r="V13" s="14"/>
      <c r="W13" s="5" t="s">
        <v>96</v>
      </c>
      <c r="X13" s="16">
        <f t="shared" si="1"/>
        <v>0.34277699999999811</v>
      </c>
    </row>
    <row r="14" spans="1:24" x14ac:dyDescent="0.25">
      <c r="A14" s="3" t="s">
        <v>89</v>
      </c>
      <c r="B14" s="12">
        <f>DEGREES(ATAN(TAN(RADIANS(B13)) - (4/B39)*((1 - B40)/(1 +B40))))</f>
        <v>36.50629003622555</v>
      </c>
      <c r="C14" s="14" t="s">
        <v>13</v>
      </c>
      <c r="D14" s="5" t="s">
        <v>0</v>
      </c>
      <c r="G14" s="6" t="s">
        <v>104</v>
      </c>
      <c r="H14" s="12">
        <f>H12</f>
        <v>0.35416666666666669</v>
      </c>
      <c r="I14" s="14"/>
      <c r="J14" s="5" t="s">
        <v>113</v>
      </c>
      <c r="K14" s="16"/>
      <c r="M14" s="3" t="s">
        <v>89</v>
      </c>
      <c r="N14" s="12">
        <v>25</v>
      </c>
      <c r="O14" s="14"/>
      <c r="P14" s="5" t="s">
        <v>76</v>
      </c>
      <c r="Q14" s="16">
        <f>N14-B14</f>
        <v>-11.50629003622555</v>
      </c>
      <c r="T14" s="6" t="s">
        <v>104</v>
      </c>
      <c r="U14" s="12">
        <v>0.35844054580896684</v>
      </c>
      <c r="V14" s="14"/>
      <c r="W14" s="5" t="s">
        <v>96</v>
      </c>
      <c r="X14" s="16">
        <f t="shared" si="1"/>
        <v>4.2738791423001521E-3</v>
      </c>
    </row>
    <row r="15" spans="1:24" x14ac:dyDescent="0.25">
      <c r="A15" s="8" t="s">
        <v>90</v>
      </c>
      <c r="B15" s="12">
        <f>DEGREES(ATAN(TAN(RADIANS(B13)) - (1/B39)*((1 - B40)/(1 +B40))))</f>
        <v>45.100495471809488</v>
      </c>
      <c r="C15" s="14" t="s">
        <v>13</v>
      </c>
      <c r="D15" s="5" t="s">
        <v>14</v>
      </c>
      <c r="G15" s="6" t="s">
        <v>105</v>
      </c>
      <c r="H15" s="12">
        <v>1</v>
      </c>
      <c r="I15" s="14"/>
      <c r="J15" s="5" t="s">
        <v>113</v>
      </c>
      <c r="K15" s="16"/>
      <c r="M15" s="8" t="s">
        <v>90</v>
      </c>
      <c r="N15" s="12">
        <v>43</v>
      </c>
      <c r="O15" s="14"/>
      <c r="P15" s="5" t="s">
        <v>76</v>
      </c>
      <c r="Q15" s="16">
        <f>N15-B15</f>
        <v>-2.1004954718094879</v>
      </c>
      <c r="T15" s="6" t="s">
        <v>105</v>
      </c>
      <c r="U15" s="12">
        <v>1</v>
      </c>
      <c r="V15" s="14"/>
      <c r="W15" s="5" t="s">
        <v>96</v>
      </c>
      <c r="X15" s="16">
        <f t="shared" si="1"/>
        <v>0</v>
      </c>
    </row>
    <row r="16" spans="1:24" x14ac:dyDescent="0.25">
      <c r="A16" s="3" t="s">
        <v>91</v>
      </c>
      <c r="G16" s="6" t="s">
        <v>106</v>
      </c>
      <c r="H16" s="12">
        <f>General!$I$3/General!$J$3*'Vertical Tail'!I16</f>
        <v>10.788690476190476</v>
      </c>
      <c r="I16" s="14">
        <v>2.9</v>
      </c>
      <c r="J16" s="5" t="s">
        <v>113</v>
      </c>
      <c r="M16" s="3" t="s">
        <v>91</v>
      </c>
      <c r="N16" s="12">
        <v>47.5</v>
      </c>
      <c r="P16" s="5" t="s">
        <v>70</v>
      </c>
      <c r="T16" s="6" t="s">
        <v>106</v>
      </c>
      <c r="U16" s="12">
        <f>129.13/12</f>
        <v>10.760833333333332</v>
      </c>
      <c r="V16" s="14"/>
      <c r="W16" s="5" t="s">
        <v>96</v>
      </c>
      <c r="X16" s="16">
        <f t="shared" si="1"/>
        <v>-2.7857142857143913E-2</v>
      </c>
    </row>
    <row r="17" spans="1:24" x14ac:dyDescent="0.25">
      <c r="A17" s="3" t="s">
        <v>92</v>
      </c>
      <c r="G17" s="6" t="s">
        <v>107</v>
      </c>
      <c r="H17" s="12">
        <f>General!$I$3/General!$J$3*'Vertical Tail'!I17</f>
        <v>10.788690476190476</v>
      </c>
      <c r="I17" s="14">
        <v>2.9</v>
      </c>
      <c r="J17" s="5" t="s">
        <v>113</v>
      </c>
      <c r="M17" s="3" t="s">
        <v>92</v>
      </c>
      <c r="N17" s="12">
        <v>0</v>
      </c>
      <c r="P17" s="5" t="s">
        <v>76</v>
      </c>
      <c r="T17" s="6" t="s">
        <v>107</v>
      </c>
      <c r="U17" s="12">
        <f>U16</f>
        <v>10.760833333333332</v>
      </c>
      <c r="V17" s="14"/>
      <c r="W17" s="5" t="s">
        <v>96</v>
      </c>
      <c r="X17" s="16">
        <f t="shared" si="1"/>
        <v>-2.7857142857143913E-2</v>
      </c>
    </row>
    <row r="18" spans="1:24" x14ac:dyDescent="0.25">
      <c r="A18" s="8" t="s">
        <v>93</v>
      </c>
      <c r="G18" s="6" t="s">
        <v>108</v>
      </c>
      <c r="H18" s="12">
        <f>H17</f>
        <v>10.788690476190476</v>
      </c>
      <c r="I18" s="14"/>
      <c r="J18" s="5" t="s">
        <v>113</v>
      </c>
      <c r="M18" s="8" t="s">
        <v>93</v>
      </c>
      <c r="N18" s="12">
        <v>38</v>
      </c>
      <c r="P18" s="5" t="s">
        <v>76</v>
      </c>
      <c r="T18" s="6" t="s">
        <v>108</v>
      </c>
      <c r="U18" s="12">
        <f>U17</f>
        <v>10.760833333333332</v>
      </c>
      <c r="V18" s="14"/>
      <c r="W18" s="5" t="s">
        <v>96</v>
      </c>
      <c r="X18" s="16">
        <f t="shared" si="1"/>
        <v>-2.7857142857143913E-2</v>
      </c>
    </row>
    <row r="19" spans="1:24" x14ac:dyDescent="0.25">
      <c r="A19" s="6" t="s">
        <v>45</v>
      </c>
      <c r="B19" s="12">
        <f>General!$B$7/General!$C$7*C19</f>
        <v>9.1276385493072532</v>
      </c>
      <c r="C19" s="14">
        <v>2.27</v>
      </c>
      <c r="D19" s="5" t="s">
        <v>27</v>
      </c>
      <c r="G19" s="6" t="s">
        <v>109</v>
      </c>
      <c r="H19" s="12">
        <f>General!$I$3/General!$J$3*'Vertical Tail'!I19</f>
        <v>8.2217261904761898</v>
      </c>
      <c r="I19" s="14">
        <v>2.21</v>
      </c>
      <c r="J19" s="5" t="s">
        <v>113</v>
      </c>
      <c r="K19" s="16"/>
      <c r="M19" s="6" t="s">
        <v>45</v>
      </c>
      <c r="N19" s="12">
        <f>General!$P$2/General!$Q$2*'Vertical Tail'!O19</f>
        <v>8.924748525841137</v>
      </c>
      <c r="O19" s="14">
        <v>1.7350000000000001</v>
      </c>
      <c r="P19" s="5" t="s">
        <v>76</v>
      </c>
      <c r="Q19" s="16">
        <f>N19-B19</f>
        <v>-0.20289002346611618</v>
      </c>
      <c r="T19" s="6" t="s">
        <v>109</v>
      </c>
      <c r="U19" s="12">
        <f>97.64/12</f>
        <v>8.1366666666666667</v>
      </c>
      <c r="V19" s="14"/>
      <c r="W19" s="5" t="s">
        <v>96</v>
      </c>
      <c r="X19" s="16">
        <f t="shared" si="1"/>
        <v>-8.5059523809523085E-2</v>
      </c>
    </row>
    <row r="20" spans="1:24" x14ac:dyDescent="0.25">
      <c r="A20" s="6" t="s">
        <v>83</v>
      </c>
      <c r="G20" s="6" t="s">
        <v>110</v>
      </c>
      <c r="H20" s="12">
        <f>H19</f>
        <v>8.2217261904761898</v>
      </c>
      <c r="I20" s="14"/>
      <c r="J20" s="5" t="s">
        <v>113</v>
      </c>
      <c r="M20" s="6" t="s">
        <v>83</v>
      </c>
      <c r="N20" s="12">
        <f>General!$P$2/General!$Q$2*'Vertical Tail'!O20</f>
        <v>4.7324314949705171</v>
      </c>
      <c r="O20" s="14">
        <v>0.92</v>
      </c>
      <c r="P20" s="5" t="s">
        <v>76</v>
      </c>
      <c r="T20" s="6" t="s">
        <v>110</v>
      </c>
      <c r="U20" s="12">
        <f>U19</f>
        <v>8.1366666666666667</v>
      </c>
      <c r="V20" s="14"/>
      <c r="W20" s="5" t="s">
        <v>96</v>
      </c>
      <c r="X20" s="16">
        <f t="shared" si="1"/>
        <v>-8.5059523809523085E-2</v>
      </c>
    </row>
    <row r="21" spans="1:24" x14ac:dyDescent="0.25">
      <c r="A21" s="6" t="s">
        <v>46</v>
      </c>
      <c r="B21" s="12">
        <f>General!$B$7/General!$C$7*C21</f>
        <v>4.0209861450692745</v>
      </c>
      <c r="C21" s="14">
        <v>1</v>
      </c>
      <c r="D21" s="5" t="s">
        <v>27</v>
      </c>
      <c r="G21" s="6" t="s">
        <v>111</v>
      </c>
      <c r="H21" s="12">
        <f>General!$I$3/General!$J$3*'Vertical Tail'!I21</f>
        <v>3.9806547619047623</v>
      </c>
      <c r="I21" s="14">
        <v>1.07</v>
      </c>
      <c r="J21" s="5" t="s">
        <v>113</v>
      </c>
      <c r="K21" s="16"/>
      <c r="M21" s="6" t="s">
        <v>46</v>
      </c>
      <c r="N21" s="12">
        <f>46.8/12</f>
        <v>3.9</v>
      </c>
      <c r="O21" s="14"/>
      <c r="P21" s="5" t="s">
        <v>70</v>
      </c>
      <c r="Q21" s="16">
        <f>N21-B21</f>
        <v>-0.12098614506927463</v>
      </c>
      <c r="T21" s="6" t="s">
        <v>111</v>
      </c>
      <c r="U21" s="12">
        <f>47.637795/12</f>
        <v>3.9698162499999996</v>
      </c>
      <c r="V21" s="14"/>
      <c r="W21" s="5" t="s">
        <v>96</v>
      </c>
      <c r="X21" s="16">
        <f t="shared" si="1"/>
        <v>-1.0838511904762704E-2</v>
      </c>
    </row>
    <row r="22" spans="1:24" x14ac:dyDescent="0.25">
      <c r="A22" s="3" t="s">
        <v>86</v>
      </c>
      <c r="G22" s="6" t="s">
        <v>20</v>
      </c>
      <c r="H22" s="12">
        <v>90</v>
      </c>
      <c r="I22" s="14"/>
      <c r="J22" s="5" t="s">
        <v>113</v>
      </c>
      <c r="M22" s="3" t="s">
        <v>86</v>
      </c>
      <c r="N22" s="12">
        <f>95/12+N10</f>
        <v>9.9228061047519951</v>
      </c>
      <c r="P22" s="5" t="s">
        <v>14</v>
      </c>
      <c r="T22" s="6" t="s">
        <v>20</v>
      </c>
      <c r="U22" s="12">
        <v>90</v>
      </c>
      <c r="V22" s="14"/>
      <c r="W22" s="5" t="s">
        <v>96</v>
      </c>
      <c r="X22" s="16">
        <f t="shared" si="1"/>
        <v>0</v>
      </c>
    </row>
    <row r="23" spans="1:24" x14ac:dyDescent="0.25">
      <c r="A23" s="6" t="s">
        <v>87</v>
      </c>
      <c r="G23" s="6" t="s">
        <v>50</v>
      </c>
      <c r="H23" s="12">
        <f>H14</f>
        <v>0.35416666666666669</v>
      </c>
      <c r="I23" s="14"/>
      <c r="J23" s="5" t="s">
        <v>113</v>
      </c>
      <c r="M23" s="6" t="s">
        <v>87</v>
      </c>
      <c r="N23" s="12">
        <f>N22/N11</f>
        <v>0.95202827386647448</v>
      </c>
      <c r="P23" s="5" t="s">
        <v>14</v>
      </c>
      <c r="T23" s="6" t="s">
        <v>50</v>
      </c>
      <c r="U23" s="12">
        <f>U12</f>
        <v>0.35844054580896684</v>
      </c>
      <c r="V23" s="14"/>
      <c r="W23" s="5" t="s">
        <v>96</v>
      </c>
      <c r="X23" s="16">
        <f t="shared" si="1"/>
        <v>4.2738791423001521E-3</v>
      </c>
    </row>
    <row r="24" spans="1:24" x14ac:dyDescent="0.25">
      <c r="A24" s="3" t="s">
        <v>84</v>
      </c>
      <c r="B24" s="12">
        <f>B11-B8</f>
        <v>1.9702832110839452</v>
      </c>
      <c r="C24" s="14" t="s">
        <v>13</v>
      </c>
      <c r="D24" s="5" t="s">
        <v>14</v>
      </c>
      <c r="G24" s="6" t="s">
        <v>51</v>
      </c>
      <c r="H24" s="12">
        <f>General!$I$3/General!$J$3*'Vertical Tail'!I24/$H$6</f>
        <v>0.95486111111111127</v>
      </c>
      <c r="I24" s="14">
        <f>1.73+I12</f>
        <v>2.75</v>
      </c>
      <c r="J24" s="5" t="s">
        <v>113</v>
      </c>
      <c r="K24" s="16"/>
      <c r="M24" s="3" t="s">
        <v>84</v>
      </c>
      <c r="N24" s="12">
        <f>N10+N5</f>
        <v>2.7262920568851889</v>
      </c>
      <c r="O24" s="14">
        <v>0.39</v>
      </c>
      <c r="P24" s="5" t="s">
        <v>76</v>
      </c>
      <c r="Q24" s="16">
        <f>N24-B24</f>
        <v>0.75600884580124372</v>
      </c>
      <c r="T24" s="6" t="s">
        <v>51</v>
      </c>
      <c r="U24" s="12">
        <f>122.35/12/U6</f>
        <v>0.9539961013645224</v>
      </c>
      <c r="V24" s="14"/>
      <c r="W24" s="5" t="s">
        <v>96</v>
      </c>
      <c r="X24" s="16">
        <f t="shared" si="1"/>
        <v>-8.6500974658887397E-4</v>
      </c>
    </row>
    <row r="25" spans="1:24" x14ac:dyDescent="0.25">
      <c r="A25" s="6" t="s">
        <v>85</v>
      </c>
      <c r="B25" s="12">
        <f>B24/B11</f>
        <v>0.19678714859437757</v>
      </c>
      <c r="C25" s="14" t="s">
        <v>13</v>
      </c>
      <c r="D25" s="5" t="s">
        <v>14</v>
      </c>
      <c r="G25" s="6" t="s">
        <v>56</v>
      </c>
      <c r="H25" s="12">
        <f>0.76/2.21</f>
        <v>0.34389140271493213</v>
      </c>
      <c r="I25" s="14"/>
      <c r="J25" s="5" t="s">
        <v>113</v>
      </c>
      <c r="K25" s="16"/>
      <c r="M25" s="6" t="s">
        <v>85</v>
      </c>
      <c r="N25" s="12">
        <f>N24/N11</f>
        <v>0.26156987182580421</v>
      </c>
      <c r="O25" s="14"/>
      <c r="P25" s="5" t="s">
        <v>14</v>
      </c>
      <c r="Q25" s="16">
        <f>N25-B25</f>
        <v>6.4782723231426642E-2</v>
      </c>
      <c r="T25" s="6" t="s">
        <v>56</v>
      </c>
      <c r="U25" s="12">
        <f>34.06/97.64</f>
        <v>0.34883244571896765</v>
      </c>
      <c r="V25" s="14"/>
      <c r="W25" s="5" t="s">
        <v>96</v>
      </c>
      <c r="X25" s="16">
        <f t="shared" si="1"/>
        <v>4.941043004035528E-3</v>
      </c>
    </row>
    <row r="26" spans="1:24" x14ac:dyDescent="0.25">
      <c r="A26" s="6" t="s">
        <v>20</v>
      </c>
      <c r="B26" s="12">
        <v>90</v>
      </c>
      <c r="C26" s="14" t="s">
        <v>13</v>
      </c>
      <c r="D26" s="5" t="s">
        <v>0</v>
      </c>
      <c r="G26" s="6" t="s">
        <v>57</v>
      </c>
      <c r="H26" s="12">
        <f>0.42/1.16</f>
        <v>0.36206896551724138</v>
      </c>
      <c r="I26" s="14"/>
      <c r="J26" s="5" t="s">
        <v>113</v>
      </c>
      <c r="K26" s="16"/>
      <c r="M26" s="6" t="s">
        <v>20</v>
      </c>
      <c r="N26" s="12">
        <v>90</v>
      </c>
      <c r="O26" s="14"/>
      <c r="P26" s="5" t="s">
        <v>70</v>
      </c>
      <c r="Q26" s="16">
        <f>N26-B26</f>
        <v>0</v>
      </c>
      <c r="T26" s="6" t="s">
        <v>57</v>
      </c>
      <c r="U26" s="12">
        <f>20.23/51.23</f>
        <v>0.39488580909623272</v>
      </c>
      <c r="V26" s="14"/>
      <c r="W26" s="5" t="s">
        <v>96</v>
      </c>
      <c r="X26" s="16">
        <f t="shared" si="1"/>
        <v>3.2816843578991339E-2</v>
      </c>
    </row>
    <row r="27" spans="1:24" x14ac:dyDescent="0.25">
      <c r="A27" s="6" t="s">
        <v>17</v>
      </c>
      <c r="B27" s="13" t="s">
        <v>62</v>
      </c>
      <c r="C27" s="14" t="s">
        <v>13</v>
      </c>
      <c r="D27" s="5" t="s">
        <v>36</v>
      </c>
      <c r="G27" s="6"/>
      <c r="H27" s="12"/>
      <c r="I27" s="14"/>
      <c r="J27" s="5"/>
      <c r="K27" s="16"/>
      <c r="M27" s="6" t="s">
        <v>17</v>
      </c>
      <c r="N27" s="12"/>
      <c r="O27" s="14"/>
      <c r="P27" s="5"/>
      <c r="Q27" s="16"/>
    </row>
    <row r="28" spans="1:24" x14ac:dyDescent="0.25">
      <c r="A28" s="3" t="s">
        <v>48</v>
      </c>
      <c r="B28" s="12">
        <f>General!$B$7/General!$C$7*C28</f>
        <v>3.5786776691116544</v>
      </c>
      <c r="C28" s="14">
        <v>0.89</v>
      </c>
      <c r="D28" s="5" t="s">
        <v>27</v>
      </c>
      <c r="G28" s="3"/>
      <c r="H28" s="12"/>
      <c r="I28" s="14"/>
      <c r="J28" s="5"/>
      <c r="K28" s="16"/>
      <c r="M28" s="3" t="s">
        <v>48</v>
      </c>
      <c r="N28" s="12">
        <f>19.5/12+N10</f>
        <v>3.6311394380853277</v>
      </c>
      <c r="O28" s="14"/>
      <c r="P28" s="5" t="s">
        <v>14</v>
      </c>
      <c r="Q28" s="16">
        <f t="shared" ref="Q28:Q42" si="2">N28-B28</f>
        <v>5.2461768973673273E-2</v>
      </c>
    </row>
    <row r="29" spans="1:24" x14ac:dyDescent="0.25">
      <c r="A29" s="3" t="s">
        <v>49</v>
      </c>
      <c r="B29" s="12">
        <f>General!$B$7/General!$C$7*C29</f>
        <v>9.409107579462102</v>
      </c>
      <c r="C29" s="14">
        <v>2.34</v>
      </c>
      <c r="D29" s="5" t="s">
        <v>27</v>
      </c>
      <c r="G29" s="3"/>
      <c r="H29" s="12"/>
      <c r="I29" s="14"/>
      <c r="J29" s="5"/>
      <c r="K29" s="16"/>
      <c r="M29" s="3" t="s">
        <v>49</v>
      </c>
      <c r="N29" s="12">
        <f>N22</f>
        <v>9.9228061047519951</v>
      </c>
      <c r="O29" s="14"/>
      <c r="P29" s="5" t="s">
        <v>14</v>
      </c>
      <c r="Q29" s="16">
        <f t="shared" si="2"/>
        <v>0.51369852528989313</v>
      </c>
    </row>
    <row r="30" spans="1:24" x14ac:dyDescent="0.25">
      <c r="A30" s="6" t="s">
        <v>50</v>
      </c>
      <c r="B30" s="12">
        <f>B28/B11</f>
        <v>0.35742971887550201</v>
      </c>
      <c r="C30" s="14" t="s">
        <v>13</v>
      </c>
      <c r="D30" s="5" t="s">
        <v>14</v>
      </c>
      <c r="G30" s="6"/>
      <c r="H30" s="12"/>
      <c r="I30" s="14"/>
      <c r="J30" s="5"/>
      <c r="K30" s="16"/>
      <c r="M30" s="6" t="s">
        <v>50</v>
      </c>
      <c r="N30" s="12">
        <f>N28/N11</f>
        <v>0.34838405335294576</v>
      </c>
      <c r="O30" s="14"/>
      <c r="P30" s="5" t="s">
        <v>14</v>
      </c>
      <c r="Q30" s="16">
        <f t="shared" si="2"/>
        <v>-9.0456655225562566E-3</v>
      </c>
    </row>
    <row r="31" spans="1:24" x14ac:dyDescent="0.25">
      <c r="A31" s="6" t="s">
        <v>51</v>
      </c>
      <c r="B31" s="12">
        <f>B29/B11</f>
        <v>0.93975903614457823</v>
      </c>
      <c r="C31" s="14" t="s">
        <v>13</v>
      </c>
      <c r="D31" s="5" t="s">
        <v>14</v>
      </c>
      <c r="G31" s="6"/>
      <c r="H31" s="12"/>
      <c r="I31" s="14"/>
      <c r="J31" s="5"/>
      <c r="K31" s="16"/>
      <c r="M31" s="6" t="s">
        <v>51</v>
      </c>
      <c r="N31" s="12">
        <f>N29/N11</f>
        <v>0.95202827386647448</v>
      </c>
      <c r="O31" s="14"/>
      <c r="P31" s="5" t="s">
        <v>14</v>
      </c>
      <c r="Q31" s="16">
        <f t="shared" si="2"/>
        <v>1.2269237721896253E-2</v>
      </c>
    </row>
    <row r="32" spans="1:24" x14ac:dyDescent="0.25">
      <c r="A32" s="10" t="s">
        <v>52</v>
      </c>
      <c r="B32" s="12">
        <f>General!$B$7/General!$C$7*C32</f>
        <v>8.122392013039935</v>
      </c>
      <c r="C32" s="14">
        <v>2.02</v>
      </c>
      <c r="D32" s="5" t="s">
        <v>27</v>
      </c>
      <c r="G32" s="10"/>
      <c r="H32" s="12"/>
      <c r="I32" s="14"/>
      <c r="J32" s="5"/>
      <c r="K32" s="16"/>
      <c r="M32" s="10" t="s">
        <v>52</v>
      </c>
      <c r="N32" s="12">
        <f>General!$P$2/General!$Q$2*'Vertical Tail'!O32</f>
        <v>7.9731182795698921</v>
      </c>
      <c r="O32" s="14">
        <v>1.55</v>
      </c>
      <c r="P32" s="5" t="s">
        <v>76</v>
      </c>
      <c r="Q32" s="16">
        <f t="shared" si="2"/>
        <v>-0.14927373347004291</v>
      </c>
    </row>
    <row r="33" spans="1:17" x14ac:dyDescent="0.25">
      <c r="A33" s="10" t="s">
        <v>53</v>
      </c>
      <c r="B33" s="12">
        <f>General!$B$7/General!$C$7*C33</f>
        <v>2.6136409942950287</v>
      </c>
      <c r="C33" s="14">
        <v>0.65</v>
      </c>
      <c r="D33" s="5" t="s">
        <v>27</v>
      </c>
      <c r="G33" s="10"/>
      <c r="H33" s="12"/>
      <c r="I33" s="14"/>
      <c r="J33" s="5"/>
      <c r="K33" s="16"/>
      <c r="M33" s="10" t="s">
        <v>53</v>
      </c>
      <c r="N33" s="12">
        <f>29.08/12</f>
        <v>2.4233333333333333</v>
      </c>
      <c r="O33" s="14"/>
      <c r="P33" s="5" t="s">
        <v>70</v>
      </c>
      <c r="Q33" s="16">
        <f t="shared" si="2"/>
        <v>-0.19030766096169538</v>
      </c>
    </row>
    <row r="34" spans="1:17" x14ac:dyDescent="0.25">
      <c r="A34" s="10" t="s">
        <v>54</v>
      </c>
      <c r="B34" s="12">
        <f>General!$B$7/General!$C$7*C34</f>
        <v>4.704553789731051</v>
      </c>
      <c r="C34" s="14">
        <v>1.17</v>
      </c>
      <c r="D34" s="5" t="s">
        <v>27</v>
      </c>
      <c r="G34" s="10"/>
      <c r="H34" s="12"/>
      <c r="I34" s="14"/>
      <c r="J34" s="5"/>
      <c r="K34" s="16"/>
      <c r="M34" s="10" t="s">
        <v>54</v>
      </c>
      <c r="N34" s="12">
        <f>General!$P$2/General!$Q$2*'Vertical Tail'!O34</f>
        <v>4.3209157127991666</v>
      </c>
      <c r="O34" s="14">
        <v>0.84</v>
      </c>
      <c r="P34" s="5" t="s">
        <v>76</v>
      </c>
      <c r="Q34" s="16">
        <f t="shared" si="2"/>
        <v>-0.38363807693188434</v>
      </c>
    </row>
    <row r="35" spans="1:17" x14ac:dyDescent="0.25">
      <c r="A35" s="10" t="s">
        <v>55</v>
      </c>
      <c r="B35" s="12">
        <f>General!$B$7/General!$C$7*C35</f>
        <v>1.407345150774246</v>
      </c>
      <c r="C35" s="14">
        <v>0.35</v>
      </c>
      <c r="D35" s="5" t="s">
        <v>27</v>
      </c>
      <c r="G35" s="10"/>
      <c r="H35" s="12"/>
      <c r="I35" s="14"/>
      <c r="J35" s="5"/>
      <c r="K35" s="16"/>
      <c r="M35" s="10" t="s">
        <v>55</v>
      </c>
      <c r="N35" s="12">
        <f>15.35/12</f>
        <v>1.2791666666666666</v>
      </c>
      <c r="O35" s="14"/>
      <c r="P35" s="5" t="s">
        <v>70</v>
      </c>
      <c r="Q35" s="16">
        <f t="shared" si="2"/>
        <v>-0.12817848410757948</v>
      </c>
    </row>
    <row r="36" spans="1:17" x14ac:dyDescent="0.25">
      <c r="A36" s="6" t="s">
        <v>56</v>
      </c>
      <c r="B36" s="12">
        <f>B33/B32</f>
        <v>0.32178217821782179</v>
      </c>
      <c r="C36" s="14" t="s">
        <v>13</v>
      </c>
      <c r="D36" s="5" t="s">
        <v>14</v>
      </c>
      <c r="G36" s="6"/>
      <c r="H36" s="12"/>
      <c r="I36" s="14"/>
      <c r="J36" s="5"/>
      <c r="K36" s="16"/>
      <c r="M36" s="6" t="s">
        <v>56</v>
      </c>
      <c r="N36" s="12">
        <f>N33/N32</f>
        <v>0.303937963587323</v>
      </c>
      <c r="O36" s="14"/>
      <c r="P36" s="5"/>
      <c r="Q36" s="16">
        <f t="shared" si="2"/>
        <v>-1.7844214630498789E-2</v>
      </c>
    </row>
    <row r="37" spans="1:17" s="5" customFormat="1" x14ac:dyDescent="0.25">
      <c r="A37" s="6" t="s">
        <v>57</v>
      </c>
      <c r="B37" s="12">
        <f>B35/B34</f>
        <v>0.29914529914529914</v>
      </c>
      <c r="C37" s="14" t="s">
        <v>13</v>
      </c>
      <c r="D37" s="5" t="s">
        <v>14</v>
      </c>
      <c r="E37"/>
      <c r="F37"/>
      <c r="G37" s="6"/>
      <c r="H37" s="12"/>
      <c r="I37" s="14"/>
      <c r="K37" s="16"/>
      <c r="M37" s="6" t="s">
        <v>57</v>
      </c>
      <c r="N37" s="12">
        <f>N35/N34</f>
        <v>0.29604064316218737</v>
      </c>
      <c r="O37" s="14"/>
      <c r="Q37" s="16">
        <f t="shared" si="2"/>
        <v>-3.1046559831117704E-3</v>
      </c>
    </row>
    <row r="38" spans="1:17" s="5" customFormat="1" x14ac:dyDescent="0.25">
      <c r="A38" s="3" t="s">
        <v>21</v>
      </c>
      <c r="B38" s="12">
        <v>0</v>
      </c>
      <c r="C38" s="14" t="s">
        <v>13</v>
      </c>
      <c r="D38" s="5" t="s">
        <v>36</v>
      </c>
      <c r="E38"/>
      <c r="F38"/>
      <c r="G38" s="3"/>
      <c r="H38" s="12"/>
      <c r="I38" s="14"/>
      <c r="K38" s="16"/>
      <c r="M38" s="3" t="s">
        <v>21</v>
      </c>
      <c r="N38" s="12">
        <v>0</v>
      </c>
      <c r="O38" s="14"/>
      <c r="Q38" s="16">
        <f t="shared" si="2"/>
        <v>0</v>
      </c>
    </row>
    <row r="39" spans="1:17" s="5" customFormat="1" x14ac:dyDescent="0.25">
      <c r="A39" s="3" t="s">
        <v>7</v>
      </c>
      <c r="B39" s="12">
        <f>B7*B7/B6</f>
        <v>4.4237365158269659</v>
      </c>
      <c r="C39" s="14" t="s">
        <v>13</v>
      </c>
      <c r="D39" s="5" t="s">
        <v>14</v>
      </c>
      <c r="E39"/>
      <c r="F39"/>
      <c r="G39" s="3"/>
      <c r="H39" s="12"/>
      <c r="I39" s="14"/>
      <c r="K39" s="16"/>
      <c r="M39" s="3" t="s">
        <v>7</v>
      </c>
      <c r="N39" s="12">
        <v>2.5</v>
      </c>
      <c r="O39" s="14"/>
      <c r="Q39" s="16">
        <f t="shared" si="2"/>
        <v>-1.9237365158269659</v>
      </c>
    </row>
    <row r="40" spans="1:17" s="5" customFormat="1" x14ac:dyDescent="0.25">
      <c r="A40" s="3" t="s">
        <v>8</v>
      </c>
      <c r="B40" s="12">
        <f>B21/B19</f>
        <v>0.44052863436123346</v>
      </c>
      <c r="C40" s="14" t="s">
        <v>13</v>
      </c>
      <c r="D40" s="5" t="s">
        <v>0</v>
      </c>
      <c r="E40"/>
      <c r="F40"/>
      <c r="G40" s="3"/>
      <c r="H40" s="12"/>
      <c r="I40" s="14"/>
      <c r="K40" s="16"/>
      <c r="M40" s="3" t="s">
        <v>8</v>
      </c>
      <c r="N40" s="12">
        <f>N21/N19</f>
        <v>0.43698710262902718</v>
      </c>
      <c r="O40" s="14"/>
      <c r="Q40" s="16">
        <f t="shared" si="2"/>
        <v>-3.5415317322062823E-3</v>
      </c>
    </row>
    <row r="41" spans="1:17" s="5" customFormat="1" x14ac:dyDescent="0.25">
      <c r="A41" s="3" t="s">
        <v>77</v>
      </c>
      <c r="B41" s="12">
        <f>B6/B7</f>
        <v>4.5266057168645908</v>
      </c>
      <c r="C41" s="14" t="s">
        <v>13</v>
      </c>
      <c r="D41" s="5" t="s">
        <v>14</v>
      </c>
      <c r="E41"/>
      <c r="F41"/>
      <c r="G41" s="3"/>
      <c r="H41" s="12"/>
      <c r="I41" s="14"/>
      <c r="K41" s="16"/>
      <c r="M41" s="3" t="s">
        <v>77</v>
      </c>
      <c r="N41" s="12">
        <f>N6/N7</f>
        <v>3.5557635840671198</v>
      </c>
      <c r="O41" s="14"/>
      <c r="Q41" s="16">
        <f t="shared" si="2"/>
        <v>-0.970842132797471</v>
      </c>
    </row>
    <row r="42" spans="1:17" s="5" customFormat="1" x14ac:dyDescent="0.25">
      <c r="A42" s="3" t="s">
        <v>44</v>
      </c>
      <c r="B42" s="12">
        <v>6.8375000000000004</v>
      </c>
      <c r="C42" s="5" t="s">
        <v>13</v>
      </c>
      <c r="D42" s="5" t="s">
        <v>0</v>
      </c>
      <c r="E42"/>
      <c r="F42"/>
      <c r="G42" s="3"/>
      <c r="H42" s="12"/>
      <c r="I42"/>
      <c r="K42" s="16"/>
      <c r="M42" s="3" t="s">
        <v>44</v>
      </c>
      <c r="N42" s="12">
        <f>82.05/12</f>
        <v>6.8374999999999995</v>
      </c>
      <c r="O42"/>
      <c r="Q42" s="16">
        <f t="shared" si="2"/>
        <v>0</v>
      </c>
    </row>
    <row r="1048576" spans="8:8" x14ac:dyDescent="0.25">
      <c r="H1048576" s="1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Main Wing</vt:lpstr>
      <vt:lpstr>Horizontal Tail</vt:lpstr>
      <vt:lpstr>Vertical 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Bolander</dc:creator>
  <cp:lastModifiedBy>Christian Bolander</cp:lastModifiedBy>
  <dcterms:created xsi:type="dcterms:W3CDTF">2021-02-03T20:20:59Z</dcterms:created>
  <dcterms:modified xsi:type="dcterms:W3CDTF">2021-02-19T21:29:41Z</dcterms:modified>
</cp:coreProperties>
</file>