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4"/>
  <workbookPr defaultThemeVersion="202300"/>
  <mc:AlternateContent xmlns:mc="http://schemas.openxmlformats.org/markup-compatibility/2006">
    <mc:Choice Requires="x15">
      <x15ac:absPath xmlns:x15ac="http://schemas.microsoft.com/office/spreadsheetml/2010/11/ac" url="D:\WritersideProjects\Involute\Writerside\excel\"/>
    </mc:Choice>
  </mc:AlternateContent>
  <xr:revisionPtr revIDLastSave="0" documentId="13_ncr:1_{1C806C4F-B6BC-4D6A-A49D-CDFF93959ED2}" xr6:coauthVersionLast="47" xr6:coauthVersionMax="47" xr10:uidLastSave="{00000000-0000-0000-0000-000000000000}"/>
  <bookViews>
    <workbookView xWindow="-28920" yWindow="15945" windowWidth="29040" windowHeight="15720" xr2:uid="{6B99C8A0-57F8-4F75-8284-80D1D14D88CB}"/>
  </bookViews>
  <sheets>
    <sheet name="Sheet1" sheetId="1" r:id="rId1"/>
  </sheets>
  <definedNames>
    <definedName name="a">Sheet1!$D$22</definedName>
    <definedName name="a_x">Sheet1!$D$18</definedName>
    <definedName name="alpha_n">Sheet1!$D$15</definedName>
    <definedName name="alpha_t">Sheet1!$D$23</definedName>
    <definedName name="alpha_wt">Sheet1!$D$25</definedName>
    <definedName name="beta">Sheet1!$D$16</definedName>
    <definedName name="d_1">Sheet1!$D$28</definedName>
    <definedName name="d_2">Sheet1!$E$28</definedName>
    <definedName name="d_a1">Sheet1!$D$34</definedName>
    <definedName name="d_a2">Sheet1!$E$34</definedName>
    <definedName name="d_b1">Sheet1!$D$29</definedName>
    <definedName name="d_b2">Sheet1!$E$29</definedName>
    <definedName name="d_f1">Sheet1!$D$35</definedName>
    <definedName name="d_f2">Sheet1!$E$35</definedName>
    <definedName name="d_w1">Sheet1!$D$30</definedName>
    <definedName name="d_w2">Sheet1!$E$30</definedName>
    <definedName name="epsilon">Sheet1!$D$36</definedName>
    <definedName name="h">Sheet1!$D$33</definedName>
    <definedName name="h_a1">Sheet1!$D$31</definedName>
    <definedName name="h_a2">Sheet1!$E$31</definedName>
    <definedName name="h_f1">Sheet1!$D$32</definedName>
    <definedName name="h_f2">Sheet1!$E$32</definedName>
    <definedName name="inv_alpha_t">Sheet1!$D$24</definedName>
    <definedName name="inv_alpha_wt">Sheet1!$D$26</definedName>
    <definedName name="m">Sheet1!$D$14</definedName>
    <definedName name="m_n">Sheet1!$D$14</definedName>
    <definedName name="m_t">Sheet1!$D$21</definedName>
    <definedName name="sumx">Sheet1!$D$20</definedName>
    <definedName name="x_1">Sheet1!$D$19</definedName>
    <definedName name="x_2">Sheet1!$E$19</definedName>
    <definedName name="x_n1">Sheet1!$D$19</definedName>
    <definedName name="x_n2">Sheet1!$E$19</definedName>
    <definedName name="y">Sheet1!$D$27</definedName>
    <definedName name="z_1">Sheet1!$D$17</definedName>
    <definedName name="z_2">Sheet1!$E$17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1" l="1"/>
  <c r="D23" i="1"/>
  <c r="D24" i="1" s="1"/>
  <c r="D21" i="1"/>
  <c r="E28" i="1"/>
  <c r="D28" i="1"/>
  <c r="D22" i="1"/>
  <c r="D27" i="1"/>
  <c r="A15" i="1"/>
  <c r="A16" i="1" s="1"/>
  <c r="A17" i="1" s="1"/>
  <c r="A18" i="1" s="1"/>
  <c r="A19" i="1" s="1"/>
  <c r="A20" i="1" s="1"/>
  <c r="A21" i="1" s="1"/>
  <c r="A22" i="1" s="1"/>
  <c r="A23" i="1" s="1"/>
  <c r="A24" i="1" s="1"/>
  <c r="A25" i="1" s="1"/>
  <c r="A26" i="1" s="1"/>
  <c r="A27" i="1" s="1"/>
  <c r="A28" i="1" s="1"/>
  <c r="A29" i="1" s="1"/>
  <c r="A30" i="1" s="1"/>
  <c r="A31" i="1" s="1"/>
  <c r="A32" i="1" s="1"/>
  <c r="A33" i="1" s="1"/>
  <c r="A34" i="1" s="1"/>
  <c r="A35" i="1" s="1"/>
  <c r="A36" i="1" s="1"/>
  <c r="D25" i="1" l="1"/>
  <c r="D26" i="1" s="1"/>
  <c r="D29" i="1"/>
  <c r="E29" i="1"/>
  <c r="E31" i="1"/>
  <c r="E34" i="1" s="1"/>
  <c r="E30" i="1" l="1"/>
  <c r="D30" i="1"/>
  <c r="D20" i="1"/>
  <c r="E19" i="1" s="1"/>
  <c r="D31" i="1" l="1"/>
  <c r="D34" i="1" s="1"/>
  <c r="D36" i="1" s="1"/>
  <c r="D39" i="1" s="1"/>
  <c r="D33" i="1" l="1"/>
  <c r="E32" i="1" s="1"/>
  <c r="E35" i="1" l="1"/>
  <c r="D32" i="1"/>
  <c r="D35" i="1"/>
</calcChain>
</file>

<file path=xl/sharedStrings.xml><?xml version="1.0" encoding="utf-8"?>
<sst xmlns="http://schemas.openxmlformats.org/spreadsheetml/2006/main" count="81" uniqueCount="73">
  <si>
    <t>No.</t>
  </si>
  <si>
    <t>Item</t>
  </si>
  <si>
    <t>Symbol</t>
  </si>
  <si>
    <t>Pinion</t>
  </si>
  <si>
    <t>Gear</t>
  </si>
  <si>
    <t>Number of Teeth</t>
  </si>
  <si>
    <t>Pitch Diameter</t>
  </si>
  <si>
    <t>Base Diameter</t>
  </si>
  <si>
    <t>Addendum</t>
  </si>
  <si>
    <t>Dedendum</t>
  </si>
  <si>
    <t>Outside Diameter</t>
  </si>
  <si>
    <t>Root Diameter</t>
  </si>
  <si>
    <t>Centre distance Increment Factor</t>
  </si>
  <si>
    <t>Whole Depth</t>
  </si>
  <si>
    <t>Sum Coefficient of Profile Shift</t>
  </si>
  <si>
    <t>Standard Centre Distance</t>
  </si>
  <si>
    <t>Working Pitch Diameter</t>
  </si>
  <si>
    <t>Instructions</t>
  </si>
  <si>
    <t>Desired  Working Centre Distance</t>
  </si>
  <si>
    <t>①</t>
  </si>
  <si>
    <t>②</t>
  </si>
  <si>
    <t>③</t>
  </si>
  <si>
    <t>④</t>
  </si>
  <si>
    <t>⑤</t>
  </si>
  <si>
    <t>⑥</t>
  </si>
  <si>
    <t>a</t>
  </si>
  <si>
    <t>d</t>
  </si>
  <si>
    <t>a_x</t>
  </si>
  <si>
    <t>y</t>
  </si>
  <si>
    <t>d_b</t>
  </si>
  <si>
    <t>d_w</t>
  </si>
  <si>
    <t>h</t>
  </si>
  <si>
    <t>d_a</t>
  </si>
  <si>
    <t>d_f</t>
  </si>
  <si>
    <t>z_1, z_2</t>
  </si>
  <si>
    <t>x_1 + x_2</t>
  </si>
  <si>
    <t>beta</t>
  </si>
  <si>
    <t>Helix Angle</t>
  </si>
  <si>
    <t>alpha_n</t>
  </si>
  <si>
    <t>Radial Pressure Angle</t>
  </si>
  <si>
    <t>alpha_t</t>
  </si>
  <si>
    <t>Radial Working Pressure Angle</t>
  </si>
  <si>
    <t>alpha_wt</t>
  </si>
  <si>
    <t>inv alpha_wt</t>
  </si>
  <si>
    <t>Radial Working Involute Function</t>
  </si>
  <si>
    <t>Radial Involute Function</t>
  </si>
  <si>
    <t>inv alpha_t</t>
  </si>
  <si>
    <t>Radial Module</t>
  </si>
  <si>
    <t>m_t</t>
  </si>
  <si>
    <t>Profile Shifted External Helical Gear Pair</t>
  </si>
  <si>
    <t>Enter Helix Angle</t>
  </si>
  <si>
    <t>Enter Module Size - Applies to both Pinion and Gear</t>
  </si>
  <si>
    <t>Enter Pressure Angle  - Applies to both Pinion and Gear - Common standards are 14.5°, 20° and 25°.</t>
  </si>
  <si>
    <t>Enter Number of Teeth for Pinion and Gear</t>
  </si>
  <si>
    <t>⑦</t>
  </si>
  <si>
    <t>Adjust the Pinion Coefficient of profile shift such that the sum of x_1, x_2 (cellsD19+E19) is equal to the calculated, required sum coefficent of profile shift (cell D20).</t>
  </si>
  <si>
    <t>Enter Desired Working Centre Distance. If you are unsure what is allowable here, try initially setting to same value as Standard Centre Distance (cell D22).</t>
  </si>
  <si>
    <t>h_a</t>
  </si>
  <si>
    <t>h_f</t>
  </si>
  <si>
    <t>Normal Coefficient of Profile Shift</t>
  </si>
  <si>
    <t>x_n1, x_n2</t>
  </si>
  <si>
    <t>m_n</t>
  </si>
  <si>
    <t>Normal Module</t>
  </si>
  <si>
    <t>Normal Pressure Angle</t>
  </si>
  <si>
    <t>epsilon_alpha</t>
  </si>
  <si>
    <t>Radial Contact Ratio</t>
  </si>
  <si>
    <t>Height of Gear</t>
  </si>
  <si>
    <t>b</t>
  </si>
  <si>
    <t>Axial Contact Ratio</t>
  </si>
  <si>
    <t>epsilon_beta</t>
  </si>
  <si>
    <t>Total Contact Ratio</t>
  </si>
  <si>
    <t>epsilon_gamma</t>
  </si>
  <si>
    <t>Check the Contact Ratio. Note that the total contact ratio for helical gears is composed of radial and axial components the latter being dependent on the height of the gear. It is generally desireable that the radial component does not fall below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</si>
</sst>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0"/>
    <numFmt numFmtId="166" formatCode="0.0000000000000000"/>
    <numFmt numFmtId="167" formatCode="0.0\°"/>
    <numFmt numFmtId="168" formatCode="0.00000"/>
    <numFmt numFmtId="169" formatCode="0.0000"/>
  </numFmts>
  <fonts count="7" x14ac:knownFonts="1">
    <font>
      <sz val="11"/>
      <color theme="1"/>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
      <b/>
      <sz val="11"/>
      <color rgb="FFFF0000"/>
      <name val="Aptos Narrow"/>
      <family val="2"/>
      <scheme val="minor"/>
    </font>
    <font>
      <sz val="18"/>
      <color theme="1"/>
      <name val="Aptos Narrow"/>
      <family val="2"/>
    </font>
    <font>
      <sz val="14"/>
      <color theme="1"/>
      <name val="Aptos Narrow"/>
      <family val="2"/>
    </font>
  </fonts>
  <fills count="4">
    <fill>
      <patternFill patternType="none"/>
    </fill>
    <fill>
      <patternFill patternType="gray125"/>
    </fill>
    <fill>
      <patternFill patternType="solid">
        <fgColor rgb="FFFFCC99"/>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1" applyNumberFormat="0" applyAlignment="0" applyProtection="0"/>
    <xf numFmtId="0" fontId="2" fillId="3" borderId="1" applyNumberFormat="0" applyAlignment="0" applyProtection="0"/>
  </cellStyleXfs>
  <cellXfs count="16">
    <xf numFmtId="0" fontId="0" fillId="0" borderId="0" xfId="0"/>
    <xf numFmtId="0" fontId="3" fillId="0" borderId="0" xfId="0" applyFont="1"/>
    <xf numFmtId="0" fontId="0" fillId="0" borderId="0" xfId="0" quotePrefix="1"/>
    <xf numFmtId="164" fontId="2" fillId="3" borderId="1" xfId="2" applyNumberFormat="1"/>
    <xf numFmtId="165" fontId="2" fillId="3" borderId="1" xfId="2" applyNumberFormat="1"/>
    <xf numFmtId="166" fontId="0" fillId="0" borderId="0" xfId="0" applyNumberFormat="1"/>
    <xf numFmtId="0" fontId="4" fillId="0" borderId="0" xfId="0" applyFont="1"/>
    <xf numFmtId="0" fontId="5" fillId="0" borderId="0" xfId="0" applyFont="1"/>
    <xf numFmtId="0" fontId="6" fillId="0" borderId="0" xfId="0" applyFont="1"/>
    <xf numFmtId="168" fontId="2" fillId="3" borderId="1" xfId="2" applyNumberFormat="1"/>
    <xf numFmtId="169" fontId="2" fillId="3" borderId="1" xfId="2" applyNumberFormat="1"/>
    <xf numFmtId="0" fontId="1" fillId="2" borderId="1" xfId="1" applyProtection="1">
      <protection locked="0"/>
    </xf>
    <xf numFmtId="167" fontId="1" fillId="2" borderId="1" xfId="1" applyNumberFormat="1" applyProtection="1">
      <protection locked="0"/>
    </xf>
    <xf numFmtId="164" fontId="1" fillId="2" borderId="1" xfId="1" applyNumberFormat="1" applyProtection="1">
      <protection locked="0"/>
    </xf>
    <xf numFmtId="168" fontId="1" fillId="2" borderId="1" xfId="1" applyNumberFormat="1" applyProtection="1">
      <protection locked="0"/>
    </xf>
    <xf numFmtId="0" fontId="1" fillId="2" borderId="1" xfId="1"/>
  </cellXfs>
  <cellStyles count="3">
    <cellStyle name="Calculation" xfId="2" builtinId="22"/>
    <cellStyle name="Input" xfId="1" builtinId="20"/>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55B48-E3BC-409C-9109-C1CB8CCFA1B6}">
  <dimension ref="A2:J47"/>
  <sheetViews>
    <sheetView tabSelected="1" topLeftCell="A9" workbookViewId="0">
      <selection activeCell="J23" sqref="J23"/>
    </sheetView>
  </sheetViews>
  <sheetFormatPr defaultRowHeight="14.4" x14ac:dyDescent="0.3"/>
  <cols>
    <col min="1" max="1" width="4" bestFit="1" customWidth="1"/>
    <col min="2" max="2" width="46.33203125" bestFit="1" customWidth="1"/>
    <col min="3" max="3" width="16.21875" customWidth="1"/>
    <col min="4" max="6" width="14.5546875" customWidth="1"/>
    <col min="10" max="10" width="18.77734375" bestFit="1" customWidth="1"/>
  </cols>
  <sheetData>
    <row r="2" spans="1:6" x14ac:dyDescent="0.3">
      <c r="B2" s="1" t="s">
        <v>49</v>
      </c>
    </row>
    <row r="4" spans="1:6" x14ac:dyDescent="0.3">
      <c r="B4" s="1" t="s">
        <v>17</v>
      </c>
    </row>
    <row r="5" spans="1:6" ht="23.4" x14ac:dyDescent="0.45">
      <c r="A5" s="7" t="s">
        <v>19</v>
      </c>
      <c r="B5" s="1" t="s">
        <v>51</v>
      </c>
    </row>
    <row r="6" spans="1:6" ht="23.4" x14ac:dyDescent="0.45">
      <c r="A6" s="7" t="s">
        <v>20</v>
      </c>
      <c r="B6" s="1" t="s">
        <v>52</v>
      </c>
    </row>
    <row r="7" spans="1:6" ht="23.4" x14ac:dyDescent="0.45">
      <c r="A7" s="7" t="s">
        <v>21</v>
      </c>
      <c r="B7" s="1" t="s">
        <v>50</v>
      </c>
    </row>
    <row r="8" spans="1:6" ht="23.4" x14ac:dyDescent="0.45">
      <c r="A8" s="7" t="s">
        <v>22</v>
      </c>
      <c r="B8" s="1" t="s">
        <v>53</v>
      </c>
    </row>
    <row r="9" spans="1:6" ht="23.4" x14ac:dyDescent="0.45">
      <c r="A9" s="7" t="s">
        <v>23</v>
      </c>
      <c r="B9" s="1" t="s">
        <v>56</v>
      </c>
    </row>
    <row r="10" spans="1:6" ht="23.4" x14ac:dyDescent="0.45">
      <c r="A10" s="7" t="s">
        <v>24</v>
      </c>
      <c r="B10" s="6" t="s">
        <v>55</v>
      </c>
    </row>
    <row r="11" spans="1:6" ht="23.4" x14ac:dyDescent="0.45">
      <c r="A11" s="7" t="s">
        <v>54</v>
      </c>
      <c r="B11" s="1" t="s">
        <v>72</v>
      </c>
    </row>
    <row r="13" spans="1:6" x14ac:dyDescent="0.3">
      <c r="A13" s="1" t="s">
        <v>0</v>
      </c>
      <c r="B13" s="1" t="s">
        <v>1</v>
      </c>
      <c r="C13" s="1" t="s">
        <v>2</v>
      </c>
      <c r="D13" s="1" t="s">
        <v>3</v>
      </c>
      <c r="E13" s="1" t="s">
        <v>4</v>
      </c>
    </row>
    <row r="14" spans="1:6" ht="18" x14ac:dyDescent="0.35">
      <c r="A14" s="1">
        <v>1</v>
      </c>
      <c r="B14" t="s">
        <v>62</v>
      </c>
      <c r="C14" t="s">
        <v>61</v>
      </c>
      <c r="D14" s="11">
        <v>3</v>
      </c>
      <c r="F14" s="8" t="s">
        <v>19</v>
      </c>
    </row>
    <row r="15" spans="1:6" ht="18" x14ac:dyDescent="0.35">
      <c r="A15" s="1">
        <f>A14+1</f>
        <v>2</v>
      </c>
      <c r="B15" t="s">
        <v>63</v>
      </c>
      <c r="C15" t="s">
        <v>38</v>
      </c>
      <c r="D15" s="12">
        <v>20</v>
      </c>
      <c r="F15" s="8" t="s">
        <v>20</v>
      </c>
    </row>
    <row r="16" spans="1:6" ht="18" x14ac:dyDescent="0.35">
      <c r="A16" s="1">
        <f t="shared" ref="A16:A36" si="0">A15+1</f>
        <v>3</v>
      </c>
      <c r="B16" t="s">
        <v>37</v>
      </c>
      <c r="C16" t="s">
        <v>36</v>
      </c>
      <c r="D16" s="12">
        <v>30</v>
      </c>
      <c r="F16" s="8" t="s">
        <v>21</v>
      </c>
    </row>
    <row r="17" spans="1:10" ht="18" x14ac:dyDescent="0.35">
      <c r="A17" s="1">
        <f t="shared" si="0"/>
        <v>4</v>
      </c>
      <c r="B17" t="s">
        <v>5</v>
      </c>
      <c r="C17" t="s">
        <v>34</v>
      </c>
      <c r="D17" s="11">
        <v>12</v>
      </c>
      <c r="E17" s="11">
        <v>60</v>
      </c>
      <c r="F17" s="8" t="s">
        <v>22</v>
      </c>
    </row>
    <row r="18" spans="1:10" ht="18" x14ac:dyDescent="0.35">
      <c r="A18" s="1">
        <f t="shared" si="0"/>
        <v>5</v>
      </c>
      <c r="B18" t="s">
        <v>18</v>
      </c>
      <c r="C18" t="s">
        <v>27</v>
      </c>
      <c r="D18" s="13">
        <v>125</v>
      </c>
      <c r="F18" s="8" t="s">
        <v>23</v>
      </c>
    </row>
    <row r="19" spans="1:10" ht="18" x14ac:dyDescent="0.35">
      <c r="A19" s="1">
        <f t="shared" si="0"/>
        <v>6</v>
      </c>
      <c r="B19" t="s">
        <v>59</v>
      </c>
      <c r="C19" t="s">
        <v>60</v>
      </c>
      <c r="D19" s="14">
        <v>9.8089999999999997E-2</v>
      </c>
      <c r="E19" s="3">
        <f>sumx-x_1</f>
        <v>-3.9830505377258518E-7</v>
      </c>
      <c r="F19" s="8" t="s">
        <v>24</v>
      </c>
    </row>
    <row r="20" spans="1:10" x14ac:dyDescent="0.3">
      <c r="A20" s="1">
        <f t="shared" si="0"/>
        <v>7</v>
      </c>
      <c r="B20" t="s">
        <v>14</v>
      </c>
      <c r="C20" t="s">
        <v>35</v>
      </c>
      <c r="D20" s="9">
        <f>((D17+E17)*(D26-D24))/(2*TAN(RADIANS(D15)))</f>
        <v>9.8089601694946224E-2</v>
      </c>
      <c r="G20" s="2"/>
    </row>
    <row r="21" spans="1:10" x14ac:dyDescent="0.3">
      <c r="A21" s="1">
        <f t="shared" si="0"/>
        <v>8</v>
      </c>
      <c r="B21" t="s">
        <v>47</v>
      </c>
      <c r="C21" t="s">
        <v>48</v>
      </c>
      <c r="D21" s="9">
        <f>D14/COS(RADIANS(D16))</f>
        <v>3.4641016151377544</v>
      </c>
      <c r="G21" s="2"/>
    </row>
    <row r="22" spans="1:10" x14ac:dyDescent="0.3">
      <c r="A22" s="1">
        <f t="shared" si="0"/>
        <v>9</v>
      </c>
      <c r="B22" t="s">
        <v>15</v>
      </c>
      <c r="C22" t="s">
        <v>25</v>
      </c>
      <c r="D22" s="10">
        <f>((D17+E17)/(2* COS(RADIANS(D16))))*D14</f>
        <v>124.70765814495914</v>
      </c>
    </row>
    <row r="23" spans="1:10" x14ac:dyDescent="0.3">
      <c r="A23" s="1">
        <f t="shared" si="0"/>
        <v>10</v>
      </c>
      <c r="B23" t="s">
        <v>39</v>
      </c>
      <c r="C23" t="s">
        <v>40</v>
      </c>
      <c r="D23" s="3">
        <f>DEGREES(ATAN(TAN(RADIANS(D15))/(COS(RADIANS(D16)))))</f>
        <v>22.795877258858475</v>
      </c>
    </row>
    <row r="24" spans="1:10" x14ac:dyDescent="0.3">
      <c r="A24" s="1">
        <f t="shared" si="0"/>
        <v>11</v>
      </c>
      <c r="B24" t="s">
        <v>45</v>
      </c>
      <c r="C24" t="s">
        <v>46</v>
      </c>
      <c r="D24" s="4">
        <f>TAN(RADIANS(D23))-RADIANS(D23)</f>
        <v>2.2413511413626075E-2</v>
      </c>
    </row>
    <row r="25" spans="1:10" x14ac:dyDescent="0.3">
      <c r="A25" s="1">
        <f t="shared" si="0"/>
        <v>12</v>
      </c>
      <c r="B25" t="s">
        <v>41</v>
      </c>
      <c r="C25" t="s">
        <v>42</v>
      </c>
      <c r="D25" s="3">
        <f>DEGREES(ACOS(((D17+E17)*COS(RADIANS(D23))   /   ((D17+E17)+((2 *D27) * COS(RADIANS(D16)))))))</f>
        <v>23.112632297928993</v>
      </c>
    </row>
    <row r="26" spans="1:10" x14ac:dyDescent="0.3">
      <c r="A26" s="1">
        <f t="shared" si="0"/>
        <v>13</v>
      </c>
      <c r="B26" t="s">
        <v>44</v>
      </c>
      <c r="C26" t="s">
        <v>43</v>
      </c>
      <c r="D26" s="4">
        <f>TAN(RADIANS(D25))-RADIANS(D25)</f>
        <v>2.3405225172181299E-2</v>
      </c>
      <c r="J26" s="5"/>
    </row>
    <row r="27" spans="1:10" x14ac:dyDescent="0.3">
      <c r="A27" s="1">
        <f t="shared" si="0"/>
        <v>14</v>
      </c>
      <c r="B27" t="s">
        <v>12</v>
      </c>
      <c r="C27" t="s">
        <v>28</v>
      </c>
      <c r="D27" s="4">
        <f>(D18/D14)-((D17+E17)/(2*(COS(RADIANS(D16)))))</f>
        <v>9.7447285013615215E-2</v>
      </c>
    </row>
    <row r="28" spans="1:10" x14ac:dyDescent="0.3">
      <c r="A28" s="1">
        <f t="shared" si="0"/>
        <v>15</v>
      </c>
      <c r="B28" t="s">
        <v>6</v>
      </c>
      <c r="C28" t="s">
        <v>26</v>
      </c>
      <c r="D28" s="3">
        <f>(D14*D17)/COS(RADIANS(D16))</f>
        <v>41.569219381653049</v>
      </c>
      <c r="E28" s="3">
        <f>D14*E17/COS(RADIANS(D16))</f>
        <v>207.84609690826525</v>
      </c>
    </row>
    <row r="29" spans="1:10" x14ac:dyDescent="0.3">
      <c r="A29" s="1">
        <f t="shared" si="0"/>
        <v>16</v>
      </c>
      <c r="B29" t="s">
        <v>7</v>
      </c>
      <c r="C29" t="s">
        <v>29</v>
      </c>
      <c r="D29" s="3">
        <f>D$28*COS(RADIANS($D$23))</f>
        <v>38.32229059857471</v>
      </c>
      <c r="E29" s="3">
        <f>E$28*COS(RADIANS($D$23))</f>
        <v>191.61145299287355</v>
      </c>
    </row>
    <row r="30" spans="1:10" x14ac:dyDescent="0.3">
      <c r="A30" s="1">
        <f t="shared" si="0"/>
        <v>17</v>
      </c>
      <c r="B30" t="s">
        <v>16</v>
      </c>
      <c r="C30" t="s">
        <v>30</v>
      </c>
      <c r="D30" s="3">
        <f>D$29/COS(RADIANS($D$25))</f>
        <v>41.666666666666671</v>
      </c>
      <c r="E30" s="3">
        <f>E$29/COS(RADIANS($D$25))</f>
        <v>208.33333333333334</v>
      </c>
    </row>
    <row r="31" spans="1:10" x14ac:dyDescent="0.3">
      <c r="A31" s="1">
        <f t="shared" si="0"/>
        <v>18</v>
      </c>
      <c r="B31" t="s">
        <v>8</v>
      </c>
      <c r="C31" t="s">
        <v>57</v>
      </c>
      <c r="D31" s="3">
        <f>(1+D27-E19)*$D$14</f>
        <v>3.2923430499560071</v>
      </c>
      <c r="E31" s="3">
        <f>(1+D27-D19)*$D$14</f>
        <v>2.9980718550408456</v>
      </c>
    </row>
    <row r="32" spans="1:10" x14ac:dyDescent="0.3">
      <c r="A32" s="1">
        <f t="shared" si="0"/>
        <v>19</v>
      </c>
      <c r="B32" t="s">
        <v>9</v>
      </c>
      <c r="C32" t="s">
        <v>58</v>
      </c>
      <c r="D32" s="3">
        <f>D33-D31</f>
        <v>3.45573</v>
      </c>
      <c r="E32" s="3">
        <f>D33-E31</f>
        <v>3.7500011949151615</v>
      </c>
    </row>
    <row r="33" spans="1:6" x14ac:dyDescent="0.3">
      <c r="A33" s="1">
        <f t="shared" si="0"/>
        <v>20</v>
      </c>
      <c r="B33" t="s">
        <v>13</v>
      </c>
      <c r="C33" t="s">
        <v>31</v>
      </c>
      <c r="D33" s="3">
        <f>(2.25+D27-(D19+E19))*D14</f>
        <v>6.7480730499560071</v>
      </c>
    </row>
    <row r="34" spans="1:6" x14ac:dyDescent="0.3">
      <c r="A34" s="1">
        <f t="shared" si="0"/>
        <v>21</v>
      </c>
      <c r="B34" t="s">
        <v>10</v>
      </c>
      <c r="C34" t="s">
        <v>32</v>
      </c>
      <c r="D34" s="3">
        <f>D28+(2*D31)</f>
        <v>48.153905481565062</v>
      </c>
      <c r="E34" s="3">
        <f>E28+(2*E31)</f>
        <v>213.84224061834695</v>
      </c>
    </row>
    <row r="35" spans="1:6" x14ac:dyDescent="0.3">
      <c r="A35" s="1">
        <f t="shared" si="0"/>
        <v>22</v>
      </c>
      <c r="B35" t="s">
        <v>11</v>
      </c>
      <c r="C35" t="s">
        <v>33</v>
      </c>
      <c r="D35" s="3">
        <f>D34-(2*D33)</f>
        <v>34.657759381653051</v>
      </c>
      <c r="E35" s="3">
        <f>E34-(2*D33)</f>
        <v>200.34609451843494</v>
      </c>
    </row>
    <row r="36" spans="1:6" ht="18" x14ac:dyDescent="0.35">
      <c r="A36" s="1">
        <f t="shared" si="0"/>
        <v>23</v>
      </c>
      <c r="B36" t="s">
        <v>65</v>
      </c>
      <c r="C36" t="s">
        <v>64</v>
      </c>
      <c r="D36" s="3">
        <f>(SQRT((d_a1/2)^2-(d_b1/2)^2)+(SQRT((d_a2/2)^2-(d_b2/2)^2))-(a_x*SIN(RADIANS(alpha_wt)))) / (PI()*m_t*COS(RADIANS(alpha_t)))</f>
        <v>1.2939105603606149</v>
      </c>
      <c r="F36" s="8" t="s">
        <v>54</v>
      </c>
    </row>
    <row r="37" spans="1:6" x14ac:dyDescent="0.3">
      <c r="A37" s="1">
        <v>24</v>
      </c>
      <c r="B37" t="s">
        <v>66</v>
      </c>
      <c r="C37" t="s">
        <v>67</v>
      </c>
      <c r="D37" s="15">
        <v>20</v>
      </c>
    </row>
    <row r="38" spans="1:6" x14ac:dyDescent="0.3">
      <c r="A38" s="1">
        <v>25</v>
      </c>
      <c r="B38" t="s">
        <v>68</v>
      </c>
      <c r="C38" t="s">
        <v>69</v>
      </c>
      <c r="D38" s="3">
        <f>(D37*SIN(RADIANS(beta)))/(PI()*m_n)</f>
        <v>1.0610329539459689</v>
      </c>
    </row>
    <row r="39" spans="1:6" ht="18" x14ac:dyDescent="0.35">
      <c r="A39" s="1">
        <v>26</v>
      </c>
      <c r="B39" t="s">
        <v>70</v>
      </c>
      <c r="C39" t="s">
        <v>71</v>
      </c>
      <c r="D39" s="3">
        <f>epsilon+D38</f>
        <v>2.3549435143065836</v>
      </c>
      <c r="F39" s="8" t="s">
        <v>54</v>
      </c>
    </row>
    <row r="40" spans="1:6" x14ac:dyDescent="0.3">
      <c r="A40" s="1"/>
    </row>
    <row r="41" spans="1:6" x14ac:dyDescent="0.3">
      <c r="A41" s="1"/>
    </row>
    <row r="42" spans="1:6" x14ac:dyDescent="0.3">
      <c r="A42" s="1"/>
    </row>
    <row r="43" spans="1:6" x14ac:dyDescent="0.3">
      <c r="A43" s="1"/>
    </row>
    <row r="44" spans="1:6" x14ac:dyDescent="0.3">
      <c r="A44" s="1"/>
    </row>
    <row r="45" spans="1:6" x14ac:dyDescent="0.3">
      <c r="A45" s="1"/>
    </row>
    <row r="46" spans="1:6" x14ac:dyDescent="0.3">
      <c r="A46" s="1"/>
    </row>
    <row r="47" spans="1:6" x14ac:dyDescent="0.3">
      <c r="A47" s="1"/>
    </row>
  </sheetData>
  <conditionalFormatting sqref="D36">
    <cfRule type="cellIs" dxfId="3" priority="3" operator="greaterThan">
      <formula>1.2</formula>
    </cfRule>
    <cfRule type="cellIs" dxfId="2" priority="4" operator="lessThan">
      <formula>1.2</formula>
    </cfRule>
  </conditionalFormatting>
  <conditionalFormatting sqref="D39">
    <cfRule type="cellIs" dxfId="1" priority="1" operator="greaterThan">
      <formula>1.2</formula>
    </cfRule>
    <cfRule type="cellIs" dxfId="0" priority="2" operator="lessThan">
      <formula>1.2</formula>
    </cfRule>
  </conditionalFormatting>
  <pageMargins left="0.7" right="0.7" top="0.75" bottom="0.75" header="0.3" footer="0.3"/>
  <pageSetup paperSize="9" orientation="portrait" horizontalDpi="0" verticalDpi="0" r:id="rId1"/>
  <ignoredErrors>
    <ignoredError sqref="D2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35</vt:i4>
      </vt:variant>
    </vt:vector>
  </HeadingPairs>
  <TitlesOfParts>
    <vt:vector size="36" baseType="lpstr">
      <vt:lpstr>Sheet1</vt:lpstr>
      <vt:lpstr>a</vt:lpstr>
      <vt:lpstr>a_x</vt:lpstr>
      <vt:lpstr>alpha_n</vt:lpstr>
      <vt:lpstr>alpha_t</vt:lpstr>
      <vt:lpstr>alpha_wt</vt:lpstr>
      <vt:lpstr>beta</vt:lpstr>
      <vt:lpstr>d_1</vt:lpstr>
      <vt:lpstr>d_2</vt:lpstr>
      <vt:lpstr>d_a1</vt:lpstr>
      <vt:lpstr>d_a2</vt:lpstr>
      <vt:lpstr>d_b1</vt:lpstr>
      <vt:lpstr>d_b2</vt:lpstr>
      <vt:lpstr>d_f1</vt:lpstr>
      <vt:lpstr>d_f2</vt:lpstr>
      <vt:lpstr>d_w1</vt:lpstr>
      <vt:lpstr>d_w2</vt:lpstr>
      <vt:lpstr>epsilon</vt:lpstr>
      <vt:lpstr>h</vt:lpstr>
      <vt:lpstr>h_a1</vt:lpstr>
      <vt:lpstr>h_a2</vt:lpstr>
      <vt:lpstr>h_f1</vt:lpstr>
      <vt:lpstr>h_f2</vt:lpstr>
      <vt:lpstr>inv_alpha_t</vt:lpstr>
      <vt:lpstr>inv_alpha_wt</vt:lpstr>
      <vt:lpstr>m</vt:lpstr>
      <vt:lpstr>m_n</vt:lpstr>
      <vt:lpstr>m_t</vt:lpstr>
      <vt:lpstr>sumx</vt:lpstr>
      <vt:lpstr>x_1</vt:lpstr>
      <vt:lpstr>x_2</vt:lpstr>
      <vt:lpstr>x_n1</vt:lpstr>
      <vt:lpstr>x_n2</vt:lpstr>
      <vt:lpstr>y</vt:lpstr>
      <vt:lpstr>z_1</vt:lpstr>
      <vt:lpstr>z_2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Bolsover</dc:creator>
  <cp:lastModifiedBy>David Bolsover</cp:lastModifiedBy>
  <dcterms:created xsi:type="dcterms:W3CDTF">2023-12-11T16:30:18Z</dcterms:created>
  <dcterms:modified xsi:type="dcterms:W3CDTF">2023-12-17T17:08:15Z</dcterms:modified>
</cp:coreProperties>
</file>