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ritersideProjects\Involute\Writerside\excel\"/>
    </mc:Choice>
  </mc:AlternateContent>
  <xr:revisionPtr revIDLastSave="0" documentId="13_ncr:1_{A16EBA74-A898-4BFD-AB17-BD537336D5B5}" xr6:coauthVersionLast="47" xr6:coauthVersionMax="47" xr10:uidLastSave="{00000000-0000-0000-0000-000000000000}"/>
  <bookViews>
    <workbookView xWindow="-28920" yWindow="15945" windowWidth="29040" windowHeight="15720" xr2:uid="{6B99C8A0-57F8-4F75-8284-80D1D14D88CB}"/>
  </bookViews>
  <sheets>
    <sheet name="Sheet1" sheetId="1" r:id="rId1"/>
  </sheets>
  <definedNames>
    <definedName name="a">Sheet1!$D$19</definedName>
    <definedName name="a_x">Sheet1!$D$16</definedName>
    <definedName name="alpha" comment="Pressure Angle">Sheet1!$D$14</definedName>
    <definedName name="alpha_w">Sheet1!$D$22</definedName>
    <definedName name="d_1">Sheet1!$D$24</definedName>
    <definedName name="d_2">Sheet1!$E$24</definedName>
    <definedName name="d_a1">Sheet1!$D$30</definedName>
    <definedName name="d_a2">Sheet1!$E$30</definedName>
    <definedName name="d_b1">Sheet1!$D$25</definedName>
    <definedName name="d_b2">Sheet1!$E$25</definedName>
    <definedName name="d_f1">Sheet1!$D$31</definedName>
    <definedName name="d_f2">Sheet1!$E$31</definedName>
    <definedName name="d_w1">Sheet1!$D$26</definedName>
    <definedName name="d_w2">Sheet1!$E$26</definedName>
    <definedName name="h">Sheet1!$D$29</definedName>
    <definedName name="h_a1">Sheet1!$D$27</definedName>
    <definedName name="h_a2">Sheet1!$E$27</definedName>
    <definedName name="h_f1">Sheet1!$D$28</definedName>
    <definedName name="h_f2">Sheet1!$E$28</definedName>
    <definedName name="inv_alpha">Sheet1!$D$20</definedName>
    <definedName name="inv_alpha_w">Sheet1!$D$21</definedName>
    <definedName name="m" comment="Module">Sheet1!$D$13</definedName>
    <definedName name="sumx">Sheet1!$D$18</definedName>
    <definedName name="x_1">Sheet1!$D$17</definedName>
    <definedName name="x_2">Sheet1!$E$17</definedName>
    <definedName name="y">Sheet1!$D$23</definedName>
    <definedName name="z_1">Sheet1!$D$15</definedName>
    <definedName name="z_2">Sheet1!$E$15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E31" i="1"/>
  <c r="D31" i="1"/>
  <c r="E30" i="1"/>
  <c r="D30" i="1"/>
  <c r="E28" i="1"/>
  <c r="D28" i="1"/>
  <c r="E27" i="1"/>
  <c r="D27" i="1"/>
  <c r="E25" i="1"/>
  <c r="E26" i="1" s="1"/>
  <c r="D26" i="1"/>
  <c r="D25" i="1"/>
  <c r="E24" i="1"/>
  <c r="D24" i="1"/>
  <c r="D23" i="1"/>
  <c r="D22" i="1"/>
  <c r="D21" i="1" s="1"/>
  <c r="D18" i="1" s="1"/>
  <c r="D19" i="1"/>
  <c r="D20" i="1"/>
  <c r="A32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E17" i="1" l="1"/>
  <c r="D29" i="1" l="1"/>
</calcChain>
</file>

<file path=xl/sharedStrings.xml><?xml version="1.0" encoding="utf-8"?>
<sst xmlns="http://schemas.openxmlformats.org/spreadsheetml/2006/main" count="65" uniqueCount="59">
  <si>
    <t>No.</t>
  </si>
  <si>
    <t>Item</t>
  </si>
  <si>
    <t>Symbol</t>
  </si>
  <si>
    <t>Pinion</t>
  </si>
  <si>
    <t>Gear</t>
  </si>
  <si>
    <t>Module</t>
  </si>
  <si>
    <t>Pressure Angle</t>
  </si>
  <si>
    <t>Number of Teeth</t>
  </si>
  <si>
    <t>Pitch Diameter</t>
  </si>
  <si>
    <t>Base Diameter</t>
  </si>
  <si>
    <t>Addendum</t>
  </si>
  <si>
    <t>Dedendum</t>
  </si>
  <si>
    <t>Outside Diameter</t>
  </si>
  <si>
    <t>Root Diameter</t>
  </si>
  <si>
    <t>Coefficient of Profile Shift</t>
  </si>
  <si>
    <t>Working Involute Function</t>
  </si>
  <si>
    <t>Working Pressure Angle</t>
  </si>
  <si>
    <t>Centre distance Increment Factor</t>
  </si>
  <si>
    <t>Whole Depth</t>
  </si>
  <si>
    <t>Sum Coefficient of Profile Shift</t>
  </si>
  <si>
    <t>Involute Function</t>
  </si>
  <si>
    <t>Standard Centre Distance</t>
  </si>
  <si>
    <t>Working Pitch Diameter</t>
  </si>
  <si>
    <t>Instructions</t>
  </si>
  <si>
    <t>Desired  Working Centre Distance</t>
  </si>
  <si>
    <t>Contact Ratio</t>
  </si>
  <si>
    <t>Profile Shifted External Spur Gear Pair</t>
  </si>
  <si>
    <t>①</t>
  </si>
  <si>
    <t>②</t>
  </si>
  <si>
    <t>③</t>
  </si>
  <si>
    <t>④</t>
  </si>
  <si>
    <t>⑤</t>
  </si>
  <si>
    <t>Enter desired  number of Teeth for Pinion and Gear</t>
  </si>
  <si>
    <t>Enter Desired  Module Size - Applies to both Pinion and Gear</t>
  </si>
  <si>
    <t>⑥</t>
  </si>
  <si>
    <t>Check the contact Ratio does not fall below 1.2</t>
  </si>
  <si>
    <t>m</t>
  </si>
  <si>
    <t>a</t>
  </si>
  <si>
    <t>d</t>
  </si>
  <si>
    <t>alpha</t>
  </si>
  <si>
    <t>a_x</t>
  </si>
  <si>
    <t>inv alpha</t>
  </si>
  <si>
    <t>inv alpha_w</t>
  </si>
  <si>
    <t>alpha_w</t>
  </si>
  <si>
    <t>y</t>
  </si>
  <si>
    <t>d_b</t>
  </si>
  <si>
    <t>d_w</t>
  </si>
  <si>
    <t>h_a1, h_a2</t>
  </si>
  <si>
    <t>h_f1, h_f2</t>
  </si>
  <si>
    <t>h</t>
  </si>
  <si>
    <t>d_a</t>
  </si>
  <si>
    <t>d_f</t>
  </si>
  <si>
    <t>z_1, z_2</t>
  </si>
  <si>
    <t>x_1, x_2</t>
  </si>
  <si>
    <t>x_1 + x_2</t>
  </si>
  <si>
    <t>Adjust the Pinion Coefficient of profile shift such that the sum of x_1, x_2 (cellsD17+E17) is equal to the calculated, required sum coefficent of profile shift (cell D18).</t>
  </si>
  <si>
    <t>Enter desired Working Centre Distance. If you are unsure what is allowable here, try initially setting to same value as Standard Centre Distance (cell D19).</t>
  </si>
  <si>
    <t>Enter Desired Pressure Angle  - Applies to both Pinion and Gear - Common standards are 14.5°, 20° and 25°.</t>
  </si>
  <si>
    <t>epsilon_alpha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</si>
</sst>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0000000000000"/>
    <numFmt numFmtId="167" formatCode="0.0000"/>
    <numFmt numFmtId="168" formatCode="0.0\°"/>
  </numFmts>
  <fonts count="7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8"/>
      <color theme="1"/>
      <name val="Aptos Narrow"/>
      <family val="2"/>
    </font>
    <font>
      <sz val="14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164" fontId="2" fillId="3" borderId="1" xfId="2" applyNumberFormat="1"/>
    <xf numFmtId="165" fontId="2" fillId="3" borderId="1" xfId="2" applyNumberFormat="1"/>
    <xf numFmtId="16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1" fillId="2" borderId="1" xfId="1" applyNumberFormat="1"/>
    <xf numFmtId="167" fontId="2" fillId="3" borderId="1" xfId="2" applyNumberFormat="1"/>
    <xf numFmtId="168" fontId="1" fillId="2" borderId="1" xfId="1" applyNumberFormat="1"/>
  </cellXfs>
  <cellStyles count="3">
    <cellStyle name="Calculation" xfId="2" builtinId="22"/>
    <cellStyle name="Input" xfId="1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5B48-E3BC-409C-9109-C1CB8CCFA1B6}">
  <dimension ref="A2:J43"/>
  <sheetViews>
    <sheetView tabSelected="1" topLeftCell="A4" workbookViewId="0">
      <selection activeCell="C32" sqref="C32"/>
    </sheetView>
  </sheetViews>
  <sheetFormatPr defaultRowHeight="14.4" x14ac:dyDescent="0.3"/>
  <cols>
    <col min="1" max="1" width="4" bestFit="1" customWidth="1"/>
    <col min="2" max="2" width="46.33203125" bestFit="1" customWidth="1"/>
    <col min="3" max="3" width="16.21875" customWidth="1"/>
    <col min="4" max="6" width="14.5546875" customWidth="1"/>
    <col min="10" max="10" width="18.77734375" bestFit="1" customWidth="1"/>
  </cols>
  <sheetData>
    <row r="2" spans="1:6" x14ac:dyDescent="0.3">
      <c r="B2" s="1" t="s">
        <v>26</v>
      </c>
    </row>
    <row r="3" spans="1:6" x14ac:dyDescent="0.3">
      <c r="B3" s="1"/>
    </row>
    <row r="4" spans="1:6" x14ac:dyDescent="0.3">
      <c r="A4" s="1" t="s">
        <v>23</v>
      </c>
    </row>
    <row r="5" spans="1:6" ht="23.4" x14ac:dyDescent="0.45">
      <c r="A5" s="8" t="s">
        <v>27</v>
      </c>
      <c r="B5" s="1" t="s">
        <v>33</v>
      </c>
    </row>
    <row r="6" spans="1:6" ht="23.4" x14ac:dyDescent="0.45">
      <c r="A6" s="8" t="s">
        <v>28</v>
      </c>
      <c r="B6" s="1" t="s">
        <v>57</v>
      </c>
    </row>
    <row r="7" spans="1:6" ht="23.4" x14ac:dyDescent="0.45">
      <c r="A7" s="8" t="s">
        <v>29</v>
      </c>
      <c r="B7" s="1" t="s">
        <v>32</v>
      </c>
    </row>
    <row r="8" spans="1:6" ht="23.4" x14ac:dyDescent="0.45">
      <c r="A8" s="8" t="s">
        <v>30</v>
      </c>
      <c r="B8" s="1" t="s">
        <v>56</v>
      </c>
    </row>
    <row r="9" spans="1:6" ht="23.4" x14ac:dyDescent="0.45">
      <c r="A9" s="8" t="s">
        <v>31</v>
      </c>
      <c r="B9" s="7" t="s">
        <v>55</v>
      </c>
    </row>
    <row r="10" spans="1:6" ht="23.4" x14ac:dyDescent="0.45">
      <c r="A10" s="8" t="s">
        <v>34</v>
      </c>
      <c r="B10" s="1" t="s">
        <v>35</v>
      </c>
    </row>
    <row r="12" spans="1:6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6" ht="18" x14ac:dyDescent="0.35">
      <c r="A13" s="1">
        <v>1</v>
      </c>
      <c r="B13" t="s">
        <v>5</v>
      </c>
      <c r="C13" t="s">
        <v>36</v>
      </c>
      <c r="D13" s="2">
        <v>3</v>
      </c>
      <c r="F13" s="9" t="s">
        <v>27</v>
      </c>
    </row>
    <row r="14" spans="1:6" ht="18" x14ac:dyDescent="0.35">
      <c r="A14" s="1">
        <f>A13+1</f>
        <v>2</v>
      </c>
      <c r="B14" t="s">
        <v>6</v>
      </c>
      <c r="C14" t="s">
        <v>39</v>
      </c>
      <c r="D14" s="12">
        <v>20</v>
      </c>
      <c r="F14" s="9" t="s">
        <v>28</v>
      </c>
    </row>
    <row r="15" spans="1:6" ht="18" x14ac:dyDescent="0.35">
      <c r="A15" s="1">
        <f t="shared" ref="A15:A32" si="0">A14+1</f>
        <v>3</v>
      </c>
      <c r="B15" t="s">
        <v>7</v>
      </c>
      <c r="C15" t="s">
        <v>52</v>
      </c>
      <c r="D15" s="2">
        <v>12</v>
      </c>
      <c r="E15" s="2">
        <v>24</v>
      </c>
      <c r="F15" s="9" t="s">
        <v>29</v>
      </c>
    </row>
    <row r="16" spans="1:6" ht="18" x14ac:dyDescent="0.35">
      <c r="A16" s="1">
        <f t="shared" si="0"/>
        <v>4</v>
      </c>
      <c r="B16" t="s">
        <v>24</v>
      </c>
      <c r="C16" t="s">
        <v>40</v>
      </c>
      <c r="D16" s="10">
        <v>56.5</v>
      </c>
      <c r="F16" s="9" t="s">
        <v>30</v>
      </c>
    </row>
    <row r="17" spans="1:10" ht="18" x14ac:dyDescent="0.35">
      <c r="A17" s="1">
        <f t="shared" si="0"/>
        <v>5</v>
      </c>
      <c r="B17" t="s">
        <v>14</v>
      </c>
      <c r="C17" t="s">
        <v>53</v>
      </c>
      <c r="D17" s="10">
        <v>0.6</v>
      </c>
      <c r="E17" s="4">
        <f>D18-D17</f>
        <v>0.36005583692798182</v>
      </c>
      <c r="F17" s="9" t="s">
        <v>31</v>
      </c>
    </row>
    <row r="18" spans="1:10" x14ac:dyDescent="0.3">
      <c r="A18" s="1">
        <f t="shared" si="0"/>
        <v>6</v>
      </c>
      <c r="B18" t="s">
        <v>19</v>
      </c>
      <c r="C18" t="s">
        <v>54</v>
      </c>
      <c r="D18" s="4">
        <f>((z_1+z_2)*(inv_alpha_w - inv_alpha))/(2*TAN(RADIANS(alpha)))</f>
        <v>0.9600558369279818</v>
      </c>
      <c r="G18" s="3"/>
    </row>
    <row r="19" spans="1:10" x14ac:dyDescent="0.3">
      <c r="A19" s="1">
        <f t="shared" si="0"/>
        <v>7</v>
      </c>
      <c r="B19" t="s">
        <v>21</v>
      </c>
      <c r="C19" t="s">
        <v>37</v>
      </c>
      <c r="D19" s="4">
        <f>((z_1 + z_2)/2)*m</f>
        <v>54</v>
      </c>
    </row>
    <row r="20" spans="1:10" x14ac:dyDescent="0.3">
      <c r="A20" s="1">
        <f t="shared" si="0"/>
        <v>8</v>
      </c>
      <c r="B20" t="s">
        <v>20</v>
      </c>
      <c r="C20" t="s">
        <v>41</v>
      </c>
      <c r="D20" s="5">
        <f>TAN(RADIANS(alpha))-RADIANS(alpha)</f>
        <v>1.4904383867336446E-2</v>
      </c>
    </row>
    <row r="21" spans="1:10" x14ac:dyDescent="0.3">
      <c r="A21" s="1">
        <f t="shared" si="0"/>
        <v>9</v>
      </c>
      <c r="B21" t="s">
        <v>15</v>
      </c>
      <c r="C21" t="s">
        <v>42</v>
      </c>
      <c r="D21" s="5">
        <f>TAN(RADIANS(alpha_w))-RADIANS(alpha_w)</f>
        <v>3.4317258749298252E-2</v>
      </c>
      <c r="J21" s="6"/>
    </row>
    <row r="22" spans="1:10" x14ac:dyDescent="0.3">
      <c r="A22" s="1">
        <f t="shared" si="0"/>
        <v>10</v>
      </c>
      <c r="B22" t="s">
        <v>16</v>
      </c>
      <c r="C22" t="s">
        <v>43</v>
      </c>
      <c r="D22" s="4">
        <f>DEGREES(ACOS(((z_1+z_2)*COS(RADIANS(alpha)))/((2*y)+(z_1+z_2))))</f>
        <v>26.088833256593801</v>
      </c>
    </row>
    <row r="23" spans="1:10" x14ac:dyDescent="0.3">
      <c r="A23" s="1">
        <f t="shared" si="0"/>
        <v>11</v>
      </c>
      <c r="B23" t="s">
        <v>17</v>
      </c>
      <c r="C23" t="s">
        <v>44</v>
      </c>
      <c r="D23" s="11">
        <f>(a_x/m)-(z_1+z_2)/2</f>
        <v>0.83333333333333215</v>
      </c>
    </row>
    <row r="24" spans="1:10" x14ac:dyDescent="0.3">
      <c r="A24" s="1">
        <f t="shared" si="0"/>
        <v>12</v>
      </c>
      <c r="B24" t="s">
        <v>8</v>
      </c>
      <c r="C24" t="s">
        <v>38</v>
      </c>
      <c r="D24" s="4">
        <f>m*z_1</f>
        <v>36</v>
      </c>
      <c r="E24" s="4">
        <f>m*z_2</f>
        <v>72</v>
      </c>
    </row>
    <row r="25" spans="1:10" x14ac:dyDescent="0.3">
      <c r="A25" s="1">
        <f t="shared" si="0"/>
        <v>13</v>
      </c>
      <c r="B25" t="s">
        <v>9</v>
      </c>
      <c r="C25" t="s">
        <v>45</v>
      </c>
      <c r="D25" s="4">
        <f>d_1*COS(RADIANS(alpha))</f>
        <v>33.828934348292705</v>
      </c>
      <c r="E25" s="4">
        <f>d_2*COS(RADIANS(alpha))</f>
        <v>67.65786869658541</v>
      </c>
    </row>
    <row r="26" spans="1:10" x14ac:dyDescent="0.3">
      <c r="A26" s="1">
        <f t="shared" si="0"/>
        <v>14</v>
      </c>
      <c r="B26" t="s">
        <v>22</v>
      </c>
      <c r="C26" t="s">
        <v>46</v>
      </c>
      <c r="D26" s="4">
        <f>d_b1/COS(RADIANS(alpha_w))</f>
        <v>37.666666666666664</v>
      </c>
      <c r="E26" s="4">
        <f>d_b2/COS(RADIANS(alpha_w))</f>
        <v>75.333333333333329</v>
      </c>
    </row>
    <row r="27" spans="1:10" x14ac:dyDescent="0.3">
      <c r="A27" s="1">
        <f t="shared" si="0"/>
        <v>15</v>
      </c>
      <c r="B27" t="s">
        <v>10</v>
      </c>
      <c r="C27" t="s">
        <v>47</v>
      </c>
      <c r="D27" s="4">
        <f>(1+y-x_2)*m</f>
        <v>4.4198324892160512</v>
      </c>
      <c r="E27" s="4">
        <f>(1+y-x_1)*m</f>
        <v>3.6999999999999962</v>
      </c>
    </row>
    <row r="28" spans="1:10" x14ac:dyDescent="0.3">
      <c r="A28" s="1">
        <f t="shared" si="0"/>
        <v>16</v>
      </c>
      <c r="B28" t="s">
        <v>11</v>
      </c>
      <c r="C28" t="s">
        <v>48</v>
      </c>
      <c r="D28" s="4">
        <f>h-h_a1</f>
        <v>1.9500000000000002</v>
      </c>
      <c r="E28" s="4">
        <f>h-h_a2</f>
        <v>2.6698324892160552</v>
      </c>
    </row>
    <row r="29" spans="1:10" x14ac:dyDescent="0.3">
      <c r="A29" s="1">
        <f t="shared" si="0"/>
        <v>17</v>
      </c>
      <c r="B29" t="s">
        <v>18</v>
      </c>
      <c r="C29" t="s">
        <v>49</v>
      </c>
      <c r="D29" s="4">
        <f>(2.25+D23-(D17+E17))*D13</f>
        <v>6.3698324892160514</v>
      </c>
    </row>
    <row r="30" spans="1:10" x14ac:dyDescent="0.3">
      <c r="A30" s="1">
        <f t="shared" si="0"/>
        <v>18</v>
      </c>
      <c r="B30" t="s">
        <v>12</v>
      </c>
      <c r="C30" t="s">
        <v>50</v>
      </c>
      <c r="D30" s="4">
        <f>d_1+(2*h_a1)</f>
        <v>44.839664978432104</v>
      </c>
      <c r="E30" s="4">
        <f>d_2+(2*h_a2)</f>
        <v>79.399999999999991</v>
      </c>
    </row>
    <row r="31" spans="1:10" x14ac:dyDescent="0.3">
      <c r="A31" s="1">
        <f t="shared" si="0"/>
        <v>19</v>
      </c>
      <c r="B31" t="s">
        <v>13</v>
      </c>
      <c r="C31" t="s">
        <v>51</v>
      </c>
      <c r="D31" s="4">
        <f>d_a1-(2*h)</f>
        <v>32.1</v>
      </c>
      <c r="E31" s="4">
        <f>d_a2-(2*h)</f>
        <v>66.660335021567889</v>
      </c>
    </row>
    <row r="32" spans="1:10" ht="18" x14ac:dyDescent="0.35">
      <c r="A32" s="1">
        <f t="shared" si="0"/>
        <v>20</v>
      </c>
      <c r="B32" t="s">
        <v>25</v>
      </c>
      <c r="C32" t="s">
        <v>58</v>
      </c>
      <c r="D32" s="4">
        <f>(SQRT((d_a1/2)^2-(d_b1/2)^2)+SQRT((d_a2/2)^2-(d_b2/2)^2)-(a_x*SIN(RADIANS(alpha_w))))/(PI()*m*COS(RADIANS(alpha)))</f>
        <v>1.2020898225006691</v>
      </c>
      <c r="F32" s="9" t="s">
        <v>34</v>
      </c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</sheetData>
  <conditionalFormatting sqref="D32">
    <cfRule type="cellIs" dxfId="1" priority="1" operator="greaterThan">
      <formula>1.2</formula>
    </cfRule>
    <cfRule type="cellIs" dxfId="0" priority="2" operator="lessThan">
      <formula>1.2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Sheet1</vt:lpstr>
      <vt:lpstr>a</vt:lpstr>
      <vt:lpstr>a_x</vt:lpstr>
      <vt:lpstr>alpha</vt:lpstr>
      <vt:lpstr>alpha_w</vt:lpstr>
      <vt:lpstr>d_1</vt:lpstr>
      <vt:lpstr>d_2</vt:lpstr>
      <vt:lpstr>d_a1</vt:lpstr>
      <vt:lpstr>d_a2</vt:lpstr>
      <vt:lpstr>d_b1</vt:lpstr>
      <vt:lpstr>d_b2</vt:lpstr>
      <vt:lpstr>d_f1</vt:lpstr>
      <vt:lpstr>d_f2</vt:lpstr>
      <vt:lpstr>d_w1</vt:lpstr>
      <vt:lpstr>d_w2</vt:lpstr>
      <vt:lpstr>h</vt:lpstr>
      <vt:lpstr>h_a1</vt:lpstr>
      <vt:lpstr>h_a2</vt:lpstr>
      <vt:lpstr>h_f1</vt:lpstr>
      <vt:lpstr>h_f2</vt:lpstr>
      <vt:lpstr>inv_alpha</vt:lpstr>
      <vt:lpstr>inv_alpha_w</vt:lpstr>
      <vt:lpstr>m</vt:lpstr>
      <vt:lpstr>sumx</vt:lpstr>
      <vt:lpstr>x_1</vt:lpstr>
      <vt:lpstr>x_2</vt:lpstr>
      <vt:lpstr>y</vt:lpstr>
      <vt:lpstr>z_1</vt:lpstr>
      <vt:lpstr>z_2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Bolsover</dc:creator>
  <cp:lastModifiedBy>David Bolsover</cp:lastModifiedBy>
  <dcterms:created xsi:type="dcterms:W3CDTF">2023-12-11T16:30:18Z</dcterms:created>
  <dcterms:modified xsi:type="dcterms:W3CDTF">2023-12-17T16:37:09Z</dcterms:modified>
</cp:coreProperties>
</file>