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Research_data\GCDFT\electrosorption\"/>
    </mc:Choice>
  </mc:AlternateContent>
  <xr:revisionPtr revIDLastSave="0" documentId="13_ncr:1_{023D6055-C93C-4624-8E6A-B672EE0973C4}" xr6:coauthVersionLast="47" xr6:coauthVersionMax="47" xr10:uidLastSave="{00000000-0000-0000-0000-000000000000}"/>
  <bookViews>
    <workbookView xWindow="-120" yWindow="-120" windowWidth="29040" windowHeight="15720" tabRatio="691" firstSheet="1" activeTab="13" xr2:uid="{1C4D8DF0-5B21-4AB8-8FF0-E71617E728AE}"/>
  </bookViews>
  <sheets>
    <sheet name="Exp. thermo" sheetId="20" r:id="rId1"/>
    <sheet name="Metal bulks" sheetId="17" r:id="rId2"/>
    <sheet name="Co(111)" sheetId="33" r:id="rId3"/>
    <sheet name="Ni(111)" sheetId="32" r:id="rId4"/>
    <sheet name="Cu(111)" sheetId="18" r:id="rId5"/>
    <sheet name="Rh(111)" sheetId="23" r:id="rId6"/>
    <sheet name="Pd(111)" sheetId="30" r:id="rId7"/>
    <sheet name="Ag(111)" sheetId="31" r:id="rId8"/>
    <sheet name="Ir(111)" sheetId="29" r:id="rId9"/>
    <sheet name="Pt(111)" sheetId="21" r:id="rId10"/>
    <sheet name="Au(111)" sheetId="24" r:id="rId11"/>
    <sheet name="rpbe-pbed3" sheetId="25" r:id="rId12"/>
    <sheet name="all_pbed3" sheetId="34" r:id="rId13"/>
    <sheet name="acids" sheetId="35" r:id="rId14"/>
    <sheet name="HOMO-benchmark" sheetId="3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6" i="35" l="1"/>
  <c r="AR394" i="21"/>
  <c r="AR395" i="21"/>
  <c r="AR393" i="21"/>
  <c r="AJ394" i="21"/>
  <c r="AJ395" i="21"/>
  <c r="AJ393" i="21"/>
  <c r="AI376" i="21"/>
  <c r="AI377" i="21"/>
  <c r="AI378" i="21"/>
  <c r="AR401" i="21"/>
  <c r="AR402" i="21"/>
  <c r="AR400" i="21"/>
  <c r="AF378" i="21"/>
  <c r="AE378" i="21"/>
  <c r="AF377" i="21"/>
  <c r="AE377" i="21"/>
  <c r="AF376" i="21"/>
  <c r="AE376" i="21"/>
  <c r="G397" i="21"/>
  <c r="R397" i="21"/>
  <c r="Z397" i="21"/>
  <c r="Z393" i="21"/>
  <c r="Z396" i="21" s="1"/>
  <c r="AI395" i="21"/>
  <c r="AI394" i="21"/>
  <c r="AI393" i="21"/>
  <c r="AI386" i="21"/>
  <c r="AI385" i="21"/>
  <c r="AI384" i="21"/>
  <c r="R396" i="21"/>
  <c r="G396" i="21"/>
  <c r="AQ393" i="21"/>
  <c r="AQ394" i="21"/>
  <c r="AQ395" i="21"/>
  <c r="AQ385" i="21"/>
  <c r="AQ386" i="21"/>
  <c r="AQ384" i="21"/>
  <c r="AN386" i="21"/>
  <c r="AM386" i="21"/>
  <c r="AN385" i="21"/>
  <c r="AM385" i="21"/>
  <c r="AN384" i="21"/>
  <c r="AM384" i="21"/>
  <c r="AF386" i="21"/>
  <c r="AE386" i="21"/>
  <c r="AF385" i="21"/>
  <c r="AE385" i="21"/>
  <c r="AF384" i="21"/>
  <c r="AE384" i="21"/>
  <c r="AN395" i="21"/>
  <c r="AM395" i="21"/>
  <c r="AN394" i="21"/>
  <c r="AM394" i="21"/>
  <c r="AN393" i="21"/>
  <c r="AM393" i="21"/>
  <c r="AF395" i="21"/>
  <c r="AE395" i="21"/>
  <c r="AF394" i="21"/>
  <c r="AE394" i="21"/>
  <c r="AF393" i="21"/>
  <c r="AE393" i="21"/>
  <c r="G5" i="20"/>
  <c r="H12" i="20" s="1"/>
  <c r="I5" i="20"/>
  <c r="H23" i="20"/>
  <c r="C27" i="20"/>
  <c r="H21" i="20"/>
  <c r="J11" i="20"/>
  <c r="AR396" i="21" l="1"/>
  <c r="AR397" i="21"/>
  <c r="AJ397" i="21"/>
  <c r="AJ396" i="21"/>
  <c r="H10" i="20"/>
  <c r="F207" i="21"/>
  <c r="G207" i="21"/>
  <c r="E207" i="21"/>
  <c r="AO205" i="21"/>
  <c r="AO206" i="21"/>
  <c r="AO204" i="21"/>
  <c r="AG205" i="21"/>
  <c r="AG206" i="21"/>
  <c r="AG204" i="21"/>
  <c r="AO153" i="21"/>
  <c r="AO154" i="21"/>
  <c r="AO152" i="21"/>
  <c r="AG153" i="21"/>
  <c r="AG154" i="21"/>
  <c r="AG152" i="21"/>
  <c r="AL206" i="21"/>
  <c r="AK206" i="21"/>
  <c r="AL205" i="21"/>
  <c r="AK205" i="21"/>
  <c r="AL204" i="21"/>
  <c r="AK204" i="21"/>
  <c r="AD206" i="21"/>
  <c r="AC206" i="21"/>
  <c r="AD205" i="21"/>
  <c r="AC205" i="21"/>
  <c r="AD204" i="21"/>
  <c r="AC204" i="21"/>
  <c r="AL154" i="21"/>
  <c r="AK154" i="21"/>
  <c r="AL153" i="21"/>
  <c r="AK153" i="21"/>
  <c r="AL152" i="21"/>
  <c r="AK152" i="21"/>
  <c r="AD154" i="21"/>
  <c r="AC154" i="21"/>
  <c r="AD153" i="21"/>
  <c r="AC153" i="21"/>
  <c r="AD152" i="21"/>
  <c r="AC152" i="21"/>
  <c r="G402" i="21"/>
  <c r="G13" i="25"/>
  <c r="G14" i="25"/>
  <c r="G12" i="25"/>
  <c r="G9" i="25"/>
  <c r="G10" i="25"/>
  <c r="G8" i="25"/>
  <c r="R303" i="21"/>
  <c r="Q303" i="21"/>
  <c r="F117" i="21"/>
  <c r="V395" i="21"/>
  <c r="Y395" i="21" s="1"/>
  <c r="U395" i="21"/>
  <c r="V394" i="21"/>
  <c r="Y394" i="21" s="1"/>
  <c r="U394" i="21"/>
  <c r="V393" i="21"/>
  <c r="Y393" i="21" s="1"/>
  <c r="U393" i="21"/>
  <c r="Q395" i="21"/>
  <c r="N395" i="21"/>
  <c r="M395" i="21"/>
  <c r="Q394" i="21"/>
  <c r="N394" i="21"/>
  <c r="M394" i="21"/>
  <c r="N393" i="21"/>
  <c r="Q393" i="21" s="1"/>
  <c r="M393" i="21"/>
  <c r="V305" i="21"/>
  <c r="Y305" i="21" s="1"/>
  <c r="Z305" i="21" s="1"/>
  <c r="U305" i="21"/>
  <c r="V304" i="21"/>
  <c r="Y304" i="21" s="1"/>
  <c r="Z304" i="21" s="1"/>
  <c r="U304" i="21"/>
  <c r="V303" i="21"/>
  <c r="Y303" i="21" s="1"/>
  <c r="Z303" i="21" s="1"/>
  <c r="U303" i="21"/>
  <c r="N305" i="21"/>
  <c r="Q305" i="21" s="1"/>
  <c r="R305" i="21" s="1"/>
  <c r="M305" i="21"/>
  <c r="N304" i="21"/>
  <c r="Q304" i="21" s="1"/>
  <c r="R304" i="21" s="1"/>
  <c r="M304" i="21"/>
  <c r="N303" i="21"/>
  <c r="M303" i="21"/>
  <c r="C127" i="21"/>
  <c r="F127" i="21" s="1"/>
  <c r="B127" i="21"/>
  <c r="C126" i="21"/>
  <c r="F126" i="21" s="1"/>
  <c r="B126" i="21"/>
  <c r="C125" i="21"/>
  <c r="F125" i="21" s="1"/>
  <c r="B125" i="21"/>
  <c r="C119" i="21"/>
  <c r="F119" i="21" s="1"/>
  <c r="B119" i="21"/>
  <c r="C118" i="21"/>
  <c r="F118" i="21" s="1"/>
  <c r="B118" i="21"/>
  <c r="C117" i="21"/>
  <c r="B117" i="21"/>
  <c r="D24" i="21"/>
  <c r="U189" i="21"/>
  <c r="U190" i="21"/>
  <c r="U188" i="21"/>
  <c r="M189" i="21"/>
  <c r="M190" i="21"/>
  <c r="M188" i="21"/>
  <c r="H39" i="20"/>
  <c r="H33" i="20"/>
  <c r="H34" i="20"/>
  <c r="H35" i="20"/>
  <c r="I35" i="20"/>
  <c r="W3" i="34"/>
  <c r="F3" i="34"/>
  <c r="W3" i="35"/>
  <c r="F3" i="35"/>
  <c r="E3" i="35"/>
  <c r="C52" i="20" l="1"/>
  <c r="V154" i="21"/>
  <c r="Y154" i="21" s="1"/>
  <c r="U154" i="21"/>
  <c r="V153" i="21"/>
  <c r="Y153" i="21" s="1"/>
  <c r="U153" i="21"/>
  <c r="V152" i="21"/>
  <c r="Y152" i="21" s="1"/>
  <c r="U152" i="21"/>
  <c r="N154" i="21"/>
  <c r="Q154" i="21" s="1"/>
  <c r="M154" i="21"/>
  <c r="N153" i="21"/>
  <c r="Q153" i="21" s="1"/>
  <c r="M153" i="21"/>
  <c r="N152" i="21"/>
  <c r="Q152" i="21" s="1"/>
  <c r="M152" i="21"/>
  <c r="V233" i="21"/>
  <c r="Y233" i="21" s="1"/>
  <c r="U233" i="21"/>
  <c r="V232" i="21"/>
  <c r="Y232" i="21" s="1"/>
  <c r="U232" i="21"/>
  <c r="V231" i="21"/>
  <c r="Y231" i="21" s="1"/>
  <c r="U231" i="21"/>
  <c r="N233" i="21"/>
  <c r="Q233" i="21" s="1"/>
  <c r="M233" i="21"/>
  <c r="N232" i="21"/>
  <c r="Q232" i="21" s="1"/>
  <c r="M232" i="21"/>
  <c r="N231" i="21"/>
  <c r="Q231" i="21" s="1"/>
  <c r="M231" i="21"/>
  <c r="V215" i="21"/>
  <c r="Y215" i="21" s="1"/>
  <c r="U215" i="21"/>
  <c r="V214" i="21"/>
  <c r="Y214" i="21" s="1"/>
  <c r="U214" i="21"/>
  <c r="V213" i="21"/>
  <c r="Y213" i="21" s="1"/>
  <c r="U213" i="21"/>
  <c r="N215" i="21"/>
  <c r="Q215" i="21" s="1"/>
  <c r="M215" i="21"/>
  <c r="N214" i="21"/>
  <c r="Q214" i="21" s="1"/>
  <c r="M214" i="21"/>
  <c r="N213" i="21"/>
  <c r="Q213" i="21" s="1"/>
  <c r="M213" i="21"/>
  <c r="V206" i="21"/>
  <c r="Y206" i="21" s="1"/>
  <c r="U206" i="21"/>
  <c r="V205" i="21"/>
  <c r="Y205" i="21" s="1"/>
  <c r="U205" i="21"/>
  <c r="V204" i="21"/>
  <c r="Y204" i="21" s="1"/>
  <c r="U204" i="21"/>
  <c r="N206" i="21"/>
  <c r="Q206" i="21" s="1"/>
  <c r="M206" i="21"/>
  <c r="N205" i="21"/>
  <c r="Q205" i="21" s="1"/>
  <c r="M205" i="21"/>
  <c r="N204" i="21"/>
  <c r="Q204" i="21" s="1"/>
  <c r="M204" i="21"/>
  <c r="V190" i="21"/>
  <c r="Y190" i="21" s="1"/>
  <c r="V189" i="21"/>
  <c r="Y189" i="21" s="1"/>
  <c r="V188" i="21"/>
  <c r="Y188" i="21" s="1"/>
  <c r="N190" i="21"/>
  <c r="Q190" i="21" s="1"/>
  <c r="N189" i="21"/>
  <c r="Q189" i="21" s="1"/>
  <c r="N188" i="21"/>
  <c r="Q188" i="21" s="1"/>
  <c r="V172" i="21"/>
  <c r="Y172" i="21" s="1"/>
  <c r="U172" i="21"/>
  <c r="V171" i="21"/>
  <c r="Y171" i="21" s="1"/>
  <c r="U171" i="21"/>
  <c r="V170" i="21"/>
  <c r="Y170" i="21" s="1"/>
  <c r="U170" i="21"/>
  <c r="N172" i="21"/>
  <c r="Q172" i="21" s="1"/>
  <c r="M172" i="21"/>
  <c r="N171" i="21"/>
  <c r="Q171" i="21" s="1"/>
  <c r="M171" i="21"/>
  <c r="N170" i="21"/>
  <c r="Q170" i="21" s="1"/>
  <c r="M170" i="21"/>
  <c r="V163" i="21"/>
  <c r="Y163" i="21" s="1"/>
  <c r="U163" i="21"/>
  <c r="V162" i="21"/>
  <c r="Y162" i="21" s="1"/>
  <c r="U162" i="21"/>
  <c r="V161" i="21"/>
  <c r="Y161" i="21" s="1"/>
  <c r="U161" i="21"/>
  <c r="N163" i="21"/>
  <c r="Q163" i="21" s="1"/>
  <c r="M163" i="21"/>
  <c r="N162" i="21"/>
  <c r="Q162" i="21" s="1"/>
  <c r="M162" i="21"/>
  <c r="N161" i="21"/>
  <c r="Q161" i="21" s="1"/>
  <c r="M161" i="21"/>
  <c r="B15" i="35"/>
  <c r="K10" i="34"/>
  <c r="K5" i="34"/>
  <c r="K45" i="34" l="1"/>
  <c r="K35" i="34"/>
  <c r="K30" i="34"/>
  <c r="K25" i="34"/>
  <c r="K20" i="34"/>
  <c r="K15" i="34"/>
  <c r="F120" i="32"/>
  <c r="J69" i="24"/>
  <c r="J14" i="29"/>
  <c r="J14" i="31"/>
  <c r="J14" i="30"/>
  <c r="J69" i="23"/>
  <c r="J102" i="18"/>
  <c r="J14" i="32"/>
  <c r="J14" i="33"/>
  <c r="F175" i="24"/>
  <c r="F176" i="24"/>
  <c r="F177" i="24"/>
  <c r="F174" i="24"/>
  <c r="F120" i="29"/>
  <c r="F121" i="29"/>
  <c r="F122" i="29"/>
  <c r="F119" i="29"/>
  <c r="F120" i="31"/>
  <c r="F121" i="31"/>
  <c r="F122" i="31"/>
  <c r="F119" i="31"/>
  <c r="F120" i="30"/>
  <c r="F121" i="30"/>
  <c r="F122" i="30"/>
  <c r="F119" i="30"/>
  <c r="F175" i="23"/>
  <c r="F176" i="23"/>
  <c r="F177" i="23"/>
  <c r="F174" i="23"/>
  <c r="F208" i="18"/>
  <c r="F209" i="18"/>
  <c r="F210" i="18"/>
  <c r="F207" i="18"/>
  <c r="F121" i="32"/>
  <c r="F122" i="32"/>
  <c r="F119" i="32"/>
  <c r="F120" i="33"/>
  <c r="F121" i="33"/>
  <c r="F122" i="33"/>
  <c r="F119" i="33"/>
  <c r="C177" i="24"/>
  <c r="B177" i="24"/>
  <c r="C176" i="24"/>
  <c r="B176" i="24"/>
  <c r="C175" i="24"/>
  <c r="B175" i="24"/>
  <c r="A174" i="24"/>
  <c r="B174" i="24" s="1"/>
  <c r="C122" i="29"/>
  <c r="B122" i="29"/>
  <c r="C121" i="29"/>
  <c r="B121" i="29"/>
  <c r="C120" i="29"/>
  <c r="B120" i="29"/>
  <c r="A119" i="29"/>
  <c r="B119" i="29" s="1"/>
  <c r="C122" i="31"/>
  <c r="B122" i="31"/>
  <c r="C121" i="31"/>
  <c r="B121" i="31"/>
  <c r="C120" i="31"/>
  <c r="B120" i="31"/>
  <c r="A119" i="31"/>
  <c r="B119" i="31" s="1"/>
  <c r="C122" i="30"/>
  <c r="B122" i="30"/>
  <c r="C121" i="30"/>
  <c r="B121" i="30"/>
  <c r="C120" i="30"/>
  <c r="B120" i="30"/>
  <c r="A119" i="30"/>
  <c r="B119" i="30" s="1"/>
  <c r="B174" i="23"/>
  <c r="C177" i="23"/>
  <c r="B177" i="23"/>
  <c r="C176" i="23"/>
  <c r="B176" i="23"/>
  <c r="C175" i="23"/>
  <c r="B175" i="23"/>
  <c r="A174" i="23"/>
  <c r="C210" i="18" l="1"/>
  <c r="B210" i="18"/>
  <c r="C209" i="18"/>
  <c r="B209" i="18"/>
  <c r="C208" i="18"/>
  <c r="B208" i="18"/>
  <c r="A207" i="18"/>
  <c r="B207" i="18" s="1"/>
  <c r="C122" i="32"/>
  <c r="B122" i="32"/>
  <c r="C121" i="32"/>
  <c r="B121" i="32"/>
  <c r="C120" i="32"/>
  <c r="B120" i="32"/>
  <c r="A119" i="32"/>
  <c r="B119" i="32" s="1"/>
  <c r="D138" i="21"/>
  <c r="AH204" i="21" l="1"/>
  <c r="AH205" i="21"/>
  <c r="AH206" i="21"/>
  <c r="AP204" i="21"/>
  <c r="AP205" i="21"/>
  <c r="AP206" i="21"/>
  <c r="C122" i="33"/>
  <c r="B122" i="33"/>
  <c r="C121" i="33"/>
  <c r="B121" i="33"/>
  <c r="C120" i="33"/>
  <c r="B120" i="33"/>
  <c r="A119" i="33"/>
  <c r="B119" i="33" s="1"/>
  <c r="AH207" i="21" l="1"/>
  <c r="AP207" i="21"/>
  <c r="K19" i="35"/>
  <c r="AB19" i="35"/>
  <c r="AA19" i="35"/>
  <c r="X19" i="35"/>
  <c r="V19" i="35"/>
  <c r="T19" i="35"/>
  <c r="S19" i="35"/>
  <c r="R19" i="35"/>
  <c r="Q19" i="35"/>
  <c r="O19" i="35"/>
  <c r="N19" i="35"/>
  <c r="M19" i="35"/>
  <c r="L19" i="35"/>
  <c r="J19" i="35"/>
  <c r="I19" i="35"/>
  <c r="H19" i="35"/>
  <c r="G19" i="35"/>
  <c r="F19" i="35"/>
  <c r="E19" i="35"/>
  <c r="D19" i="35"/>
  <c r="B19" i="35"/>
  <c r="K18" i="35"/>
  <c r="X18" i="35"/>
  <c r="V18" i="35"/>
  <c r="N18" i="35"/>
  <c r="Z17" i="35"/>
  <c r="Z18" i="35"/>
  <c r="Y18" i="35"/>
  <c r="Y17" i="35"/>
  <c r="C17" i="35"/>
  <c r="C18" i="35" s="1"/>
  <c r="U18" i="35"/>
  <c r="W17" i="35"/>
  <c r="W18" i="35" s="1"/>
  <c r="AB18" i="35"/>
  <c r="U17" i="35"/>
  <c r="T18" i="35"/>
  <c r="O18" i="35"/>
  <c r="P17" i="35"/>
  <c r="P18" i="35" s="1"/>
  <c r="M18" i="35"/>
  <c r="L18" i="35"/>
  <c r="J18" i="35"/>
  <c r="I18" i="35"/>
  <c r="H18" i="35"/>
  <c r="AA18" i="35"/>
  <c r="S18" i="35"/>
  <c r="R18" i="35"/>
  <c r="Q18" i="35"/>
  <c r="G18" i="35"/>
  <c r="F18" i="35"/>
  <c r="E18" i="35"/>
  <c r="D18" i="35"/>
  <c r="Y16" i="35"/>
  <c r="Y15" i="35"/>
  <c r="Y12" i="35"/>
  <c r="Y11" i="35"/>
  <c r="Z19" i="35" s="1"/>
  <c r="B18" i="35"/>
  <c r="Y13" i="35"/>
  <c r="Y14" i="35"/>
  <c r="AB16" i="35"/>
  <c r="AB15" i="35"/>
  <c r="AB12" i="35"/>
  <c r="AB11" i="35"/>
  <c r="AB13" i="35"/>
  <c r="AB14" i="35"/>
  <c r="AA16" i="35"/>
  <c r="AA15" i="35"/>
  <c r="AA12" i="35"/>
  <c r="AA11" i="35"/>
  <c r="AA14" i="35"/>
  <c r="AA13" i="35"/>
  <c r="Z16" i="35"/>
  <c r="Z15" i="35"/>
  <c r="Z12" i="35"/>
  <c r="Z11" i="35"/>
  <c r="Z13" i="35"/>
  <c r="Z14" i="35"/>
  <c r="X16" i="35"/>
  <c r="X15" i="35"/>
  <c r="X12" i="35"/>
  <c r="X11" i="35"/>
  <c r="Y19" i="35" s="1"/>
  <c r="X14" i="35"/>
  <c r="X13" i="35"/>
  <c r="W16" i="35"/>
  <c r="W15" i="35"/>
  <c r="W12" i="35"/>
  <c r="W11" i="35"/>
  <c r="W13" i="35"/>
  <c r="W14" i="35"/>
  <c r="V16" i="35"/>
  <c r="V15" i="35"/>
  <c r="V12" i="35"/>
  <c r="V11" i="35"/>
  <c r="W19" i="35" s="1"/>
  <c r="V14" i="35"/>
  <c r="V13" i="35"/>
  <c r="U16" i="35"/>
  <c r="U15" i="35"/>
  <c r="U12" i="35"/>
  <c r="U11" i="35"/>
  <c r="U13" i="35"/>
  <c r="U14" i="35"/>
  <c r="P15" i="35"/>
  <c r="P12" i="35"/>
  <c r="P11" i="35"/>
  <c r="P13" i="35"/>
  <c r="P14" i="35"/>
  <c r="S16" i="35"/>
  <c r="S15" i="35"/>
  <c r="S12" i="35"/>
  <c r="S11" i="35"/>
  <c r="S14" i="35"/>
  <c r="S13" i="35"/>
  <c r="R16" i="35"/>
  <c r="R15" i="35"/>
  <c r="R12" i="35"/>
  <c r="R11" i="35"/>
  <c r="R14" i="35"/>
  <c r="R13" i="35"/>
  <c r="Q16" i="35"/>
  <c r="Q15" i="35"/>
  <c r="Q12" i="35"/>
  <c r="Q11" i="35"/>
  <c r="Q14" i="35"/>
  <c r="Q13" i="35"/>
  <c r="T14" i="35"/>
  <c r="T16" i="35"/>
  <c r="T15" i="35"/>
  <c r="T12" i="35"/>
  <c r="T11" i="35"/>
  <c r="U19" i="35" s="1"/>
  <c r="T13" i="35"/>
  <c r="O16" i="35"/>
  <c r="O15" i="35"/>
  <c r="O12" i="35"/>
  <c r="O11" i="35"/>
  <c r="P19" i="35" s="1"/>
  <c r="O14" i="35"/>
  <c r="O13" i="35"/>
  <c r="K16" i="35"/>
  <c r="K15" i="35"/>
  <c r="K12" i="35"/>
  <c r="K11" i="35"/>
  <c r="K14" i="35"/>
  <c r="K13" i="35"/>
  <c r="J16" i="35"/>
  <c r="J15" i="35"/>
  <c r="J12" i="35"/>
  <c r="J11" i="35"/>
  <c r="J14" i="35"/>
  <c r="J13" i="35"/>
  <c r="I16" i="35"/>
  <c r="I15" i="35"/>
  <c r="I12" i="35"/>
  <c r="I11" i="35"/>
  <c r="I14" i="35"/>
  <c r="I13" i="35"/>
  <c r="N15" i="35"/>
  <c r="N16" i="35"/>
  <c r="N12" i="35"/>
  <c r="N11" i="35"/>
  <c r="N14" i="35"/>
  <c r="N13" i="35"/>
  <c r="M16" i="35"/>
  <c r="M15" i="35"/>
  <c r="M12" i="35"/>
  <c r="M11" i="35"/>
  <c r="M14" i="35"/>
  <c r="M13" i="35"/>
  <c r="L16" i="35"/>
  <c r="L15" i="35"/>
  <c r="L12" i="35"/>
  <c r="L11" i="35"/>
  <c r="L14" i="35"/>
  <c r="L13" i="35"/>
  <c r="H15" i="35"/>
  <c r="H16" i="35"/>
  <c r="H12" i="35"/>
  <c r="H11" i="35"/>
  <c r="H14" i="35"/>
  <c r="H13" i="35"/>
  <c r="G16" i="35"/>
  <c r="G15" i="35"/>
  <c r="G12" i="35"/>
  <c r="G11" i="35"/>
  <c r="G14" i="35"/>
  <c r="G13" i="35"/>
  <c r="C13" i="35"/>
  <c r="F13" i="35"/>
  <c r="E13" i="35"/>
  <c r="D13" i="35"/>
  <c r="B13" i="35"/>
  <c r="C15" i="35"/>
  <c r="F15" i="35"/>
  <c r="E15" i="35"/>
  <c r="D15" i="35"/>
  <c r="D12" i="35"/>
  <c r="D11" i="35"/>
  <c r="D16" i="35"/>
  <c r="D14" i="35"/>
  <c r="F14" i="36" s="1"/>
  <c r="F12" i="35"/>
  <c r="F11" i="35"/>
  <c r="F14" i="35"/>
  <c r="F16" i="35"/>
  <c r="E12" i="35"/>
  <c r="F22" i="36" s="1"/>
  <c r="E11" i="35"/>
  <c r="F3" i="36" s="1"/>
  <c r="E16" i="35"/>
  <c r="E14" i="35"/>
  <c r="F9" i="36" s="1"/>
  <c r="C12" i="35"/>
  <c r="F24" i="36" s="1"/>
  <c r="C11" i="35"/>
  <c r="F5" i="36" s="1"/>
  <c r="B12" i="35"/>
  <c r="B11" i="35"/>
  <c r="C19" i="35" s="1"/>
  <c r="B14" i="35"/>
  <c r="F10" i="36" s="1"/>
  <c r="C14" i="35"/>
  <c r="F16" i="36" s="1"/>
  <c r="C16" i="35"/>
  <c r="B16" i="35"/>
  <c r="AB3" i="35"/>
  <c r="AA3" i="35"/>
  <c r="Z3" i="35"/>
  <c r="Y3" i="35"/>
  <c r="X3" i="35"/>
  <c r="U3" i="35"/>
  <c r="T3" i="35"/>
  <c r="P3" i="35"/>
  <c r="O3" i="35"/>
  <c r="N3" i="35"/>
  <c r="M3" i="35"/>
  <c r="L3" i="35"/>
  <c r="K3" i="35"/>
  <c r="J3" i="35"/>
  <c r="I3" i="35"/>
  <c r="H3" i="35"/>
  <c r="G3" i="35"/>
  <c r="D3" i="35"/>
  <c r="C3" i="35"/>
  <c r="B3" i="35"/>
  <c r="P40" i="34"/>
  <c r="AC47" i="34"/>
  <c r="AC48" i="34"/>
  <c r="AC46" i="34"/>
  <c r="AC45" i="34"/>
  <c r="AA45" i="34"/>
  <c r="Z45" i="34"/>
  <c r="W45" i="34"/>
  <c r="R47" i="34"/>
  <c r="R48" i="34"/>
  <c r="R45" i="34"/>
  <c r="G45" i="34"/>
  <c r="E45" i="34"/>
  <c r="D45" i="34"/>
  <c r="C45" i="34"/>
  <c r="B45" i="34"/>
  <c r="A45" i="34"/>
  <c r="AC37" i="34"/>
  <c r="AC38" i="34"/>
  <c r="AC36" i="34"/>
  <c r="AC35" i="34"/>
  <c r="AA35" i="34"/>
  <c r="Z35" i="34"/>
  <c r="W35" i="34"/>
  <c r="R35" i="34"/>
  <c r="G35" i="34"/>
  <c r="E35" i="34"/>
  <c r="D35" i="34"/>
  <c r="C35" i="34"/>
  <c r="B35" i="34"/>
  <c r="A35" i="34"/>
  <c r="AC32" i="34"/>
  <c r="AC33" i="34"/>
  <c r="AC31" i="34"/>
  <c r="AC30" i="34"/>
  <c r="AA30" i="34"/>
  <c r="Z30" i="34"/>
  <c r="W30" i="34"/>
  <c r="R33" i="34"/>
  <c r="R31" i="34"/>
  <c r="R30" i="34"/>
  <c r="G30" i="34"/>
  <c r="E30" i="34"/>
  <c r="D30" i="34"/>
  <c r="C30" i="34"/>
  <c r="B30" i="34"/>
  <c r="A30" i="34"/>
  <c r="AC27" i="34"/>
  <c r="AC28" i="34"/>
  <c r="AC26" i="34"/>
  <c r="AC25" i="34"/>
  <c r="AA25" i="34"/>
  <c r="Z25" i="34"/>
  <c r="W25" i="34"/>
  <c r="R25" i="34"/>
  <c r="G25" i="34"/>
  <c r="E25" i="34"/>
  <c r="D25" i="34"/>
  <c r="C25" i="34"/>
  <c r="B25" i="34"/>
  <c r="A25" i="34"/>
  <c r="AC22" i="34"/>
  <c r="AC23" i="34"/>
  <c r="AC21" i="34"/>
  <c r="AC20" i="34"/>
  <c r="AA20" i="34"/>
  <c r="Z20" i="34"/>
  <c r="W20" i="34"/>
  <c r="R21" i="34"/>
  <c r="R20" i="34"/>
  <c r="G20" i="34"/>
  <c r="E20" i="34"/>
  <c r="D20" i="34"/>
  <c r="C20" i="34"/>
  <c r="B20" i="34"/>
  <c r="A20" i="34"/>
  <c r="AC17" i="34"/>
  <c r="AC18" i="34"/>
  <c r="AC16" i="34"/>
  <c r="AC15" i="34"/>
  <c r="AA15" i="34"/>
  <c r="Z15" i="34"/>
  <c r="W15" i="34"/>
  <c r="R17" i="34"/>
  <c r="R16" i="34"/>
  <c r="R15" i="34"/>
  <c r="G15" i="34"/>
  <c r="E15" i="34"/>
  <c r="D15" i="34"/>
  <c r="C15" i="34"/>
  <c r="B15" i="34"/>
  <c r="A15" i="34"/>
  <c r="AC12" i="34"/>
  <c r="AC13" i="34"/>
  <c r="AC11" i="34"/>
  <c r="AC10" i="34"/>
  <c r="AA10" i="34"/>
  <c r="Z10" i="34"/>
  <c r="W10" i="34"/>
  <c r="R10" i="34"/>
  <c r="G10" i="34"/>
  <c r="E10" i="34"/>
  <c r="D10" i="34"/>
  <c r="C10" i="34"/>
  <c r="B10" i="34"/>
  <c r="A10" i="34"/>
  <c r="AC7" i="34"/>
  <c r="AC6" i="34"/>
  <c r="AC5" i="34"/>
  <c r="AA5" i="34"/>
  <c r="Z5" i="34"/>
  <c r="W5" i="34"/>
  <c r="R5" i="34"/>
  <c r="G5" i="34"/>
  <c r="E5" i="34"/>
  <c r="D5" i="34"/>
  <c r="C5" i="34"/>
  <c r="B5" i="34"/>
  <c r="A5" i="34"/>
  <c r="B40" i="34"/>
  <c r="AB40" i="34"/>
  <c r="AC40" i="34"/>
  <c r="AA40" i="34"/>
  <c r="Z40" i="34"/>
  <c r="Y40" i="34"/>
  <c r="X40" i="34"/>
  <c r="W40" i="34"/>
  <c r="V40" i="34"/>
  <c r="U40" i="34"/>
  <c r="T40" i="34"/>
  <c r="S40" i="34"/>
  <c r="R40" i="34"/>
  <c r="Q40" i="34"/>
  <c r="O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A40" i="34"/>
  <c r="AB3" i="34"/>
  <c r="AA3" i="34"/>
  <c r="Z3" i="34"/>
  <c r="Y3" i="34"/>
  <c r="X3" i="34"/>
  <c r="U3" i="34"/>
  <c r="T3" i="34"/>
  <c r="P3" i="34"/>
  <c r="O3" i="34"/>
  <c r="N3" i="34"/>
  <c r="M3" i="34"/>
  <c r="L3" i="34"/>
  <c r="K3" i="34"/>
  <c r="J3" i="34"/>
  <c r="I3" i="34"/>
  <c r="H3" i="34"/>
  <c r="G3" i="34"/>
  <c r="E3" i="34"/>
  <c r="D3" i="34"/>
  <c r="C3" i="34"/>
  <c r="B3" i="34"/>
  <c r="G141" i="24"/>
  <c r="G140" i="24"/>
  <c r="G139" i="24"/>
  <c r="R46" i="34" s="1"/>
  <c r="G130" i="24"/>
  <c r="G132" i="24"/>
  <c r="G131" i="24"/>
  <c r="J68" i="24"/>
  <c r="G168" i="24" s="1"/>
  <c r="G48" i="34" s="1"/>
  <c r="J67" i="24"/>
  <c r="J66" i="24"/>
  <c r="J65" i="24"/>
  <c r="E4" i="24"/>
  <c r="E2" i="24"/>
  <c r="G111" i="29"/>
  <c r="G36" i="34" s="1"/>
  <c r="G86" i="29"/>
  <c r="R38" i="34" s="1"/>
  <c r="G85" i="29"/>
  <c r="R37" i="34" s="1"/>
  <c r="G84" i="29"/>
  <c r="R36" i="34" s="1"/>
  <c r="G77" i="29"/>
  <c r="G76" i="29"/>
  <c r="G75" i="29"/>
  <c r="J13" i="29"/>
  <c r="G112" i="29" s="1"/>
  <c r="G37" i="34" s="1"/>
  <c r="J12" i="29"/>
  <c r="J11" i="29"/>
  <c r="J10" i="29"/>
  <c r="E4" i="29"/>
  <c r="E2" i="29"/>
  <c r="G86" i="31"/>
  <c r="G85" i="31"/>
  <c r="R32" i="34" s="1"/>
  <c r="G84" i="31"/>
  <c r="G77" i="31"/>
  <c r="G76" i="31"/>
  <c r="G75" i="31"/>
  <c r="J13" i="31"/>
  <c r="G113" i="31" s="1"/>
  <c r="G33" i="34" s="1"/>
  <c r="J12" i="31"/>
  <c r="J11" i="31"/>
  <c r="J10" i="31"/>
  <c r="E4" i="31"/>
  <c r="E2" i="31"/>
  <c r="F67" i="31"/>
  <c r="F65" i="31"/>
  <c r="G85" i="30"/>
  <c r="R27" i="34" s="1"/>
  <c r="G86" i="30"/>
  <c r="R28" i="34" s="1"/>
  <c r="G84" i="30"/>
  <c r="R26" i="34" s="1"/>
  <c r="G76" i="30"/>
  <c r="G77" i="30"/>
  <c r="G75" i="30"/>
  <c r="J13" i="30"/>
  <c r="G111" i="30" s="1"/>
  <c r="G26" i="34" s="1"/>
  <c r="J12" i="30"/>
  <c r="J11" i="30"/>
  <c r="J10" i="30"/>
  <c r="E4" i="30"/>
  <c r="E2" i="30"/>
  <c r="F167" i="24"/>
  <c r="F165" i="24"/>
  <c r="C168" i="24"/>
  <c r="B168" i="24"/>
  <c r="C167" i="24"/>
  <c r="B167" i="24"/>
  <c r="C166" i="24"/>
  <c r="F166" i="24" s="1"/>
  <c r="B166" i="24"/>
  <c r="A165" i="24"/>
  <c r="B165" i="24" s="1"/>
  <c r="F156" i="24"/>
  <c r="C159" i="24"/>
  <c r="F159" i="24" s="1"/>
  <c r="B159" i="24"/>
  <c r="C158" i="24"/>
  <c r="F158" i="24" s="1"/>
  <c r="B158" i="24"/>
  <c r="C157" i="24"/>
  <c r="F157" i="24" s="1"/>
  <c r="B157" i="24"/>
  <c r="A156" i="24"/>
  <c r="B156" i="24" s="1"/>
  <c r="F147" i="24"/>
  <c r="C150" i="24"/>
  <c r="B150" i="24"/>
  <c r="C149" i="24"/>
  <c r="F149" i="24" s="1"/>
  <c r="B149" i="24"/>
  <c r="C148" i="24"/>
  <c r="F148" i="24" s="1"/>
  <c r="B148" i="24"/>
  <c r="A147" i="24"/>
  <c r="B147" i="24" s="1"/>
  <c r="F140" i="24"/>
  <c r="F138" i="24"/>
  <c r="C141" i="24"/>
  <c r="B141" i="24"/>
  <c r="C140" i="24"/>
  <c r="B140" i="24"/>
  <c r="C139" i="24"/>
  <c r="B139" i="24"/>
  <c r="A138" i="24"/>
  <c r="B138" i="24" s="1"/>
  <c r="F129" i="24"/>
  <c r="C132" i="24"/>
  <c r="F132" i="24" s="1"/>
  <c r="B132" i="24"/>
  <c r="C131" i="24"/>
  <c r="F131" i="24" s="1"/>
  <c r="B131" i="24"/>
  <c r="C130" i="24"/>
  <c r="F130" i="24" s="1"/>
  <c r="B130" i="24"/>
  <c r="A129" i="24"/>
  <c r="B129" i="24" s="1"/>
  <c r="F121" i="24"/>
  <c r="F122" i="24"/>
  <c r="F123" i="24"/>
  <c r="F120" i="24"/>
  <c r="C123" i="24"/>
  <c r="B123" i="24"/>
  <c r="C122" i="24"/>
  <c r="B122" i="24"/>
  <c r="C121" i="24"/>
  <c r="B121" i="24"/>
  <c r="A120" i="24"/>
  <c r="B120" i="24" s="1"/>
  <c r="F66" i="29"/>
  <c r="F67" i="29"/>
  <c r="F68" i="29"/>
  <c r="F65" i="29"/>
  <c r="F111" i="29"/>
  <c r="F112" i="29"/>
  <c r="F113" i="29"/>
  <c r="F110" i="29"/>
  <c r="C113" i="29"/>
  <c r="B113" i="29"/>
  <c r="C112" i="29"/>
  <c r="B112" i="29"/>
  <c r="C111" i="29"/>
  <c r="B111" i="29"/>
  <c r="A110" i="29"/>
  <c r="B110" i="29" s="1"/>
  <c r="F101" i="29"/>
  <c r="C104" i="29"/>
  <c r="F104" i="29" s="1"/>
  <c r="B104" i="29"/>
  <c r="C103" i="29"/>
  <c r="B103" i="29"/>
  <c r="C102" i="29"/>
  <c r="B102" i="29"/>
  <c r="A101" i="29"/>
  <c r="B101" i="29" s="1"/>
  <c r="F94" i="29"/>
  <c r="F92" i="29"/>
  <c r="C95" i="29"/>
  <c r="F95" i="29" s="1"/>
  <c r="B95" i="29"/>
  <c r="C94" i="29"/>
  <c r="B94" i="29"/>
  <c r="C93" i="29"/>
  <c r="B93" i="29"/>
  <c r="A92" i="29"/>
  <c r="B92" i="29" s="1"/>
  <c r="F85" i="29"/>
  <c r="F83" i="29"/>
  <c r="C86" i="29"/>
  <c r="F86" i="29" s="1"/>
  <c r="B86" i="29"/>
  <c r="C85" i="29"/>
  <c r="B85" i="29"/>
  <c r="C84" i="29"/>
  <c r="F84" i="29" s="1"/>
  <c r="B84" i="29"/>
  <c r="B83" i="29"/>
  <c r="A83" i="29"/>
  <c r="F76" i="29"/>
  <c r="F74" i="29"/>
  <c r="C77" i="29"/>
  <c r="F77" i="29" s="1"/>
  <c r="B77" i="29"/>
  <c r="C76" i="29"/>
  <c r="B76" i="29"/>
  <c r="C75" i="29"/>
  <c r="F75" i="29" s="1"/>
  <c r="B75" i="29"/>
  <c r="A74" i="29"/>
  <c r="B74" i="29" s="1"/>
  <c r="C68" i="29"/>
  <c r="B68" i="29"/>
  <c r="C67" i="29"/>
  <c r="B67" i="29"/>
  <c r="C66" i="29"/>
  <c r="B66" i="29"/>
  <c r="A65" i="29"/>
  <c r="B65" i="29" s="1"/>
  <c r="G140" i="23"/>
  <c r="R22" i="34" s="1"/>
  <c r="G141" i="23"/>
  <c r="R23" i="34" s="1"/>
  <c r="G139" i="23"/>
  <c r="G131" i="23"/>
  <c r="G132" i="23"/>
  <c r="G130" i="23"/>
  <c r="J68" i="23"/>
  <c r="G167" i="23" s="1"/>
  <c r="G22" i="34" s="1"/>
  <c r="J67" i="23"/>
  <c r="J66" i="23"/>
  <c r="J65" i="23"/>
  <c r="E4" i="23"/>
  <c r="E2" i="23"/>
  <c r="F166" i="23"/>
  <c r="F167" i="23"/>
  <c r="F168" i="23"/>
  <c r="F165" i="23"/>
  <c r="F157" i="23"/>
  <c r="F156" i="23"/>
  <c r="F158" i="23"/>
  <c r="F159" i="23"/>
  <c r="F148" i="23"/>
  <c r="F147" i="23"/>
  <c r="F149" i="23"/>
  <c r="F150" i="23"/>
  <c r="F139" i="23"/>
  <c r="F138" i="23"/>
  <c r="F110" i="31"/>
  <c r="C113" i="31"/>
  <c r="F113" i="31" s="1"/>
  <c r="B113" i="31"/>
  <c r="C112" i="31"/>
  <c r="F112" i="31" s="1"/>
  <c r="B112" i="31"/>
  <c r="C111" i="31"/>
  <c r="F111" i="31" s="1"/>
  <c r="B111" i="31"/>
  <c r="A110" i="31"/>
  <c r="B110" i="31" s="1"/>
  <c r="F104" i="31"/>
  <c r="F101" i="31"/>
  <c r="C104" i="31"/>
  <c r="B104" i="31"/>
  <c r="C103" i="31"/>
  <c r="F103" i="31" s="1"/>
  <c r="B103" i="31"/>
  <c r="C102" i="31"/>
  <c r="B102" i="31"/>
  <c r="A101" i="31"/>
  <c r="B101" i="31" s="1"/>
  <c r="F94" i="31"/>
  <c r="F95" i="31"/>
  <c r="F92" i="31"/>
  <c r="C95" i="31"/>
  <c r="B95" i="31"/>
  <c r="C94" i="31"/>
  <c r="B94" i="31"/>
  <c r="C93" i="31"/>
  <c r="B93" i="31"/>
  <c r="A92" i="31"/>
  <c r="B92" i="31" s="1"/>
  <c r="F86" i="31"/>
  <c r="F83" i="31"/>
  <c r="C86" i="31"/>
  <c r="B86" i="31"/>
  <c r="C85" i="31"/>
  <c r="F85" i="31" s="1"/>
  <c r="B85" i="31"/>
  <c r="C84" i="31"/>
  <c r="F84" i="31" s="1"/>
  <c r="B84" i="31"/>
  <c r="A83" i="31"/>
  <c r="B83" i="31" s="1"/>
  <c r="F75" i="31"/>
  <c r="F74" i="31"/>
  <c r="C77" i="31"/>
  <c r="F77" i="31" s="1"/>
  <c r="B77" i="31"/>
  <c r="C76" i="31"/>
  <c r="F76" i="31" s="1"/>
  <c r="B76" i="31"/>
  <c r="C75" i="31"/>
  <c r="B75" i="31"/>
  <c r="A74" i="31"/>
  <c r="B74" i="31" s="1"/>
  <c r="F66" i="31"/>
  <c r="F68" i="31"/>
  <c r="C68" i="31"/>
  <c r="B68" i="31"/>
  <c r="C67" i="31"/>
  <c r="B67" i="31"/>
  <c r="C66" i="31"/>
  <c r="B66" i="31"/>
  <c r="A65" i="31"/>
  <c r="B65" i="31" s="1"/>
  <c r="F111" i="30"/>
  <c r="F112" i="30"/>
  <c r="F113" i="30"/>
  <c r="F110" i="30"/>
  <c r="F84" i="30"/>
  <c r="F83" i="30"/>
  <c r="F75" i="30"/>
  <c r="F74" i="30"/>
  <c r="F66" i="30"/>
  <c r="F65" i="30"/>
  <c r="G200" i="18"/>
  <c r="G17" i="34" s="1"/>
  <c r="G173" i="18"/>
  <c r="G174" i="18"/>
  <c r="R18" i="34" s="1"/>
  <c r="G172" i="18"/>
  <c r="G163" i="18"/>
  <c r="G164" i="18"/>
  <c r="G165" i="18"/>
  <c r="F154" i="18"/>
  <c r="F155" i="18"/>
  <c r="F156" i="18"/>
  <c r="J101" i="18"/>
  <c r="G199" i="18" s="1"/>
  <c r="G16" i="34" s="1"/>
  <c r="J100" i="18"/>
  <c r="J99" i="18"/>
  <c r="J98" i="18"/>
  <c r="E4" i="18"/>
  <c r="E2" i="18"/>
  <c r="C113" i="30"/>
  <c r="B113" i="30"/>
  <c r="C112" i="30"/>
  <c r="B112" i="30"/>
  <c r="C111" i="30"/>
  <c r="B111" i="30"/>
  <c r="A110" i="30"/>
  <c r="B110" i="30" s="1"/>
  <c r="F102" i="30"/>
  <c r="F103" i="30"/>
  <c r="F104" i="30"/>
  <c r="F101" i="30"/>
  <c r="C104" i="30"/>
  <c r="B104" i="30"/>
  <c r="C103" i="30"/>
  <c r="B103" i="30"/>
  <c r="C102" i="30"/>
  <c r="B102" i="30"/>
  <c r="A101" i="30"/>
  <c r="B101" i="30" s="1"/>
  <c r="F93" i="30"/>
  <c r="F94" i="30"/>
  <c r="F95" i="30"/>
  <c r="F92" i="30"/>
  <c r="F85" i="30"/>
  <c r="F86" i="30"/>
  <c r="F76" i="30"/>
  <c r="F77" i="30"/>
  <c r="C95" i="30"/>
  <c r="B95" i="30"/>
  <c r="C94" i="30"/>
  <c r="B94" i="30"/>
  <c r="C93" i="30"/>
  <c r="B93" i="30"/>
  <c r="A92" i="30"/>
  <c r="B92" i="30" s="1"/>
  <c r="C86" i="30"/>
  <c r="B86" i="30"/>
  <c r="C85" i="30"/>
  <c r="B85" i="30"/>
  <c r="C84" i="30"/>
  <c r="B84" i="30"/>
  <c r="A83" i="30"/>
  <c r="B83" i="30" s="1"/>
  <c r="C77" i="30"/>
  <c r="B77" i="30"/>
  <c r="C76" i="30"/>
  <c r="B76" i="30"/>
  <c r="C75" i="30"/>
  <c r="B75" i="30"/>
  <c r="A74" i="30"/>
  <c r="B74" i="30" s="1"/>
  <c r="F67" i="30"/>
  <c r="F68" i="30"/>
  <c r="C68" i="30"/>
  <c r="B68" i="30"/>
  <c r="C67" i="30"/>
  <c r="B67" i="30"/>
  <c r="C66" i="30"/>
  <c r="B66" i="30"/>
  <c r="A65" i="30"/>
  <c r="B65" i="30" s="1"/>
  <c r="F141" i="23"/>
  <c r="F140" i="23"/>
  <c r="F131" i="23"/>
  <c r="F129" i="23"/>
  <c r="F121" i="23"/>
  <c r="F122" i="23"/>
  <c r="F123" i="23"/>
  <c r="C168" i="23"/>
  <c r="B168" i="23"/>
  <c r="C167" i="23"/>
  <c r="B167" i="23"/>
  <c r="C166" i="23"/>
  <c r="B166" i="23"/>
  <c r="A165" i="23"/>
  <c r="B165" i="23" s="1"/>
  <c r="C159" i="23"/>
  <c r="B159" i="23"/>
  <c r="C158" i="23"/>
  <c r="B158" i="23"/>
  <c r="C157" i="23"/>
  <c r="B157" i="23"/>
  <c r="A156" i="23"/>
  <c r="B156" i="23" s="1"/>
  <c r="C150" i="23"/>
  <c r="B150" i="23"/>
  <c r="C149" i="23"/>
  <c r="B149" i="23"/>
  <c r="C148" i="23"/>
  <c r="B148" i="23"/>
  <c r="A147" i="23"/>
  <c r="B147" i="23" s="1"/>
  <c r="C141" i="23"/>
  <c r="B141" i="23"/>
  <c r="C140" i="23"/>
  <c r="B140" i="23"/>
  <c r="C139" i="23"/>
  <c r="B139" i="23"/>
  <c r="A138" i="23"/>
  <c r="B138" i="23" s="1"/>
  <c r="C132" i="23"/>
  <c r="F132" i="23" s="1"/>
  <c r="B132" i="23"/>
  <c r="C131" i="23"/>
  <c r="B131" i="23"/>
  <c r="C130" i="23"/>
  <c r="F130" i="23" s="1"/>
  <c r="B130" i="23"/>
  <c r="A129" i="23"/>
  <c r="B129" i="23" s="1"/>
  <c r="B123" i="23"/>
  <c r="B122" i="23"/>
  <c r="B121" i="23"/>
  <c r="B120" i="23"/>
  <c r="B114" i="23"/>
  <c r="B113" i="23"/>
  <c r="B112" i="23"/>
  <c r="B111" i="23"/>
  <c r="B105" i="23"/>
  <c r="B104" i="23"/>
  <c r="B103" i="23"/>
  <c r="B102" i="23"/>
  <c r="B96" i="23"/>
  <c r="B95" i="23"/>
  <c r="B94" i="23"/>
  <c r="B93" i="23"/>
  <c r="B87" i="23"/>
  <c r="B86" i="23"/>
  <c r="B85" i="23"/>
  <c r="B84" i="23"/>
  <c r="B77" i="23"/>
  <c r="B78" i="23"/>
  <c r="B79" i="23"/>
  <c r="B76" i="23"/>
  <c r="F120" i="23"/>
  <c r="F112" i="23"/>
  <c r="F113" i="23"/>
  <c r="F114" i="23"/>
  <c r="F111" i="23"/>
  <c r="C123" i="23"/>
  <c r="C122" i="23"/>
  <c r="C121" i="23"/>
  <c r="A120" i="23"/>
  <c r="F198" i="18"/>
  <c r="F191" i="18"/>
  <c r="F189" i="18"/>
  <c r="F172" i="18"/>
  <c r="F171" i="18"/>
  <c r="F180" i="18"/>
  <c r="F164" i="18"/>
  <c r="F162" i="18"/>
  <c r="F153" i="18"/>
  <c r="F111" i="32"/>
  <c r="F112" i="32"/>
  <c r="F113" i="32"/>
  <c r="F110" i="32"/>
  <c r="F93" i="32"/>
  <c r="F94" i="32"/>
  <c r="F95" i="32"/>
  <c r="F92" i="32"/>
  <c r="G85" i="32"/>
  <c r="R12" i="34" s="1"/>
  <c r="G86" i="32"/>
  <c r="R13" i="34" s="1"/>
  <c r="G84" i="32"/>
  <c r="R11" i="34" s="1"/>
  <c r="F84" i="32"/>
  <c r="F85" i="32"/>
  <c r="F86" i="32"/>
  <c r="F83" i="32"/>
  <c r="G77" i="32"/>
  <c r="G76" i="32"/>
  <c r="G75" i="32"/>
  <c r="F75" i="32"/>
  <c r="F76" i="32"/>
  <c r="F77" i="32"/>
  <c r="F74" i="32"/>
  <c r="J13" i="32"/>
  <c r="G112" i="32" s="1"/>
  <c r="G12" i="34" s="1"/>
  <c r="J12" i="32"/>
  <c r="J11" i="32"/>
  <c r="J10" i="32"/>
  <c r="E4" i="32"/>
  <c r="E2" i="32"/>
  <c r="F65" i="32"/>
  <c r="C201" i="18"/>
  <c r="F201" i="18" s="1"/>
  <c r="B201" i="18"/>
  <c r="C200" i="18"/>
  <c r="F200" i="18" s="1"/>
  <c r="B200" i="18"/>
  <c r="C199" i="18"/>
  <c r="F199" i="18" s="1"/>
  <c r="B199" i="18"/>
  <c r="A198" i="18"/>
  <c r="B198" i="18" s="1"/>
  <c r="C192" i="18"/>
  <c r="B192" i="18"/>
  <c r="C191" i="18"/>
  <c r="B191" i="18"/>
  <c r="C190" i="18"/>
  <c r="F190" i="18" s="1"/>
  <c r="B190" i="18"/>
  <c r="A189" i="18"/>
  <c r="B189" i="18" s="1"/>
  <c r="C183" i="18"/>
  <c r="F183" i="18" s="1"/>
  <c r="B183" i="18"/>
  <c r="C182" i="18"/>
  <c r="F182" i="18" s="1"/>
  <c r="B182" i="18"/>
  <c r="C181" i="18"/>
  <c r="F181" i="18" s="1"/>
  <c r="B181" i="18"/>
  <c r="A180" i="18"/>
  <c r="B180" i="18" s="1"/>
  <c r="C174" i="18"/>
  <c r="F174" i="18" s="1"/>
  <c r="B174" i="18"/>
  <c r="C173" i="18"/>
  <c r="F173" i="18" s="1"/>
  <c r="B173" i="18"/>
  <c r="C172" i="18"/>
  <c r="B172" i="18"/>
  <c r="A171" i="18"/>
  <c r="B171" i="18" s="1"/>
  <c r="C165" i="18"/>
  <c r="F165" i="18" s="1"/>
  <c r="B165" i="18"/>
  <c r="C164" i="18"/>
  <c r="B164" i="18"/>
  <c r="C163" i="18"/>
  <c r="F163" i="18" s="1"/>
  <c r="B163" i="18"/>
  <c r="A162" i="18"/>
  <c r="B162" i="18" s="1"/>
  <c r="C156" i="18"/>
  <c r="B156" i="18"/>
  <c r="C155" i="18"/>
  <c r="B155" i="18"/>
  <c r="C154" i="18"/>
  <c r="B154" i="18"/>
  <c r="A153" i="18"/>
  <c r="B153" i="18" s="1"/>
  <c r="F428" i="21"/>
  <c r="C431" i="21"/>
  <c r="F431" i="21" s="1"/>
  <c r="B431" i="21"/>
  <c r="C430" i="21"/>
  <c r="F430" i="21" s="1"/>
  <c r="B430" i="21"/>
  <c r="C429" i="21"/>
  <c r="F429" i="21" s="1"/>
  <c r="B429" i="21"/>
  <c r="A428" i="21"/>
  <c r="B428" i="21" s="1"/>
  <c r="D134" i="21"/>
  <c r="F419" i="21"/>
  <c r="E4" i="33"/>
  <c r="J13" i="33"/>
  <c r="G111" i="33" s="1"/>
  <c r="G6" i="34" s="1"/>
  <c r="F111" i="33"/>
  <c r="F112" i="33"/>
  <c r="F113" i="33"/>
  <c r="F110" i="33"/>
  <c r="J12" i="33"/>
  <c r="F102" i="33"/>
  <c r="F103" i="33"/>
  <c r="F104" i="33"/>
  <c r="F101" i="33"/>
  <c r="J11" i="33"/>
  <c r="F93" i="33"/>
  <c r="F94" i="33"/>
  <c r="F95" i="33"/>
  <c r="F92" i="33"/>
  <c r="G85" i="33"/>
  <c r="R7" i="34" s="1"/>
  <c r="G86" i="33"/>
  <c r="R8" i="34" s="1"/>
  <c r="G84" i="33"/>
  <c r="R6" i="34" s="1"/>
  <c r="J10" i="33"/>
  <c r="F86" i="33"/>
  <c r="F85" i="33"/>
  <c r="F84" i="33"/>
  <c r="F83" i="33"/>
  <c r="G75" i="33"/>
  <c r="G76" i="33"/>
  <c r="G77" i="33"/>
  <c r="AC8" i="34" s="1"/>
  <c r="F75" i="33"/>
  <c r="F76" i="33"/>
  <c r="F77" i="33"/>
  <c r="F74" i="33"/>
  <c r="F68" i="33"/>
  <c r="F67" i="33"/>
  <c r="F66" i="33"/>
  <c r="F65" i="33"/>
  <c r="H42" i="20"/>
  <c r="I42" i="20"/>
  <c r="E2" i="33"/>
  <c r="C113" i="32"/>
  <c r="B113" i="32"/>
  <c r="C112" i="32"/>
  <c r="B112" i="32"/>
  <c r="C111" i="32"/>
  <c r="B111" i="32"/>
  <c r="A110" i="32"/>
  <c r="B110" i="32" s="1"/>
  <c r="F103" i="32"/>
  <c r="F101" i="32"/>
  <c r="C104" i="32"/>
  <c r="F104" i="32" s="1"/>
  <c r="B104" i="32"/>
  <c r="C103" i="32"/>
  <c r="B103" i="32"/>
  <c r="C102" i="32"/>
  <c r="F102" i="32" s="1"/>
  <c r="B102" i="32"/>
  <c r="A101" i="32"/>
  <c r="B101" i="32" s="1"/>
  <c r="C95" i="32"/>
  <c r="B95" i="32"/>
  <c r="C94" i="32"/>
  <c r="B94" i="32"/>
  <c r="C93" i="32"/>
  <c r="B93" i="32"/>
  <c r="A92" i="32"/>
  <c r="B92" i="32" s="1"/>
  <c r="C86" i="32"/>
  <c r="B86" i="32"/>
  <c r="C85" i="32"/>
  <c r="B85" i="32"/>
  <c r="C84" i="32"/>
  <c r="B84" i="32"/>
  <c r="A83" i="32"/>
  <c r="B83" i="32" s="1"/>
  <c r="C77" i="32"/>
  <c r="B77" i="32"/>
  <c r="C76" i="32"/>
  <c r="B76" i="32"/>
  <c r="C75" i="32"/>
  <c r="B75" i="32"/>
  <c r="A74" i="32"/>
  <c r="B74" i="32" s="1"/>
  <c r="F66" i="32"/>
  <c r="F67" i="32"/>
  <c r="F68" i="32"/>
  <c r="C68" i="32"/>
  <c r="B68" i="32"/>
  <c r="C67" i="32"/>
  <c r="B67" i="32"/>
  <c r="C66" i="32"/>
  <c r="B66" i="32"/>
  <c r="A65" i="32"/>
  <c r="B65" i="32" s="1"/>
  <c r="C113" i="33"/>
  <c r="B113" i="33"/>
  <c r="C112" i="33"/>
  <c r="B112" i="33"/>
  <c r="C111" i="33"/>
  <c r="B111" i="33"/>
  <c r="A110" i="33"/>
  <c r="B110" i="33" s="1"/>
  <c r="C104" i="33"/>
  <c r="B104" i="33"/>
  <c r="C103" i="33"/>
  <c r="B103" i="33"/>
  <c r="C102" i="33"/>
  <c r="B102" i="33"/>
  <c r="A101" i="33"/>
  <c r="B101" i="33" s="1"/>
  <c r="C95" i="33"/>
  <c r="B95" i="33"/>
  <c r="C94" i="33"/>
  <c r="B94" i="33"/>
  <c r="C93" i="33"/>
  <c r="B93" i="33"/>
  <c r="A92" i="33"/>
  <c r="B92" i="33" s="1"/>
  <c r="C86" i="33"/>
  <c r="B86" i="33"/>
  <c r="C85" i="33"/>
  <c r="B85" i="33"/>
  <c r="C84" i="33"/>
  <c r="B84" i="33"/>
  <c r="A83" i="33"/>
  <c r="B83" i="33" s="1"/>
  <c r="C77" i="33"/>
  <c r="B77" i="33"/>
  <c r="C76" i="33"/>
  <c r="B76" i="33"/>
  <c r="C75" i="33"/>
  <c r="B75" i="33"/>
  <c r="A74" i="33"/>
  <c r="B74" i="33" s="1"/>
  <c r="C68" i="33"/>
  <c r="B68" i="33"/>
  <c r="C67" i="33"/>
  <c r="B67" i="33"/>
  <c r="C66" i="33"/>
  <c r="B66" i="33"/>
  <c r="A65" i="33"/>
  <c r="B65" i="33" s="1"/>
  <c r="F56" i="33"/>
  <c r="F47" i="33"/>
  <c r="C422" i="21"/>
  <c r="F422" i="21" s="1"/>
  <c r="B422" i="21"/>
  <c r="C421" i="21"/>
  <c r="F421" i="21" s="1"/>
  <c r="B421" i="21"/>
  <c r="C420" i="21"/>
  <c r="F420" i="21" s="1"/>
  <c r="B420" i="21"/>
  <c r="A419" i="21"/>
  <c r="B419" i="21" s="1"/>
  <c r="A151" i="21"/>
  <c r="B151" i="21" s="1"/>
  <c r="F410" i="21"/>
  <c r="F383" i="21"/>
  <c r="J142" i="21"/>
  <c r="F401" i="21"/>
  <c r="C48" i="20"/>
  <c r="F392" i="21"/>
  <c r="C413" i="21"/>
  <c r="F413" i="21" s="1"/>
  <c r="B413" i="21"/>
  <c r="C412" i="21"/>
  <c r="F412" i="21" s="1"/>
  <c r="B412" i="21"/>
  <c r="C411" i="21"/>
  <c r="F411" i="21" s="1"/>
  <c r="B411" i="21"/>
  <c r="A410" i="21"/>
  <c r="B410" i="21" s="1"/>
  <c r="C404" i="21"/>
  <c r="F404" i="21" s="1"/>
  <c r="B404" i="21"/>
  <c r="C403" i="21"/>
  <c r="F403" i="21" s="1"/>
  <c r="B403" i="21"/>
  <c r="C402" i="21"/>
  <c r="F402" i="21" s="1"/>
  <c r="B402" i="21"/>
  <c r="A401" i="21"/>
  <c r="B401" i="21" s="1"/>
  <c r="C395" i="21"/>
  <c r="F395" i="21" s="1"/>
  <c r="B395" i="21"/>
  <c r="C394" i="21"/>
  <c r="F394" i="21" s="1"/>
  <c r="B394" i="21"/>
  <c r="C393" i="21"/>
  <c r="F393" i="21" s="1"/>
  <c r="B393" i="21"/>
  <c r="A392" i="21"/>
  <c r="B392" i="21" s="1"/>
  <c r="F374" i="21"/>
  <c r="F365" i="21"/>
  <c r="C386" i="21"/>
  <c r="F386" i="21" s="1"/>
  <c r="B386" i="21"/>
  <c r="C385" i="21"/>
  <c r="F385" i="21" s="1"/>
  <c r="B385" i="21"/>
  <c r="C384" i="21"/>
  <c r="F384" i="21" s="1"/>
  <c r="B384" i="21"/>
  <c r="A383" i="21"/>
  <c r="B383" i="21" s="1"/>
  <c r="C377" i="21"/>
  <c r="F377" i="21" s="1"/>
  <c r="B377" i="21"/>
  <c r="C376" i="21"/>
  <c r="F376" i="21" s="1"/>
  <c r="B376" i="21"/>
  <c r="C375" i="21"/>
  <c r="F375" i="21" s="1"/>
  <c r="B375" i="21"/>
  <c r="A374" i="21"/>
  <c r="B374" i="21" s="1"/>
  <c r="C368" i="21"/>
  <c r="F368" i="21" s="1"/>
  <c r="B368" i="21"/>
  <c r="C367" i="21"/>
  <c r="F367" i="21" s="1"/>
  <c r="B367" i="21"/>
  <c r="C366" i="21"/>
  <c r="F366" i="21" s="1"/>
  <c r="B366" i="21"/>
  <c r="A365" i="21"/>
  <c r="B365" i="21" s="1"/>
  <c r="G111" i="31" l="1"/>
  <c r="G31" i="34" s="1"/>
  <c r="G113" i="30"/>
  <c r="G28" i="34" s="1"/>
  <c r="G112" i="31"/>
  <c r="G32" i="34" s="1"/>
  <c r="G201" i="18"/>
  <c r="G18" i="34" s="1"/>
  <c r="G168" i="23"/>
  <c r="G23" i="34" s="1"/>
  <c r="G112" i="30"/>
  <c r="G27" i="34" s="1"/>
  <c r="G113" i="29"/>
  <c r="G38" i="34" s="1"/>
  <c r="G166" i="23"/>
  <c r="G21" i="34" s="1"/>
  <c r="G113" i="33"/>
  <c r="G8" i="34" s="1"/>
  <c r="G113" i="32"/>
  <c r="G13" i="34" s="1"/>
  <c r="G166" i="24"/>
  <c r="G46" i="34" s="1"/>
  <c r="G167" i="24"/>
  <c r="G47" i="34" s="1"/>
  <c r="G111" i="32"/>
  <c r="G11" i="34" s="1"/>
  <c r="G112" i="33"/>
  <c r="G7" i="34" s="1"/>
  <c r="H43" i="20"/>
  <c r="I43" i="20" s="1"/>
  <c r="H6" i="21" s="1"/>
  <c r="F168" i="24"/>
  <c r="F150" i="24"/>
  <c r="F139" i="24"/>
  <c r="F141" i="24"/>
  <c r="F93" i="29"/>
  <c r="F103" i="29"/>
  <c r="F102" i="29"/>
  <c r="F102" i="31"/>
  <c r="F93" i="31"/>
  <c r="F192" i="18"/>
  <c r="F356" i="21"/>
  <c r="F347" i="21"/>
  <c r="C332" i="21"/>
  <c r="F332" i="21" s="1"/>
  <c r="F329" i="21"/>
  <c r="F338" i="21"/>
  <c r="C359" i="21"/>
  <c r="F359" i="21" s="1"/>
  <c r="B359" i="21"/>
  <c r="C358" i="21"/>
  <c r="F358" i="21" s="1"/>
  <c r="B358" i="21"/>
  <c r="C357" i="21"/>
  <c r="F357" i="21" s="1"/>
  <c r="B357" i="21"/>
  <c r="A356" i="21"/>
  <c r="B356" i="21" s="1"/>
  <c r="C350" i="21"/>
  <c r="F350" i="21" s="1"/>
  <c r="B350" i="21"/>
  <c r="C349" i="21"/>
  <c r="F349" i="21" s="1"/>
  <c r="B349" i="21"/>
  <c r="C348" i="21"/>
  <c r="F348" i="21" s="1"/>
  <c r="B348" i="21"/>
  <c r="A347" i="21"/>
  <c r="B347" i="21" s="1"/>
  <c r="J138" i="21"/>
  <c r="J137" i="21"/>
  <c r="C314" i="21"/>
  <c r="F314" i="21" s="1"/>
  <c r="B314" i="21"/>
  <c r="C313" i="21"/>
  <c r="F313" i="21" s="1"/>
  <c r="B313" i="21"/>
  <c r="C312" i="21"/>
  <c r="F312" i="21" s="1"/>
  <c r="B312" i="21"/>
  <c r="F311" i="21"/>
  <c r="A311" i="21"/>
  <c r="B311" i="21" s="1"/>
  <c r="F2" i="25"/>
  <c r="F257" i="21"/>
  <c r="F248" i="21"/>
  <c r="F239" i="21"/>
  <c r="F221" i="21"/>
  <c r="C260" i="21"/>
  <c r="F260" i="21" s="1"/>
  <c r="B260" i="21"/>
  <c r="C259" i="21"/>
  <c r="F259" i="21" s="1"/>
  <c r="B259" i="21"/>
  <c r="C258" i="21"/>
  <c r="F258" i="21" s="1"/>
  <c r="B258" i="21"/>
  <c r="A257" i="21"/>
  <c r="B257" i="21" s="1"/>
  <c r="C251" i="21"/>
  <c r="F251" i="21" s="1"/>
  <c r="B251" i="21"/>
  <c r="C250" i="21"/>
  <c r="F250" i="21" s="1"/>
  <c r="B250" i="21"/>
  <c r="C249" i="21"/>
  <c r="F249" i="21" s="1"/>
  <c r="B249" i="21"/>
  <c r="A248" i="21"/>
  <c r="B248" i="21" s="1"/>
  <c r="C242" i="21"/>
  <c r="F242" i="21" s="1"/>
  <c r="B242" i="21"/>
  <c r="C241" i="21"/>
  <c r="F241" i="21" s="1"/>
  <c r="B241" i="21"/>
  <c r="C240" i="21"/>
  <c r="F240" i="21" s="1"/>
  <c r="B240" i="21"/>
  <c r="A239" i="21"/>
  <c r="B239" i="21" s="1"/>
  <c r="C224" i="21"/>
  <c r="F224" i="21" s="1"/>
  <c r="B224" i="21"/>
  <c r="C223" i="21"/>
  <c r="F223" i="21" s="1"/>
  <c r="B223" i="21"/>
  <c r="C222" i="21"/>
  <c r="F222" i="21" s="1"/>
  <c r="B222" i="21"/>
  <c r="A221" i="21"/>
  <c r="B221" i="21" s="1"/>
  <c r="J139" i="21"/>
  <c r="F284" i="21"/>
  <c r="F275" i="21"/>
  <c r="C341" i="21"/>
  <c r="F341" i="21" s="1"/>
  <c r="B341" i="21"/>
  <c r="C340" i="21"/>
  <c r="F340" i="21" s="1"/>
  <c r="B340" i="21"/>
  <c r="C339" i="21"/>
  <c r="F339" i="21" s="1"/>
  <c r="B339" i="21"/>
  <c r="A338" i="21"/>
  <c r="B338" i="21" s="1"/>
  <c r="B332" i="21"/>
  <c r="C331" i="21"/>
  <c r="F331" i="21" s="1"/>
  <c r="B331" i="21"/>
  <c r="C330" i="21"/>
  <c r="F330" i="21" s="1"/>
  <c r="B330" i="21"/>
  <c r="A329" i="21"/>
  <c r="B329" i="21" s="1"/>
  <c r="C287" i="21"/>
  <c r="F287" i="21" s="1"/>
  <c r="B287" i="21"/>
  <c r="C286" i="21"/>
  <c r="F286" i="21" s="1"/>
  <c r="B286" i="21"/>
  <c r="C285" i="21"/>
  <c r="F285" i="21" s="1"/>
  <c r="B285" i="21"/>
  <c r="A284" i="21"/>
  <c r="B284" i="21" s="1"/>
  <c r="C278" i="21"/>
  <c r="F278" i="21" s="1"/>
  <c r="B278" i="21"/>
  <c r="C277" i="21"/>
  <c r="F277" i="21" s="1"/>
  <c r="B277" i="21"/>
  <c r="C276" i="21"/>
  <c r="F276" i="21" s="1"/>
  <c r="B276" i="21"/>
  <c r="A275" i="21"/>
  <c r="B275" i="21" s="1"/>
  <c r="F320" i="21" l="1"/>
  <c r="F302" i="21"/>
  <c r="F293" i="21"/>
  <c r="J136" i="21"/>
  <c r="J135" i="21"/>
  <c r="F38" i="29"/>
  <c r="F21" i="29"/>
  <c r="C323" i="21"/>
  <c r="F323" i="21" s="1"/>
  <c r="B323" i="21"/>
  <c r="C322" i="21"/>
  <c r="F322" i="21" s="1"/>
  <c r="B322" i="21"/>
  <c r="C321" i="21"/>
  <c r="F321" i="21" s="1"/>
  <c r="B321" i="21"/>
  <c r="A320" i="21"/>
  <c r="B320" i="21" s="1"/>
  <c r="C305" i="21"/>
  <c r="F305" i="21" s="1"/>
  <c r="B305" i="21"/>
  <c r="C304" i="21"/>
  <c r="F304" i="21" s="1"/>
  <c r="B304" i="21"/>
  <c r="C303" i="21"/>
  <c r="F303" i="21" s="1"/>
  <c r="B303" i="21"/>
  <c r="A302" i="21"/>
  <c r="B302" i="21" s="1"/>
  <c r="C296" i="21"/>
  <c r="F296" i="21" s="1"/>
  <c r="B296" i="21"/>
  <c r="C295" i="21"/>
  <c r="F295" i="21" s="1"/>
  <c r="B295" i="21"/>
  <c r="C294" i="21"/>
  <c r="F294" i="21" s="1"/>
  <c r="B294" i="21"/>
  <c r="A293" i="21"/>
  <c r="B293" i="21" s="1"/>
  <c r="D10" i="33"/>
  <c r="D10" i="32"/>
  <c r="D98" i="18"/>
  <c r="D65" i="23"/>
  <c r="D10" i="30"/>
  <c r="D10" i="31"/>
  <c r="D10" i="29"/>
  <c r="D65" i="24"/>
  <c r="D133" i="21"/>
  <c r="B23" i="20" l="1"/>
  <c r="C67" i="20" s="1"/>
  <c r="F22" i="31"/>
  <c r="F21" i="31"/>
  <c r="C59" i="33"/>
  <c r="F59" i="33" s="1"/>
  <c r="B59" i="33"/>
  <c r="C58" i="33"/>
  <c r="F58" i="33" s="1"/>
  <c r="B58" i="33"/>
  <c r="C57" i="33"/>
  <c r="F57" i="33" s="1"/>
  <c r="B57" i="33"/>
  <c r="A56" i="33"/>
  <c r="B56" i="33" s="1"/>
  <c r="C50" i="33"/>
  <c r="F50" i="33" s="1"/>
  <c r="B50" i="33"/>
  <c r="C49" i="33"/>
  <c r="F49" i="33" s="1"/>
  <c r="B49" i="33"/>
  <c r="C48" i="33"/>
  <c r="F48" i="33" s="1"/>
  <c r="B48" i="33"/>
  <c r="A47" i="33"/>
  <c r="B47" i="33" s="1"/>
  <c r="C41" i="33"/>
  <c r="F41" i="33" s="1"/>
  <c r="B41" i="33"/>
  <c r="C40" i="33"/>
  <c r="F40" i="33" s="1"/>
  <c r="B40" i="33"/>
  <c r="F39" i="33"/>
  <c r="C39" i="33"/>
  <c r="B39" i="33"/>
  <c r="F38" i="33"/>
  <c r="A38" i="33"/>
  <c r="B38" i="33" s="1"/>
  <c r="C32" i="33"/>
  <c r="F32" i="33" s="1"/>
  <c r="B32" i="33"/>
  <c r="C31" i="33"/>
  <c r="F31" i="33" s="1"/>
  <c r="B31" i="33"/>
  <c r="C30" i="33"/>
  <c r="F30" i="33" s="1"/>
  <c r="B30" i="33"/>
  <c r="F29" i="33"/>
  <c r="A29" i="33"/>
  <c r="B29" i="33" s="1"/>
  <c r="C24" i="33"/>
  <c r="F24" i="33" s="1"/>
  <c r="B24" i="33"/>
  <c r="F23" i="33"/>
  <c r="C23" i="33"/>
  <c r="B23" i="33"/>
  <c r="C22" i="33"/>
  <c r="F22" i="33" s="1"/>
  <c r="B22" i="33"/>
  <c r="F21" i="33"/>
  <c r="A21" i="33"/>
  <c r="B21" i="33" s="1"/>
  <c r="F59" i="32"/>
  <c r="C59" i="32"/>
  <c r="B59" i="32"/>
  <c r="F58" i="32"/>
  <c r="C58" i="32"/>
  <c r="B58" i="32"/>
  <c r="F57" i="32"/>
  <c r="C57" i="32"/>
  <c r="B57" i="32"/>
  <c r="F56" i="32"/>
  <c r="A56" i="32"/>
  <c r="B56" i="32" s="1"/>
  <c r="F50" i="32"/>
  <c r="C50" i="32"/>
  <c r="B50" i="32"/>
  <c r="F49" i="32"/>
  <c r="C49" i="32"/>
  <c r="B49" i="32"/>
  <c r="F48" i="32"/>
  <c r="C48" i="32"/>
  <c r="B48" i="32"/>
  <c r="F47" i="32"/>
  <c r="A47" i="32"/>
  <c r="B47" i="32" s="1"/>
  <c r="C41" i="32"/>
  <c r="F41" i="32" s="1"/>
  <c r="B41" i="32"/>
  <c r="C40" i="32"/>
  <c r="F40" i="32" s="1"/>
  <c r="B40" i="32"/>
  <c r="C39" i="32"/>
  <c r="F39" i="32" s="1"/>
  <c r="B39" i="32"/>
  <c r="F38" i="32"/>
  <c r="A38" i="32"/>
  <c r="B38" i="32" s="1"/>
  <c r="C32" i="32"/>
  <c r="F32" i="32" s="1"/>
  <c r="B32" i="32"/>
  <c r="C31" i="32"/>
  <c r="F31" i="32" s="1"/>
  <c r="B31" i="32"/>
  <c r="C30" i="32"/>
  <c r="F30" i="32" s="1"/>
  <c r="B30" i="32"/>
  <c r="F29" i="32"/>
  <c r="A29" i="32"/>
  <c r="B29" i="32" s="1"/>
  <c r="C24" i="32"/>
  <c r="F24" i="32" s="1"/>
  <c r="B24" i="32"/>
  <c r="C23" i="32"/>
  <c r="F23" i="32" s="1"/>
  <c r="B23" i="32"/>
  <c r="C22" i="32"/>
  <c r="F22" i="32" s="1"/>
  <c r="B22" i="32"/>
  <c r="F21" i="32"/>
  <c r="A21" i="32"/>
  <c r="B21" i="32" s="1"/>
  <c r="F29" i="29"/>
  <c r="C197" i="21"/>
  <c r="F197" i="21" s="1"/>
  <c r="B197" i="21"/>
  <c r="C196" i="21"/>
  <c r="F196" i="21" s="1"/>
  <c r="B196" i="21"/>
  <c r="C195" i="21"/>
  <c r="F195" i="21" s="1"/>
  <c r="B195" i="21"/>
  <c r="F187" i="21"/>
  <c r="F194" i="21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64" i="17"/>
  <c r="F30" i="30"/>
  <c r="F21" i="30"/>
  <c r="F103" i="23"/>
  <c r="F104" i="23"/>
  <c r="F105" i="23"/>
  <c r="F102" i="23"/>
  <c r="F94" i="23"/>
  <c r="F95" i="23"/>
  <c r="F96" i="23"/>
  <c r="F93" i="23"/>
  <c r="F87" i="23"/>
  <c r="F86" i="23"/>
  <c r="F85" i="23"/>
  <c r="F84" i="23"/>
  <c r="F78" i="23"/>
  <c r="F77" i="23"/>
  <c r="F76" i="23"/>
  <c r="A111" i="23"/>
  <c r="A102" i="23"/>
  <c r="A93" i="23"/>
  <c r="A84" i="23"/>
  <c r="A76" i="23"/>
  <c r="A194" i="21"/>
  <c r="B194" i="21" s="1"/>
  <c r="F266" i="21"/>
  <c r="F230" i="21"/>
  <c r="F212" i="21"/>
  <c r="F203" i="21"/>
  <c r="C59" i="31"/>
  <c r="F59" i="31" s="1"/>
  <c r="B59" i="31"/>
  <c r="C58" i="31"/>
  <c r="F58" i="31" s="1"/>
  <c r="B58" i="31"/>
  <c r="C57" i="31"/>
  <c r="F57" i="31" s="1"/>
  <c r="B57" i="31"/>
  <c r="F56" i="31"/>
  <c r="A56" i="31"/>
  <c r="B56" i="31" s="1"/>
  <c r="C50" i="31"/>
  <c r="F50" i="31" s="1"/>
  <c r="B50" i="31"/>
  <c r="C49" i="31"/>
  <c r="F49" i="31" s="1"/>
  <c r="B49" i="31"/>
  <c r="C48" i="31"/>
  <c r="F48" i="31" s="1"/>
  <c r="B48" i="31"/>
  <c r="F47" i="31"/>
  <c r="A47" i="31"/>
  <c r="B47" i="31" s="1"/>
  <c r="F41" i="31"/>
  <c r="C41" i="31"/>
  <c r="B41" i="31"/>
  <c r="F40" i="31"/>
  <c r="C40" i="31"/>
  <c r="B40" i="31"/>
  <c r="F39" i="31"/>
  <c r="C39" i="31"/>
  <c r="B39" i="31"/>
  <c r="F38" i="31"/>
  <c r="B38" i="31"/>
  <c r="A38" i="31"/>
  <c r="C32" i="31"/>
  <c r="F32" i="31" s="1"/>
  <c r="B32" i="31"/>
  <c r="C31" i="31"/>
  <c r="F31" i="31" s="1"/>
  <c r="B31" i="31"/>
  <c r="C30" i="31"/>
  <c r="F30" i="31" s="1"/>
  <c r="B30" i="31"/>
  <c r="F29" i="31"/>
  <c r="A29" i="31"/>
  <c r="B29" i="31" s="1"/>
  <c r="C24" i="31"/>
  <c r="F24" i="31" s="1"/>
  <c r="B24" i="31"/>
  <c r="F23" i="31"/>
  <c r="C23" i="31"/>
  <c r="B23" i="31"/>
  <c r="C22" i="31"/>
  <c r="B22" i="31"/>
  <c r="A21" i="31"/>
  <c r="B21" i="31" s="1"/>
  <c r="C59" i="30"/>
  <c r="F59" i="30" s="1"/>
  <c r="B59" i="30"/>
  <c r="C58" i="30"/>
  <c r="F58" i="30" s="1"/>
  <c r="B58" i="30"/>
  <c r="C57" i="30"/>
  <c r="F57" i="30" s="1"/>
  <c r="B57" i="30"/>
  <c r="F56" i="30"/>
  <c r="A56" i="30"/>
  <c r="B56" i="30" s="1"/>
  <c r="C50" i="30"/>
  <c r="F50" i="30" s="1"/>
  <c r="B50" i="30"/>
  <c r="F49" i="30"/>
  <c r="C49" i="30"/>
  <c r="B49" i="30"/>
  <c r="C48" i="30"/>
  <c r="F48" i="30" s="1"/>
  <c r="B48" i="30"/>
  <c r="F47" i="30"/>
  <c r="B47" i="30"/>
  <c r="A47" i="30"/>
  <c r="C41" i="30"/>
  <c r="F41" i="30" s="1"/>
  <c r="B41" i="30"/>
  <c r="F40" i="30"/>
  <c r="C40" i="30"/>
  <c r="B40" i="30"/>
  <c r="C39" i="30"/>
  <c r="F39" i="30" s="1"/>
  <c r="B39" i="30"/>
  <c r="F38" i="30"/>
  <c r="B38" i="30"/>
  <c r="A38" i="30"/>
  <c r="F32" i="30"/>
  <c r="C32" i="30"/>
  <c r="B32" i="30"/>
  <c r="F31" i="30"/>
  <c r="C31" i="30"/>
  <c r="B31" i="30"/>
  <c r="C30" i="30"/>
  <c r="B30" i="30"/>
  <c r="F29" i="30"/>
  <c r="A29" i="30"/>
  <c r="B29" i="30" s="1"/>
  <c r="F24" i="30"/>
  <c r="C24" i="30"/>
  <c r="B24" i="30"/>
  <c r="C23" i="30"/>
  <c r="F23" i="30" s="1"/>
  <c r="B23" i="30"/>
  <c r="F22" i="30"/>
  <c r="C22" i="30"/>
  <c r="B22" i="30"/>
  <c r="A21" i="30"/>
  <c r="B21" i="30" s="1"/>
  <c r="B59" i="29"/>
  <c r="B58" i="29"/>
  <c r="B57" i="29"/>
  <c r="B50" i="29"/>
  <c r="B49" i="29"/>
  <c r="B48" i="29"/>
  <c r="B41" i="29"/>
  <c r="B40" i="29"/>
  <c r="B39" i="29"/>
  <c r="B32" i="29"/>
  <c r="B31" i="29"/>
  <c r="B30" i="29"/>
  <c r="B23" i="29"/>
  <c r="B24" i="29"/>
  <c r="B22" i="29"/>
  <c r="C59" i="29"/>
  <c r="F59" i="29" s="1"/>
  <c r="C58" i="29"/>
  <c r="F58" i="29" s="1"/>
  <c r="C57" i="29"/>
  <c r="F57" i="29" s="1"/>
  <c r="F56" i="29"/>
  <c r="A56" i="29"/>
  <c r="B56" i="29" s="1"/>
  <c r="C50" i="29"/>
  <c r="F50" i="29" s="1"/>
  <c r="C49" i="29"/>
  <c r="F49" i="29" s="1"/>
  <c r="C48" i="29"/>
  <c r="F48" i="29" s="1"/>
  <c r="F47" i="29"/>
  <c r="A47" i="29"/>
  <c r="B47" i="29" s="1"/>
  <c r="C41" i="29"/>
  <c r="F41" i="29" s="1"/>
  <c r="C40" i="29"/>
  <c r="F40" i="29" s="1"/>
  <c r="C39" i="29"/>
  <c r="F39" i="29" s="1"/>
  <c r="A38" i="29"/>
  <c r="B38" i="29" s="1"/>
  <c r="C32" i="29"/>
  <c r="F32" i="29" s="1"/>
  <c r="C31" i="29"/>
  <c r="F31" i="29" s="1"/>
  <c r="C30" i="29"/>
  <c r="F30" i="29" s="1"/>
  <c r="A29" i="29"/>
  <c r="B29" i="29" s="1"/>
  <c r="C24" i="29"/>
  <c r="F24" i="29" s="1"/>
  <c r="C23" i="29"/>
  <c r="F23" i="29" s="1"/>
  <c r="C22" i="29"/>
  <c r="F22" i="29" s="1"/>
  <c r="A21" i="29"/>
  <c r="B21" i="29" s="1"/>
  <c r="AA63" i="17"/>
  <c r="AB63" i="17" s="1"/>
  <c r="AB62" i="17"/>
  <c r="AA62" i="17"/>
  <c r="T84" i="17"/>
  <c r="T83" i="17"/>
  <c r="T82" i="17"/>
  <c r="T81" i="17"/>
  <c r="T80" i="17"/>
  <c r="T79" i="17"/>
  <c r="T78" i="17"/>
  <c r="T77" i="17"/>
  <c r="T76" i="17"/>
  <c r="T75" i="17"/>
  <c r="T74" i="17"/>
  <c r="T73" i="17"/>
  <c r="T72" i="17"/>
  <c r="T71" i="17"/>
  <c r="T70" i="17"/>
  <c r="T69" i="17"/>
  <c r="T68" i="17"/>
  <c r="T67" i="17"/>
  <c r="T66" i="17"/>
  <c r="T65" i="17"/>
  <c r="T64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L84" i="17"/>
  <c r="L83" i="17"/>
  <c r="L82" i="17"/>
  <c r="L81" i="17"/>
  <c r="L80" i="17"/>
  <c r="L79" i="17"/>
  <c r="L78" i="17"/>
  <c r="L77" i="17"/>
  <c r="L76" i="17"/>
  <c r="L75" i="17"/>
  <c r="L74" i="17"/>
  <c r="L73" i="17"/>
  <c r="L72" i="17"/>
  <c r="L71" i="17"/>
  <c r="L70" i="17"/>
  <c r="L69" i="17"/>
  <c r="L68" i="17"/>
  <c r="L67" i="17"/>
  <c r="L66" i="17"/>
  <c r="L65" i="17"/>
  <c r="L64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64" i="17"/>
  <c r="F112" i="24"/>
  <c r="F113" i="24"/>
  <c r="F114" i="24"/>
  <c r="F111" i="24"/>
  <c r="F103" i="24"/>
  <c r="F104" i="24"/>
  <c r="F105" i="24"/>
  <c r="F102" i="24"/>
  <c r="F85" i="24"/>
  <c r="F84" i="24"/>
  <c r="F94" i="24"/>
  <c r="F95" i="24"/>
  <c r="F96" i="24"/>
  <c r="F93" i="24"/>
  <c r="F86" i="24"/>
  <c r="F87" i="24"/>
  <c r="A111" i="24"/>
  <c r="B111" i="24" s="1"/>
  <c r="A102" i="24"/>
  <c r="B102" i="24" s="1"/>
  <c r="A93" i="24"/>
  <c r="B93" i="24" s="1"/>
  <c r="F76" i="24"/>
  <c r="A76" i="24"/>
  <c r="B76" i="24" s="1"/>
  <c r="R84" i="17"/>
  <c r="R83" i="17"/>
  <c r="R82" i="17"/>
  <c r="R81" i="17"/>
  <c r="R80" i="17"/>
  <c r="R79" i="17"/>
  <c r="R78" i="17"/>
  <c r="R77" i="17"/>
  <c r="R76" i="17"/>
  <c r="R75" i="17"/>
  <c r="R74" i="17"/>
  <c r="R73" i="17"/>
  <c r="R72" i="17"/>
  <c r="R71" i="17"/>
  <c r="R70" i="17"/>
  <c r="R69" i="17"/>
  <c r="R68" i="17"/>
  <c r="R67" i="17"/>
  <c r="R66" i="17"/>
  <c r="R65" i="17"/>
  <c r="R64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64" i="17"/>
  <c r="AE38" i="17"/>
  <c r="AE39" i="17"/>
  <c r="AE40" i="17"/>
  <c r="AE41" i="17"/>
  <c r="AE42" i="17"/>
  <c r="AE43" i="17"/>
  <c r="AE44" i="17"/>
  <c r="AE45" i="17"/>
  <c r="AE46" i="17"/>
  <c r="AE47" i="17"/>
  <c r="AE48" i="17"/>
  <c r="AE49" i="17"/>
  <c r="AE50" i="17"/>
  <c r="AE51" i="17"/>
  <c r="AE52" i="17"/>
  <c r="AE53" i="17"/>
  <c r="AE54" i="17"/>
  <c r="AE55" i="17"/>
  <c r="AE56" i="17"/>
  <c r="AE57" i="17"/>
  <c r="AE58" i="17"/>
  <c r="AA39" i="17"/>
  <c r="AA40" i="17"/>
  <c r="AA41" i="17"/>
  <c r="AA42" i="17"/>
  <c r="AA43" i="17"/>
  <c r="AA44" i="17"/>
  <c r="AA45" i="17"/>
  <c r="AA46" i="17"/>
  <c r="AA47" i="17"/>
  <c r="AA48" i="17"/>
  <c r="AA49" i="17"/>
  <c r="AA50" i="17"/>
  <c r="AA51" i="17"/>
  <c r="AA52" i="17"/>
  <c r="AA53" i="17"/>
  <c r="AA54" i="17"/>
  <c r="AA55" i="17"/>
  <c r="AA56" i="17"/>
  <c r="AA57" i="17"/>
  <c r="AA58" i="17"/>
  <c r="AA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38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F145" i="18"/>
  <c r="F146" i="18"/>
  <c r="F147" i="18"/>
  <c r="F144" i="18"/>
  <c r="A144" i="18"/>
  <c r="B144" i="18" s="1"/>
  <c r="F135" i="18"/>
  <c r="A135" i="18"/>
  <c r="F126" i="18"/>
  <c r="F109" i="18"/>
  <c r="F117" i="18"/>
  <c r="F178" i="21"/>
  <c r="F169" i="21"/>
  <c r="F160" i="21"/>
  <c r="A126" i="18"/>
  <c r="A117" i="18"/>
  <c r="F151" i="21"/>
  <c r="A109" i="18"/>
  <c r="A187" i="21"/>
  <c r="B187" i="21" s="1"/>
  <c r="B188" i="21"/>
  <c r="C188" i="21"/>
  <c r="F188" i="21" s="1"/>
  <c r="B181" i="21"/>
  <c r="B180" i="21"/>
  <c r="B179" i="21"/>
  <c r="B172" i="21"/>
  <c r="B171" i="21"/>
  <c r="B170" i="21"/>
  <c r="B163" i="21"/>
  <c r="B162" i="21"/>
  <c r="B161" i="21"/>
  <c r="B269" i="21"/>
  <c r="B268" i="21"/>
  <c r="B267" i="21"/>
  <c r="B233" i="21"/>
  <c r="B232" i="21"/>
  <c r="B231" i="21"/>
  <c r="B215" i="21"/>
  <c r="B214" i="21"/>
  <c r="B213" i="21"/>
  <c r="B204" i="21"/>
  <c r="B205" i="21"/>
  <c r="B206" i="21"/>
  <c r="B152" i="21"/>
  <c r="B153" i="21"/>
  <c r="B154" i="21"/>
  <c r="A178" i="21"/>
  <c r="B178" i="21" s="1"/>
  <c r="A169" i="21"/>
  <c r="B169" i="21" s="1"/>
  <c r="A160" i="21"/>
  <c r="B160" i="21" s="1"/>
  <c r="A266" i="21"/>
  <c r="B266" i="21" s="1"/>
  <c r="A230" i="21"/>
  <c r="B230" i="21" s="1"/>
  <c r="A212" i="21"/>
  <c r="B212" i="21" s="1"/>
  <c r="A203" i="21"/>
  <c r="B203" i="21" s="1"/>
  <c r="C114" i="24"/>
  <c r="B114" i="24"/>
  <c r="C113" i="24"/>
  <c r="B113" i="24"/>
  <c r="C112" i="24"/>
  <c r="B112" i="24"/>
  <c r="C105" i="24"/>
  <c r="B105" i="24"/>
  <c r="C104" i="24"/>
  <c r="B104" i="24"/>
  <c r="C103" i="24"/>
  <c r="B103" i="24"/>
  <c r="C96" i="24"/>
  <c r="B96" i="24"/>
  <c r="C95" i="24"/>
  <c r="B95" i="24"/>
  <c r="C94" i="24"/>
  <c r="B94" i="24"/>
  <c r="C87" i="24"/>
  <c r="B87" i="24"/>
  <c r="C86" i="24"/>
  <c r="B86" i="24"/>
  <c r="C85" i="24"/>
  <c r="B85" i="24"/>
  <c r="A84" i="24"/>
  <c r="B84" i="24" s="1"/>
  <c r="C79" i="24"/>
  <c r="F79" i="24" s="1"/>
  <c r="B79" i="24"/>
  <c r="C78" i="24"/>
  <c r="F78" i="24" s="1"/>
  <c r="B78" i="24"/>
  <c r="C77" i="24"/>
  <c r="F77" i="24" s="1"/>
  <c r="B77" i="24"/>
  <c r="C114" i="23"/>
  <c r="C113" i="23"/>
  <c r="C112" i="23"/>
  <c r="C105" i="23"/>
  <c r="C104" i="23"/>
  <c r="C103" i="23"/>
  <c r="C96" i="23"/>
  <c r="C95" i="23"/>
  <c r="C94" i="23"/>
  <c r="C87" i="23"/>
  <c r="C86" i="23"/>
  <c r="C85" i="23"/>
  <c r="C79" i="23"/>
  <c r="F79" i="23" s="1"/>
  <c r="C78" i="23"/>
  <c r="C77" i="23"/>
  <c r="C147" i="18"/>
  <c r="B147" i="18"/>
  <c r="C146" i="18"/>
  <c r="B146" i="18"/>
  <c r="C145" i="18"/>
  <c r="B145" i="18"/>
  <c r="C138" i="18"/>
  <c r="F138" i="18" s="1"/>
  <c r="B138" i="18"/>
  <c r="C137" i="18"/>
  <c r="F137" i="18" s="1"/>
  <c r="B137" i="18"/>
  <c r="C136" i="18"/>
  <c r="F136" i="18" s="1"/>
  <c r="B136" i="18"/>
  <c r="C129" i="18"/>
  <c r="F129" i="18" s="1"/>
  <c r="B129" i="18"/>
  <c r="C128" i="18"/>
  <c r="F128" i="18" s="1"/>
  <c r="B128" i="18"/>
  <c r="C127" i="18"/>
  <c r="F127" i="18" s="1"/>
  <c r="B127" i="18"/>
  <c r="C120" i="18"/>
  <c r="F120" i="18" s="1"/>
  <c r="B120" i="18"/>
  <c r="C119" i="18"/>
  <c r="F119" i="18" s="1"/>
  <c r="B119" i="18"/>
  <c r="C118" i="18"/>
  <c r="F118" i="18" s="1"/>
  <c r="B118" i="18"/>
  <c r="C112" i="18"/>
  <c r="F112" i="18" s="1"/>
  <c r="B112" i="18"/>
  <c r="C111" i="18"/>
  <c r="F111" i="18" s="1"/>
  <c r="B111" i="18"/>
  <c r="C110" i="18"/>
  <c r="F110" i="18" s="1"/>
  <c r="B110" i="18"/>
  <c r="C190" i="21"/>
  <c r="F190" i="21" s="1"/>
  <c r="B190" i="21"/>
  <c r="C189" i="21"/>
  <c r="F189" i="21" s="1"/>
  <c r="B189" i="21"/>
  <c r="C181" i="21"/>
  <c r="F181" i="21" s="1"/>
  <c r="C180" i="21"/>
  <c r="F180" i="21" s="1"/>
  <c r="C179" i="21"/>
  <c r="F179" i="21" s="1"/>
  <c r="C172" i="21"/>
  <c r="F172" i="21" s="1"/>
  <c r="C171" i="21"/>
  <c r="F171" i="21" s="1"/>
  <c r="C170" i="21"/>
  <c r="F170" i="21" s="1"/>
  <c r="C163" i="21"/>
  <c r="F163" i="21" s="1"/>
  <c r="C162" i="21"/>
  <c r="F162" i="21" s="1"/>
  <c r="C161" i="21"/>
  <c r="F161" i="21" s="1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38" i="17"/>
  <c r="E2" i="25"/>
  <c r="D2" i="25"/>
  <c r="C2" i="25"/>
  <c r="B2" i="25"/>
  <c r="C269" i="21"/>
  <c r="F269" i="21" s="1"/>
  <c r="C268" i="21"/>
  <c r="F268" i="21" s="1"/>
  <c r="C267" i="21"/>
  <c r="F267" i="21" s="1"/>
  <c r="C233" i="21"/>
  <c r="F233" i="21" s="1"/>
  <c r="C232" i="21"/>
  <c r="F232" i="21" s="1"/>
  <c r="C231" i="21"/>
  <c r="F231" i="21" s="1"/>
  <c r="C215" i="21"/>
  <c r="F215" i="21" s="1"/>
  <c r="C214" i="21"/>
  <c r="F214" i="21" s="1"/>
  <c r="C213" i="21"/>
  <c r="F213" i="21" s="1"/>
  <c r="C206" i="21"/>
  <c r="F206" i="21" s="1"/>
  <c r="C205" i="21"/>
  <c r="F205" i="21" s="1"/>
  <c r="C204" i="21"/>
  <c r="F204" i="21" s="1"/>
  <c r="C154" i="21"/>
  <c r="F154" i="21" s="1"/>
  <c r="G305" i="21" s="1"/>
  <c r="C153" i="21"/>
  <c r="F153" i="21" s="1"/>
  <c r="G295" i="21" s="1"/>
  <c r="C152" i="21"/>
  <c r="F152" i="21" s="1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38" i="17"/>
  <c r="C59" i="24"/>
  <c r="F59" i="24" s="1"/>
  <c r="B59" i="24"/>
  <c r="C58" i="24"/>
  <c r="F58" i="24" s="1"/>
  <c r="B58" i="24"/>
  <c r="C57" i="24"/>
  <c r="F57" i="24" s="1"/>
  <c r="B57" i="24"/>
  <c r="F56" i="24"/>
  <c r="A56" i="24"/>
  <c r="B56" i="24" s="1"/>
  <c r="C50" i="24"/>
  <c r="F50" i="24" s="1"/>
  <c r="B50" i="24"/>
  <c r="C49" i="24"/>
  <c r="F49" i="24" s="1"/>
  <c r="B49" i="24"/>
  <c r="C48" i="24"/>
  <c r="F48" i="24" s="1"/>
  <c r="B48" i="24"/>
  <c r="F47" i="24"/>
  <c r="A47" i="24"/>
  <c r="B47" i="24" s="1"/>
  <c r="C41" i="24"/>
  <c r="F41" i="24" s="1"/>
  <c r="B41" i="24"/>
  <c r="C40" i="24"/>
  <c r="F40" i="24" s="1"/>
  <c r="B40" i="24"/>
  <c r="C39" i="24"/>
  <c r="F39" i="24" s="1"/>
  <c r="B39" i="24"/>
  <c r="F38" i="24"/>
  <c r="A38" i="24"/>
  <c r="B38" i="24" s="1"/>
  <c r="C32" i="24"/>
  <c r="F32" i="24" s="1"/>
  <c r="B32" i="24"/>
  <c r="C31" i="24"/>
  <c r="F31" i="24" s="1"/>
  <c r="B31" i="24"/>
  <c r="C30" i="24"/>
  <c r="F30" i="24" s="1"/>
  <c r="B30" i="24"/>
  <c r="F29" i="24"/>
  <c r="A29" i="24"/>
  <c r="B29" i="24" s="1"/>
  <c r="C24" i="24"/>
  <c r="F24" i="24" s="1"/>
  <c r="B24" i="24"/>
  <c r="C23" i="24"/>
  <c r="F23" i="24" s="1"/>
  <c r="B23" i="24"/>
  <c r="C22" i="24"/>
  <c r="F22" i="24" s="1"/>
  <c r="B22" i="24"/>
  <c r="F21" i="24"/>
  <c r="A21" i="24"/>
  <c r="B21" i="24" s="1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6" i="17"/>
  <c r="F38" i="23"/>
  <c r="C59" i="23"/>
  <c r="F59" i="23" s="1"/>
  <c r="B59" i="23"/>
  <c r="C58" i="23"/>
  <c r="F58" i="23" s="1"/>
  <c r="B58" i="23"/>
  <c r="C57" i="23"/>
  <c r="F57" i="23" s="1"/>
  <c r="B57" i="23"/>
  <c r="F56" i="23"/>
  <c r="A56" i="23"/>
  <c r="B56" i="23" s="1"/>
  <c r="C50" i="23"/>
  <c r="F50" i="23" s="1"/>
  <c r="B50" i="23"/>
  <c r="C49" i="23"/>
  <c r="F49" i="23" s="1"/>
  <c r="B49" i="23"/>
  <c r="C48" i="23"/>
  <c r="F48" i="23" s="1"/>
  <c r="B48" i="23"/>
  <c r="F47" i="23"/>
  <c r="A47" i="23"/>
  <c r="B47" i="23" s="1"/>
  <c r="C41" i="23"/>
  <c r="F41" i="23" s="1"/>
  <c r="B41" i="23"/>
  <c r="C40" i="23"/>
  <c r="F40" i="23" s="1"/>
  <c r="B40" i="23"/>
  <c r="C39" i="23"/>
  <c r="F39" i="23" s="1"/>
  <c r="B39" i="23"/>
  <c r="A38" i="23"/>
  <c r="B38" i="23" s="1"/>
  <c r="C32" i="23"/>
  <c r="F32" i="23" s="1"/>
  <c r="B32" i="23"/>
  <c r="C31" i="23"/>
  <c r="F31" i="23" s="1"/>
  <c r="B31" i="23"/>
  <c r="C30" i="23"/>
  <c r="F30" i="23" s="1"/>
  <c r="B30" i="23"/>
  <c r="F29" i="23"/>
  <c r="A29" i="23"/>
  <c r="B29" i="23" s="1"/>
  <c r="C24" i="23"/>
  <c r="F24" i="23" s="1"/>
  <c r="B24" i="23"/>
  <c r="C23" i="23"/>
  <c r="F23" i="23" s="1"/>
  <c r="B23" i="23"/>
  <c r="C22" i="23"/>
  <c r="F22" i="23" s="1"/>
  <c r="B22" i="23"/>
  <c r="F21" i="23"/>
  <c r="A21" i="23"/>
  <c r="B21" i="23" s="1"/>
  <c r="X69" i="18"/>
  <c r="AA69" i="18" s="1"/>
  <c r="W69" i="18"/>
  <c r="X68" i="18"/>
  <c r="AA68" i="18" s="1"/>
  <c r="W68" i="18"/>
  <c r="X67" i="18"/>
  <c r="AA67" i="18" s="1"/>
  <c r="W67" i="18"/>
  <c r="X58" i="18"/>
  <c r="AA58" i="18" s="1"/>
  <c r="W58" i="18"/>
  <c r="X57" i="18"/>
  <c r="AA57" i="18" s="1"/>
  <c r="W57" i="18"/>
  <c r="X56" i="18"/>
  <c r="AA56" i="18" s="1"/>
  <c r="W56" i="18"/>
  <c r="X47" i="18"/>
  <c r="AA47" i="18" s="1"/>
  <c r="W47" i="18"/>
  <c r="X46" i="18"/>
  <c r="AA46" i="18" s="1"/>
  <c r="W46" i="18"/>
  <c r="X45" i="18"/>
  <c r="AA45" i="18" s="1"/>
  <c r="W45" i="18"/>
  <c r="X36" i="18"/>
  <c r="AA36" i="18" s="1"/>
  <c r="W36" i="18"/>
  <c r="X35" i="18"/>
  <c r="AA35" i="18" s="1"/>
  <c r="W35" i="18"/>
  <c r="X34" i="18"/>
  <c r="AA34" i="18" s="1"/>
  <c r="W34" i="18"/>
  <c r="X26" i="18"/>
  <c r="AA26" i="18" s="1"/>
  <c r="W26" i="18"/>
  <c r="X25" i="18"/>
  <c r="AA25" i="18" s="1"/>
  <c r="W25" i="18"/>
  <c r="X24" i="18"/>
  <c r="AA24" i="18" s="1"/>
  <c r="W24" i="18"/>
  <c r="K8" i="17"/>
  <c r="K7" i="17"/>
  <c r="K6" i="17"/>
  <c r="K26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P69" i="18"/>
  <c r="S69" i="18" s="1"/>
  <c r="O69" i="18"/>
  <c r="P68" i="18"/>
  <c r="S68" i="18" s="1"/>
  <c r="O68" i="18"/>
  <c r="P67" i="18"/>
  <c r="S67" i="18" s="1"/>
  <c r="O67" i="18"/>
  <c r="P58" i="18"/>
  <c r="S58" i="18" s="1"/>
  <c r="O58" i="18"/>
  <c r="P57" i="18"/>
  <c r="S57" i="18" s="1"/>
  <c r="O57" i="18"/>
  <c r="P56" i="18"/>
  <c r="S56" i="18" s="1"/>
  <c r="O56" i="18"/>
  <c r="P47" i="18"/>
  <c r="S47" i="18" s="1"/>
  <c r="O47" i="18"/>
  <c r="P46" i="18"/>
  <c r="S46" i="18" s="1"/>
  <c r="O46" i="18"/>
  <c r="P45" i="18"/>
  <c r="S45" i="18" s="1"/>
  <c r="O45" i="18"/>
  <c r="B42" i="21"/>
  <c r="B55" i="21"/>
  <c r="B54" i="21"/>
  <c r="F51" i="21"/>
  <c r="F61" i="21"/>
  <c r="C92" i="18"/>
  <c r="F92" i="18" s="1"/>
  <c r="B92" i="18"/>
  <c r="C91" i="18"/>
  <c r="F91" i="18" s="1"/>
  <c r="B91" i="18"/>
  <c r="C90" i="18"/>
  <c r="F90" i="18" s="1"/>
  <c r="B90" i="18"/>
  <c r="B84" i="18"/>
  <c r="P26" i="18"/>
  <c r="S26" i="18" s="1"/>
  <c r="O26" i="18"/>
  <c r="P25" i="18"/>
  <c r="S25" i="18" s="1"/>
  <c r="O25" i="18"/>
  <c r="P24" i="18"/>
  <c r="S24" i="18" s="1"/>
  <c r="O24" i="18"/>
  <c r="D78" i="18"/>
  <c r="G78" i="18" s="1"/>
  <c r="D81" i="18"/>
  <c r="G81" i="18" s="1"/>
  <c r="D80" i="18"/>
  <c r="G80" i="18" s="1"/>
  <c r="D79" i="18"/>
  <c r="G79" i="18" s="1"/>
  <c r="P36" i="18"/>
  <c r="S36" i="18" s="1"/>
  <c r="O36" i="18"/>
  <c r="P35" i="18"/>
  <c r="S35" i="18" s="1"/>
  <c r="O35" i="18"/>
  <c r="P34" i="18"/>
  <c r="S34" i="18" s="1"/>
  <c r="O34" i="18"/>
  <c r="F108" i="21"/>
  <c r="F99" i="21"/>
  <c r="F90" i="21"/>
  <c r="F81" i="21"/>
  <c r="F67" i="18"/>
  <c r="F56" i="18"/>
  <c r="F45" i="18"/>
  <c r="C82" i="21"/>
  <c r="F82" i="21" s="1"/>
  <c r="C83" i="21"/>
  <c r="F83" i="21" s="1"/>
  <c r="C84" i="21"/>
  <c r="F84" i="21" s="1"/>
  <c r="C91" i="21"/>
  <c r="F91" i="21" s="1"/>
  <c r="C92" i="21"/>
  <c r="F92" i="21" s="1"/>
  <c r="C93" i="21"/>
  <c r="F93" i="21" s="1"/>
  <c r="C111" i="21"/>
  <c r="F111" i="21" s="1"/>
  <c r="B111" i="21"/>
  <c r="C110" i="21"/>
  <c r="F110" i="21" s="1"/>
  <c r="B110" i="21"/>
  <c r="C109" i="21"/>
  <c r="F109" i="21" s="1"/>
  <c r="B109" i="21"/>
  <c r="A108" i="21"/>
  <c r="B108" i="21" s="1"/>
  <c r="C102" i="21"/>
  <c r="F102" i="21" s="1"/>
  <c r="B102" i="21"/>
  <c r="C101" i="21"/>
  <c r="F101" i="21" s="1"/>
  <c r="B101" i="21"/>
  <c r="C100" i="21"/>
  <c r="F100" i="21" s="1"/>
  <c r="B100" i="21"/>
  <c r="A99" i="21"/>
  <c r="B99" i="21" s="1"/>
  <c r="B93" i="21"/>
  <c r="B92" i="21"/>
  <c r="B91" i="21"/>
  <c r="A90" i="21"/>
  <c r="B90" i="21" s="1"/>
  <c r="B84" i="21"/>
  <c r="B83" i="21"/>
  <c r="B82" i="21"/>
  <c r="A81" i="21"/>
  <c r="B81" i="21" s="1"/>
  <c r="B72" i="18"/>
  <c r="B71" i="18"/>
  <c r="B70" i="18"/>
  <c r="B69" i="18"/>
  <c r="B68" i="18"/>
  <c r="B61" i="18"/>
  <c r="B60" i="18"/>
  <c r="B59" i="18"/>
  <c r="B58" i="18"/>
  <c r="B57" i="18"/>
  <c r="B50" i="18"/>
  <c r="B49" i="18"/>
  <c r="B48" i="18"/>
  <c r="B47" i="18"/>
  <c r="B46" i="18"/>
  <c r="B39" i="18"/>
  <c r="B38" i="18"/>
  <c r="B37" i="18"/>
  <c r="B36" i="18"/>
  <c r="B35" i="18"/>
  <c r="B25" i="18"/>
  <c r="B26" i="18"/>
  <c r="B27" i="18"/>
  <c r="B28" i="18"/>
  <c r="B29" i="18"/>
  <c r="B76" i="21"/>
  <c r="B75" i="21"/>
  <c r="B74" i="21"/>
  <c r="B73" i="21"/>
  <c r="B72" i="21"/>
  <c r="B66" i="21"/>
  <c r="B65" i="21"/>
  <c r="B64" i="21"/>
  <c r="B63" i="21"/>
  <c r="B62" i="21"/>
  <c r="B56" i="21"/>
  <c r="B53" i="21"/>
  <c r="B52" i="21"/>
  <c r="B46" i="21"/>
  <c r="B45" i="21"/>
  <c r="B44" i="21"/>
  <c r="B43" i="21"/>
  <c r="B32" i="21"/>
  <c r="B33" i="21"/>
  <c r="B34" i="21"/>
  <c r="B35" i="21"/>
  <c r="B36" i="21"/>
  <c r="C66" i="21"/>
  <c r="F66" i="21" s="1"/>
  <c r="C65" i="21"/>
  <c r="F65" i="21" s="1"/>
  <c r="C64" i="21"/>
  <c r="F64" i="21" s="1"/>
  <c r="C63" i="21"/>
  <c r="F63" i="21" s="1"/>
  <c r="C62" i="21"/>
  <c r="F62" i="21" s="1"/>
  <c r="A61" i="21"/>
  <c r="B61" i="21" s="1"/>
  <c r="C56" i="21"/>
  <c r="F56" i="21" s="1"/>
  <c r="C55" i="21"/>
  <c r="F55" i="21" s="1"/>
  <c r="C54" i="21"/>
  <c r="F54" i="21" s="1"/>
  <c r="C53" i="21"/>
  <c r="F53" i="21" s="1"/>
  <c r="C52" i="21"/>
  <c r="F52" i="21" s="1"/>
  <c r="A51" i="21"/>
  <c r="B51" i="21" s="1"/>
  <c r="F71" i="21"/>
  <c r="C76" i="21"/>
  <c r="F76" i="21" s="1"/>
  <c r="C75" i="21"/>
  <c r="F75" i="21" s="1"/>
  <c r="C74" i="21"/>
  <c r="F74" i="21" s="1"/>
  <c r="C73" i="21"/>
  <c r="F73" i="21" s="1"/>
  <c r="C72" i="21"/>
  <c r="F72" i="21" s="1"/>
  <c r="A71" i="21"/>
  <c r="B71" i="21" s="1"/>
  <c r="A41" i="21"/>
  <c r="B41" i="21" s="1"/>
  <c r="F41" i="21"/>
  <c r="C46" i="21"/>
  <c r="F46" i="21" s="1"/>
  <c r="C45" i="21"/>
  <c r="F45" i="21" s="1"/>
  <c r="C44" i="21"/>
  <c r="F44" i="21" s="1"/>
  <c r="C43" i="21"/>
  <c r="F43" i="21" s="1"/>
  <c r="C42" i="21"/>
  <c r="F42" i="21" s="1"/>
  <c r="C36" i="21"/>
  <c r="F36" i="21" s="1"/>
  <c r="C35" i="21"/>
  <c r="F35" i="21" s="1"/>
  <c r="C34" i="21"/>
  <c r="F34" i="21" s="1"/>
  <c r="G119" i="21" s="1"/>
  <c r="G18" i="25" s="1"/>
  <c r="C33" i="21"/>
  <c r="F33" i="21" s="1"/>
  <c r="G118" i="21" s="1"/>
  <c r="G17" i="25" s="1"/>
  <c r="C32" i="21"/>
  <c r="F32" i="21" s="1"/>
  <c r="G117" i="21" s="1"/>
  <c r="G16" i="25" s="1"/>
  <c r="F31" i="21"/>
  <c r="A31" i="21"/>
  <c r="B31" i="21" s="1"/>
  <c r="F34" i="18"/>
  <c r="C72" i="18"/>
  <c r="F72" i="18" s="1"/>
  <c r="C71" i="18"/>
  <c r="F71" i="18" s="1"/>
  <c r="C70" i="18"/>
  <c r="F70" i="18" s="1"/>
  <c r="C69" i="18"/>
  <c r="F69" i="18" s="1"/>
  <c r="C68" i="18"/>
  <c r="F68" i="18" s="1"/>
  <c r="A67" i="18"/>
  <c r="B67" i="18" s="1"/>
  <c r="A56" i="18"/>
  <c r="C57" i="18"/>
  <c r="F57" i="18" s="1"/>
  <c r="C58" i="18"/>
  <c r="F58" i="18" s="1"/>
  <c r="C59" i="18"/>
  <c r="F59" i="18" s="1"/>
  <c r="C60" i="18"/>
  <c r="F60" i="18" s="1"/>
  <c r="C61" i="18"/>
  <c r="F61" i="18" s="1"/>
  <c r="A45" i="18"/>
  <c r="C46" i="18"/>
  <c r="F46" i="18" s="1"/>
  <c r="C47" i="18"/>
  <c r="F47" i="18" s="1"/>
  <c r="C48" i="18"/>
  <c r="F48" i="18" s="1"/>
  <c r="C49" i="18"/>
  <c r="F49" i="18" s="1"/>
  <c r="C50" i="18"/>
  <c r="F50" i="18" s="1"/>
  <c r="C35" i="18"/>
  <c r="F35" i="18" s="1"/>
  <c r="C25" i="18"/>
  <c r="F25" i="18" s="1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6" i="17"/>
  <c r="C39" i="18"/>
  <c r="F39" i="18" s="1"/>
  <c r="C29" i="18"/>
  <c r="C38" i="18"/>
  <c r="F38" i="18" s="1"/>
  <c r="C28" i="18"/>
  <c r="F28" i="18" s="1"/>
  <c r="C37" i="18"/>
  <c r="F37" i="18" s="1"/>
  <c r="C27" i="18"/>
  <c r="F27" i="18" s="1"/>
  <c r="C36" i="18"/>
  <c r="F36" i="18" s="1"/>
  <c r="C26" i="18"/>
  <c r="F26" i="18" s="1"/>
  <c r="A34" i="18"/>
  <c r="F24" i="18"/>
  <c r="A24" i="18"/>
  <c r="B24" i="18" s="1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6" i="17"/>
  <c r="G294" i="21" l="1"/>
  <c r="Q41" i="34" s="1"/>
  <c r="R43" i="34"/>
  <c r="G6" i="25"/>
  <c r="G296" i="21"/>
  <c r="Q43" i="34" s="1"/>
  <c r="G411" i="21"/>
  <c r="AB41" i="34" s="1"/>
  <c r="G429" i="21"/>
  <c r="AC41" i="34"/>
  <c r="G420" i="21"/>
  <c r="G312" i="21"/>
  <c r="S41" i="34" s="1"/>
  <c r="G430" i="21"/>
  <c r="G403" i="21"/>
  <c r="AC42" i="34" s="1"/>
  <c r="G421" i="21"/>
  <c r="G313" i="21"/>
  <c r="S42" i="34" s="1"/>
  <c r="G412" i="21"/>
  <c r="AB42" i="34" s="1"/>
  <c r="G422" i="21"/>
  <c r="G431" i="21"/>
  <c r="G404" i="21"/>
  <c r="AC43" i="34" s="1"/>
  <c r="G314" i="21"/>
  <c r="S43" i="34" s="1"/>
  <c r="G413" i="21"/>
  <c r="AB43" i="34" s="1"/>
  <c r="G323" i="21"/>
  <c r="G322" i="21"/>
  <c r="G304" i="21"/>
  <c r="G303" i="21"/>
  <c r="G321" i="21"/>
  <c r="C41" i="20"/>
  <c r="C47" i="20"/>
  <c r="C46" i="20"/>
  <c r="C45" i="20"/>
  <c r="C44" i="20"/>
  <c r="Q42" i="34"/>
  <c r="C38" i="20"/>
  <c r="C34" i="20"/>
  <c r="C57" i="20"/>
  <c r="C59" i="20"/>
  <c r="C61" i="20"/>
  <c r="C33" i="20"/>
  <c r="C60" i="20"/>
  <c r="C35" i="20"/>
  <c r="C31" i="20"/>
  <c r="C42" i="20"/>
  <c r="C43" i="20"/>
  <c r="C66" i="20"/>
  <c r="C64" i="20"/>
  <c r="C65" i="20"/>
  <c r="C39" i="20"/>
  <c r="C40" i="20"/>
  <c r="C37" i="20"/>
  <c r="C63" i="20"/>
  <c r="C25" i="20"/>
  <c r="B135" i="18"/>
  <c r="B117" i="18"/>
  <c r="B126" i="18"/>
  <c r="B109" i="18"/>
  <c r="H78" i="18"/>
  <c r="H79" i="18"/>
  <c r="H81" i="18"/>
  <c r="H80" i="18"/>
  <c r="B34" i="18"/>
  <c r="B56" i="18"/>
  <c r="B45" i="18"/>
  <c r="C56" i="20"/>
  <c r="C58" i="20"/>
  <c r="C26" i="20"/>
  <c r="C32" i="20"/>
  <c r="C30" i="20"/>
  <c r="B71" i="20"/>
  <c r="G6" i="20"/>
  <c r="C55" i="20"/>
  <c r="C54" i="20"/>
  <c r="C53" i="20"/>
  <c r="C62" i="20"/>
  <c r="C36" i="20"/>
  <c r="C29" i="20"/>
  <c r="C28" i="20"/>
  <c r="F29" i="18"/>
  <c r="R41" i="34" l="1"/>
  <c r="G4" i="25"/>
  <c r="R42" i="34"/>
  <c r="G5" i="25"/>
  <c r="H5" i="21"/>
  <c r="J12" i="20"/>
  <c r="D135" i="21"/>
  <c r="I12" i="20"/>
  <c r="I10" i="20"/>
  <c r="J10" i="20"/>
  <c r="H25" i="20"/>
  <c r="J14" i="20" s="1"/>
  <c r="H40" i="20"/>
  <c r="I40" i="20" s="1"/>
  <c r="H3" i="21" s="1"/>
  <c r="I39" i="20"/>
  <c r="H2" i="21" s="1"/>
  <c r="H41" i="20"/>
  <c r="I41" i="20" s="1"/>
  <c r="H22" i="20"/>
  <c r="H36" i="20"/>
  <c r="J141" i="21"/>
  <c r="J140" i="21"/>
  <c r="J132" i="21"/>
  <c r="H31" i="20"/>
  <c r="I31" i="20" s="1"/>
  <c r="E3" i="21" s="1"/>
  <c r="H29" i="20"/>
  <c r="I29" i="20" s="1"/>
  <c r="H30" i="20"/>
  <c r="I30" i="20" s="1"/>
  <c r="E2" i="21" s="1"/>
  <c r="H27" i="20"/>
  <c r="I27" i="20" s="1"/>
  <c r="B8" i="21" s="1"/>
  <c r="I34" i="20"/>
  <c r="E6" i="21" s="1"/>
  <c r="G285" i="21" s="1"/>
  <c r="P41" i="34" s="1"/>
  <c r="H37" i="20"/>
  <c r="D140" i="21"/>
  <c r="J133" i="21"/>
  <c r="D142" i="21"/>
  <c r="H15" i="20"/>
  <c r="I15" i="20" s="1"/>
  <c r="H17" i="20"/>
  <c r="I17" i="20" s="1"/>
  <c r="H38" i="20"/>
  <c r="I38" i="20" s="1"/>
  <c r="H16" i="20"/>
  <c r="I16" i="20" s="1"/>
  <c r="H32" i="20"/>
  <c r="I32" i="20" s="1"/>
  <c r="E4" i="21" s="1"/>
  <c r="I33" i="20"/>
  <c r="E5" i="21" s="1"/>
  <c r="G276" i="21" s="1"/>
  <c r="O41" i="34" s="1"/>
  <c r="H24" i="20"/>
  <c r="D11" i="32"/>
  <c r="D12" i="31"/>
  <c r="G95" i="31" s="1"/>
  <c r="W33" i="34" s="1"/>
  <c r="D14" i="29"/>
  <c r="D66" i="24"/>
  <c r="D69" i="23"/>
  <c r="D100" i="18"/>
  <c r="J134" i="21"/>
  <c r="D20" i="21"/>
  <c r="D14" i="32"/>
  <c r="D11" i="31"/>
  <c r="D13" i="29"/>
  <c r="D68" i="23"/>
  <c r="D99" i="18"/>
  <c r="D141" i="21"/>
  <c r="D14" i="24"/>
  <c r="D12" i="23"/>
  <c r="D22" i="21"/>
  <c r="H14" i="20"/>
  <c r="H11" i="20"/>
  <c r="D14" i="18"/>
  <c r="D136" i="21"/>
  <c r="D13" i="32"/>
  <c r="D12" i="29"/>
  <c r="D67" i="23"/>
  <c r="G148" i="23" s="1"/>
  <c r="W21" i="34" s="1"/>
  <c r="D13" i="24"/>
  <c r="D15" i="18"/>
  <c r="D23" i="21"/>
  <c r="H13" i="20"/>
  <c r="D14" i="30"/>
  <c r="D10" i="23"/>
  <c r="D21" i="21"/>
  <c r="D13" i="18"/>
  <c r="D13" i="33"/>
  <c r="D102" i="18"/>
  <c r="D11" i="24"/>
  <c r="D14" i="23"/>
  <c r="D11" i="18"/>
  <c r="D13" i="31"/>
  <c r="D101" i="18"/>
  <c r="D10" i="24"/>
  <c r="D12" i="32"/>
  <c r="G94" i="32" s="1"/>
  <c r="W12" i="34" s="1"/>
  <c r="D11" i="29"/>
  <c r="D66" i="23"/>
  <c r="D11" i="23"/>
  <c r="D15" i="21"/>
  <c r="D12" i="18"/>
  <c r="D14" i="33"/>
  <c r="D12" i="24"/>
  <c r="D16" i="21"/>
  <c r="D13" i="30"/>
  <c r="D69" i="24"/>
  <c r="D137" i="21"/>
  <c r="D17" i="21"/>
  <c r="D14" i="31"/>
  <c r="D12" i="30"/>
  <c r="D68" i="24"/>
  <c r="D18" i="21"/>
  <c r="D11" i="33"/>
  <c r="D11" i="30"/>
  <c r="D67" i="24"/>
  <c r="G150" i="24" s="1"/>
  <c r="W48" i="34" s="1"/>
  <c r="D13" i="23"/>
  <c r="D19" i="21"/>
  <c r="D12" i="33"/>
  <c r="D139" i="21"/>
  <c r="H26" i="20"/>
  <c r="I26" i="20" s="1"/>
  <c r="B7" i="21" s="1"/>
  <c r="H28" i="20"/>
  <c r="I28" i="20" s="1"/>
  <c r="B9" i="21" s="1"/>
  <c r="G150" i="23" l="1"/>
  <c r="W23" i="34" s="1"/>
  <c r="G149" i="23"/>
  <c r="W22" i="34" s="1"/>
  <c r="G366" i="21"/>
  <c r="Z395" i="21"/>
  <c r="H14" i="25" s="1"/>
  <c r="H12" i="25"/>
  <c r="R393" i="21"/>
  <c r="H8" i="25" s="1"/>
  <c r="R395" i="21"/>
  <c r="H10" i="25" s="1"/>
  <c r="Z394" i="21"/>
  <c r="H13" i="25" s="1"/>
  <c r="R394" i="21"/>
  <c r="H9" i="25" s="1"/>
  <c r="G127" i="21"/>
  <c r="H18" i="25" s="1"/>
  <c r="G126" i="21"/>
  <c r="H17" i="25" s="1"/>
  <c r="G125" i="21"/>
  <c r="H16" i="25" s="1"/>
  <c r="G357" i="21"/>
  <c r="G67" i="33"/>
  <c r="AA7" i="34" s="1"/>
  <c r="G68" i="33"/>
  <c r="AA8" i="34" s="1"/>
  <c r="G66" i="33"/>
  <c r="AA6" i="34" s="1"/>
  <c r="G68" i="30"/>
  <c r="AA28" i="34" s="1"/>
  <c r="G66" i="30"/>
  <c r="AA26" i="34" s="1"/>
  <c r="G67" i="30"/>
  <c r="AA27" i="34" s="1"/>
  <c r="G68" i="29"/>
  <c r="AA38" i="34" s="1"/>
  <c r="G67" i="29"/>
  <c r="AA37" i="34" s="1"/>
  <c r="G66" i="29"/>
  <c r="AA36" i="34" s="1"/>
  <c r="G95" i="30"/>
  <c r="W28" i="34" s="1"/>
  <c r="G93" i="32"/>
  <c r="W11" i="34" s="1"/>
  <c r="G95" i="32"/>
  <c r="W13" i="34" s="1"/>
  <c r="G94" i="29"/>
  <c r="W37" i="34" s="1"/>
  <c r="G155" i="18"/>
  <c r="AA17" i="34" s="1"/>
  <c r="G154" i="18"/>
  <c r="AA16" i="34" s="1"/>
  <c r="G156" i="18"/>
  <c r="AA18" i="34" s="1"/>
  <c r="G121" i="24"/>
  <c r="AA46" i="34" s="1"/>
  <c r="G123" i="24"/>
  <c r="AA48" i="34" s="1"/>
  <c r="G122" i="24"/>
  <c r="AA47" i="34" s="1"/>
  <c r="G94" i="30"/>
  <c r="W27" i="34" s="1"/>
  <c r="G148" i="24"/>
  <c r="W46" i="34" s="1"/>
  <c r="G183" i="18"/>
  <c r="W18" i="34" s="1"/>
  <c r="G95" i="29"/>
  <c r="W38" i="34" s="1"/>
  <c r="G181" i="18"/>
  <c r="W16" i="34" s="1"/>
  <c r="G94" i="33"/>
  <c r="W7" i="34" s="1"/>
  <c r="G149" i="24"/>
  <c r="W47" i="34" s="1"/>
  <c r="G67" i="32"/>
  <c r="AA12" i="34" s="1"/>
  <c r="G68" i="32"/>
  <c r="AA13" i="34" s="1"/>
  <c r="G66" i="32"/>
  <c r="AA11" i="34" s="1"/>
  <c r="G66" i="31"/>
  <c r="AA31" i="34" s="1"/>
  <c r="G68" i="31"/>
  <c r="AA33" i="34" s="1"/>
  <c r="G67" i="31"/>
  <c r="AA32" i="34" s="1"/>
  <c r="G95" i="33"/>
  <c r="W8" i="34" s="1"/>
  <c r="G94" i="31"/>
  <c r="W32" i="34" s="1"/>
  <c r="Z213" i="21"/>
  <c r="E12" i="25" s="1"/>
  <c r="Z214" i="21"/>
  <c r="E13" i="25" s="1"/>
  <c r="Z215" i="21"/>
  <c r="E14" i="25" s="1"/>
  <c r="R213" i="21"/>
  <c r="E8" i="25" s="1"/>
  <c r="R215" i="21"/>
  <c r="E10" i="25" s="1"/>
  <c r="R214" i="21"/>
  <c r="E9" i="25" s="1"/>
  <c r="G123" i="23"/>
  <c r="AA23" i="34" s="1"/>
  <c r="G121" i="23"/>
  <c r="AA21" i="34" s="1"/>
  <c r="G122" i="23"/>
  <c r="AA22" i="34" s="1"/>
  <c r="G182" i="18"/>
  <c r="W17" i="34" s="1"/>
  <c r="G93" i="29"/>
  <c r="W36" i="34" s="1"/>
  <c r="G93" i="30"/>
  <c r="W26" i="34" s="1"/>
  <c r="G93" i="31"/>
  <c r="W31" i="34" s="1"/>
  <c r="G93" i="33"/>
  <c r="W6" i="34" s="1"/>
  <c r="H4" i="21"/>
  <c r="G384" i="21" s="1"/>
  <c r="Z41" i="34" s="1"/>
  <c r="E3" i="30"/>
  <c r="E3" i="33"/>
  <c r="E3" i="31"/>
  <c r="E3" i="29"/>
  <c r="E3" i="18"/>
  <c r="E3" i="32"/>
  <c r="E3" i="24"/>
  <c r="E3" i="23"/>
  <c r="W41" i="34"/>
  <c r="B10" i="21"/>
  <c r="G242" i="21" s="1"/>
  <c r="K43" i="34" s="1"/>
  <c r="E5" i="23"/>
  <c r="E5" i="32"/>
  <c r="E5" i="31"/>
  <c r="E5" i="33"/>
  <c r="E5" i="24"/>
  <c r="E5" i="30"/>
  <c r="E5" i="18"/>
  <c r="E5" i="29"/>
  <c r="R233" i="21"/>
  <c r="F10" i="25" s="1"/>
  <c r="Z233" i="21"/>
  <c r="F14" i="25" s="1"/>
  <c r="Z231" i="21"/>
  <c r="F12" i="25" s="1"/>
  <c r="R232" i="21"/>
  <c r="F9" i="25" s="1"/>
  <c r="Z232" i="21"/>
  <c r="F13" i="25" s="1"/>
  <c r="R231" i="21"/>
  <c r="F8" i="25" s="1"/>
  <c r="I23" i="20"/>
  <c r="B4" i="32" s="1"/>
  <c r="G49" i="32" s="1"/>
  <c r="D12" i="34" s="1"/>
  <c r="G393" i="21"/>
  <c r="I25" i="20"/>
  <c r="B6" i="21" s="1"/>
  <c r="H46" i="21" s="1"/>
  <c r="I21" i="20"/>
  <c r="B2" i="33" s="1"/>
  <c r="G30" i="33" s="1"/>
  <c r="B6" i="34" s="1"/>
  <c r="G395" i="21"/>
  <c r="AA43" i="34" s="1"/>
  <c r="G394" i="21"/>
  <c r="AA42" i="34" s="1"/>
  <c r="I24" i="20"/>
  <c r="B5" i="23" s="1"/>
  <c r="G59" i="23" s="1"/>
  <c r="J13" i="20"/>
  <c r="I37" i="20"/>
  <c r="J17" i="20"/>
  <c r="G359" i="21"/>
  <c r="W43" i="34" s="1"/>
  <c r="G358" i="21"/>
  <c r="W42" i="34" s="1"/>
  <c r="I36" i="20"/>
  <c r="E8" i="21" s="1"/>
  <c r="G340" i="21" s="1"/>
  <c r="U42" i="34" s="1"/>
  <c r="J16" i="20"/>
  <c r="I22" i="20"/>
  <c r="B3" i="29" s="1"/>
  <c r="G39" i="29" s="1"/>
  <c r="C36" i="34" s="1"/>
  <c r="E7" i="21"/>
  <c r="J15" i="20"/>
  <c r="X41" i="34"/>
  <c r="G375" i="21"/>
  <c r="Y41" i="34" s="1"/>
  <c r="G367" i="21"/>
  <c r="X42" i="34" s="1"/>
  <c r="G368" i="21"/>
  <c r="X43" i="34" s="1"/>
  <c r="G386" i="21"/>
  <c r="Z43" i="34" s="1"/>
  <c r="G376" i="21"/>
  <c r="Y42" i="34" s="1"/>
  <c r="G377" i="21"/>
  <c r="Y43" i="34" s="1"/>
  <c r="G349" i="21"/>
  <c r="V42" i="34" s="1"/>
  <c r="G350" i="21"/>
  <c r="V43" i="34" s="1"/>
  <c r="G348" i="21"/>
  <c r="V41" i="34" s="1"/>
  <c r="G259" i="21"/>
  <c r="M42" i="34" s="1"/>
  <c r="G260" i="21"/>
  <c r="M43" i="34" s="1"/>
  <c r="G258" i="21"/>
  <c r="M41" i="34" s="1"/>
  <c r="G223" i="21"/>
  <c r="I42" i="34" s="1"/>
  <c r="G224" i="21"/>
  <c r="I43" i="34" s="1"/>
  <c r="G222" i="21"/>
  <c r="I41" i="34" s="1"/>
  <c r="G250" i="21"/>
  <c r="L42" i="34" s="1"/>
  <c r="G249" i="21"/>
  <c r="L41" i="34" s="1"/>
  <c r="G251" i="21"/>
  <c r="L43" i="34" s="1"/>
  <c r="G241" i="21"/>
  <c r="K42" i="34" s="1"/>
  <c r="G240" i="21"/>
  <c r="K41" i="34" s="1"/>
  <c r="G277" i="21"/>
  <c r="O42" i="34" s="1"/>
  <c r="G278" i="21"/>
  <c r="O43" i="34" s="1"/>
  <c r="G287" i="21"/>
  <c r="P43" i="34" s="1"/>
  <c r="G286" i="21"/>
  <c r="P42" i="34" s="1"/>
  <c r="B2" i="30"/>
  <c r="G30" i="30" s="1"/>
  <c r="B26" i="34" s="1"/>
  <c r="B2" i="23"/>
  <c r="G87" i="23" s="1"/>
  <c r="B23" i="34" s="1"/>
  <c r="B4" i="30"/>
  <c r="G50" i="30" s="1"/>
  <c r="D28" i="34" s="1"/>
  <c r="B4" i="24"/>
  <c r="G103" i="24" s="1"/>
  <c r="D46" i="34" s="1"/>
  <c r="G232" i="21"/>
  <c r="G233" i="21"/>
  <c r="G231" i="21"/>
  <c r="B4" i="21"/>
  <c r="G110" i="21" s="1"/>
  <c r="B4" i="31"/>
  <c r="G49" i="31" s="1"/>
  <c r="D32" i="34" s="1"/>
  <c r="G213" i="21"/>
  <c r="G214" i="21"/>
  <c r="G215" i="21"/>
  <c r="G55" i="21"/>
  <c r="G54" i="21"/>
  <c r="E18" i="25" s="1"/>
  <c r="G53" i="21"/>
  <c r="E17" i="25" s="1"/>
  <c r="G52" i="21"/>
  <c r="E16" i="25" s="1"/>
  <c r="H42" i="21"/>
  <c r="G56" i="21"/>
  <c r="G50" i="32"/>
  <c r="D13" i="34" s="1"/>
  <c r="G48" i="32"/>
  <c r="D11" i="34" s="1"/>
  <c r="G268" i="21"/>
  <c r="G269" i="21"/>
  <c r="G267" i="21"/>
  <c r="G62" i="21"/>
  <c r="F16" i="25" s="1"/>
  <c r="G65" i="21"/>
  <c r="G66" i="21"/>
  <c r="G63" i="21"/>
  <c r="F17" i="25" s="1"/>
  <c r="G64" i="21"/>
  <c r="F18" i="25" s="1"/>
  <c r="G76" i="21"/>
  <c r="H74" i="21"/>
  <c r="H72" i="21"/>
  <c r="H73" i="21"/>
  <c r="G72" i="21"/>
  <c r="H75" i="21"/>
  <c r="G75" i="21"/>
  <c r="H76" i="21"/>
  <c r="G73" i="21"/>
  <c r="G74" i="21"/>
  <c r="I13" i="20"/>
  <c r="I14" i="20"/>
  <c r="I11" i="20"/>
  <c r="G46" i="21" l="1"/>
  <c r="H44" i="21"/>
  <c r="G45" i="21"/>
  <c r="G204" i="21"/>
  <c r="Z205" i="21"/>
  <c r="D13" i="25" s="1"/>
  <c r="Z206" i="21"/>
  <c r="D14" i="25" s="1"/>
  <c r="R205" i="21"/>
  <c r="D9" i="25" s="1"/>
  <c r="Z204" i="21"/>
  <c r="D12" i="25" s="1"/>
  <c r="R206" i="21"/>
  <c r="D10" i="25" s="1"/>
  <c r="R204" i="21"/>
  <c r="AA41" i="34"/>
  <c r="H4" i="25" a="1"/>
  <c r="H4" i="25" s="1"/>
  <c r="G44" i="21"/>
  <c r="D18" i="25" s="1"/>
  <c r="H45" i="21"/>
  <c r="H43" i="21"/>
  <c r="G43" i="21"/>
  <c r="D17" i="25" s="1"/>
  <c r="G206" i="21"/>
  <c r="G330" i="21"/>
  <c r="T41" i="34" s="1"/>
  <c r="G42" i="21"/>
  <c r="D16" i="25" s="1"/>
  <c r="G205" i="21"/>
  <c r="G42" i="34" s="1"/>
  <c r="B2" i="24"/>
  <c r="G30" i="24" s="1"/>
  <c r="B2" i="21"/>
  <c r="G82" i="21" s="1"/>
  <c r="B16" i="25" s="1"/>
  <c r="B2" i="29"/>
  <c r="G30" i="29" s="1"/>
  <c r="B36" i="34" s="1"/>
  <c r="B2" i="18"/>
  <c r="G39" i="18" s="1"/>
  <c r="B2" i="32"/>
  <c r="G31" i="32" s="1"/>
  <c r="B12" i="34" s="1"/>
  <c r="B2" i="31"/>
  <c r="G30" i="31" s="1"/>
  <c r="B31" i="34" s="1"/>
  <c r="G104" i="32"/>
  <c r="Z13" i="34" s="1"/>
  <c r="G103" i="32"/>
  <c r="Z12" i="34" s="1"/>
  <c r="G102" i="32"/>
  <c r="Z11" i="34" s="1"/>
  <c r="G192" i="18"/>
  <c r="Z18" i="34" s="1"/>
  <c r="G190" i="18"/>
  <c r="Z16" i="34" s="1"/>
  <c r="G191" i="18"/>
  <c r="Z17" i="34" s="1"/>
  <c r="G102" i="29"/>
  <c r="Z36" i="34" s="1"/>
  <c r="G104" i="29"/>
  <c r="Z38" i="34" s="1"/>
  <c r="G103" i="29"/>
  <c r="Z37" i="34" s="1"/>
  <c r="G385" i="21"/>
  <c r="Z42" i="34" s="1"/>
  <c r="G102" i="31"/>
  <c r="Z31" i="34" s="1"/>
  <c r="G104" i="31"/>
  <c r="Z33" i="34" s="1"/>
  <c r="G103" i="31"/>
  <c r="Z32" i="34" s="1"/>
  <c r="G103" i="33"/>
  <c r="Z7" i="34" s="1"/>
  <c r="G102" i="33"/>
  <c r="Z6" i="34" s="1"/>
  <c r="G104" i="33"/>
  <c r="Z8" i="34" s="1"/>
  <c r="G103" i="30"/>
  <c r="Z27" i="34" s="1"/>
  <c r="G104" i="30"/>
  <c r="Z28" i="34" s="1"/>
  <c r="G102" i="30"/>
  <c r="Z26" i="34" s="1"/>
  <c r="G159" i="23"/>
  <c r="Z23" i="34" s="1"/>
  <c r="G157" i="23"/>
  <c r="Z21" i="34" s="1"/>
  <c r="G158" i="23"/>
  <c r="Z22" i="34" s="1"/>
  <c r="G158" i="24"/>
  <c r="Z47" i="34" s="1"/>
  <c r="G157" i="24"/>
  <c r="Z46" i="34" s="1"/>
  <c r="G159" i="24"/>
  <c r="Z48" i="34" s="1"/>
  <c r="G209" i="18"/>
  <c r="K17" i="34" s="1"/>
  <c r="G210" i="18"/>
  <c r="K18" i="34" s="1"/>
  <c r="G208" i="18"/>
  <c r="K16" i="34" s="1"/>
  <c r="G121" i="30"/>
  <c r="K27" i="34" s="1"/>
  <c r="G122" i="30"/>
  <c r="K28" i="34" s="1"/>
  <c r="G120" i="30"/>
  <c r="K26" i="34" s="1"/>
  <c r="G121" i="33"/>
  <c r="K7" i="34" s="1"/>
  <c r="G122" i="33"/>
  <c r="K8" i="34" s="1"/>
  <c r="G120" i="33"/>
  <c r="K6" i="34" s="1"/>
  <c r="G122" i="31"/>
  <c r="K33" i="34" s="1"/>
  <c r="G120" i="31"/>
  <c r="K31" i="34" s="1"/>
  <c r="G121" i="31"/>
  <c r="K32" i="34" s="1"/>
  <c r="G122" i="32"/>
  <c r="K13" i="34" s="1"/>
  <c r="G121" i="32"/>
  <c r="K12" i="34" s="1"/>
  <c r="G120" i="32"/>
  <c r="K11" i="34" s="1"/>
  <c r="G175" i="23"/>
  <c r="K21" i="34" s="1"/>
  <c r="G176" i="23"/>
  <c r="K22" i="34" s="1"/>
  <c r="G177" i="23"/>
  <c r="K23" i="34" s="1"/>
  <c r="G176" i="24"/>
  <c r="K47" i="34" s="1"/>
  <c r="G175" i="24"/>
  <c r="K46" i="34" s="1"/>
  <c r="G177" i="24"/>
  <c r="K48" i="34" s="1"/>
  <c r="G122" i="29"/>
  <c r="K38" i="34" s="1"/>
  <c r="G121" i="29"/>
  <c r="K37" i="34" s="1"/>
  <c r="G120" i="29"/>
  <c r="K36" i="34" s="1"/>
  <c r="B4" i="23"/>
  <c r="G50" i="23" s="1"/>
  <c r="B4" i="29"/>
  <c r="G48" i="29" s="1"/>
  <c r="D36" i="34" s="1"/>
  <c r="B4" i="18"/>
  <c r="G136" i="18" s="1"/>
  <c r="D16" i="34" s="1"/>
  <c r="B4" i="33"/>
  <c r="G48" i="33" s="1"/>
  <c r="D6" i="34" s="1"/>
  <c r="T58" i="18"/>
  <c r="G41" i="34"/>
  <c r="F4" i="25"/>
  <c r="J41" i="34"/>
  <c r="E6" i="25"/>
  <c r="H43" i="34"/>
  <c r="D5" i="25"/>
  <c r="F6" i="25"/>
  <c r="J43" i="34"/>
  <c r="F5" i="25"/>
  <c r="J42" i="34"/>
  <c r="E5" i="25"/>
  <c r="H42" i="34"/>
  <c r="D6" i="25"/>
  <c r="G43" i="34"/>
  <c r="N41" i="34"/>
  <c r="E4" i="25"/>
  <c r="H41" i="34"/>
  <c r="N43" i="34"/>
  <c r="N42" i="34"/>
  <c r="B3" i="31"/>
  <c r="G40" i="31" s="1"/>
  <c r="C32" i="34" s="1"/>
  <c r="B3" i="21"/>
  <c r="G91" i="21" s="1"/>
  <c r="B3" i="30"/>
  <c r="G39" i="30" s="1"/>
  <c r="C26" i="34" s="1"/>
  <c r="B3" i="23"/>
  <c r="G39" i="23" s="1"/>
  <c r="B3" i="32"/>
  <c r="G41" i="32" s="1"/>
  <c r="C13" i="34" s="1"/>
  <c r="G339" i="21"/>
  <c r="U41" i="34" s="1"/>
  <c r="B3" i="33"/>
  <c r="G40" i="33" s="1"/>
  <c r="C7" i="34" s="1"/>
  <c r="B3" i="18"/>
  <c r="G50" i="18" s="1"/>
  <c r="B3" i="24"/>
  <c r="G39" i="24" s="1"/>
  <c r="K10" i="20" a="1"/>
  <c r="K10" i="20" s="1"/>
  <c r="G341" i="21"/>
  <c r="U43" i="34" s="1"/>
  <c r="B5" i="24"/>
  <c r="G112" i="24" s="1"/>
  <c r="E46" i="34" s="1"/>
  <c r="B5" i="18"/>
  <c r="G145" i="18" s="1"/>
  <c r="E16" i="34" s="1"/>
  <c r="B5" i="33"/>
  <c r="G58" i="33" s="1"/>
  <c r="E7" i="34" s="1"/>
  <c r="B5" i="29"/>
  <c r="B5" i="21"/>
  <c r="G195" i="21" s="1"/>
  <c r="F41" i="34" s="1"/>
  <c r="B5" i="31"/>
  <c r="G59" i="31" s="1"/>
  <c r="E33" i="34" s="1"/>
  <c r="B5" i="30"/>
  <c r="G57" i="30" s="1"/>
  <c r="E26" i="34" s="1"/>
  <c r="B5" i="32"/>
  <c r="G58" i="32" s="1"/>
  <c r="E12" i="34" s="1"/>
  <c r="G331" i="21"/>
  <c r="T42" i="34" s="1"/>
  <c r="G332" i="21"/>
  <c r="T43" i="34" s="1"/>
  <c r="G161" i="21"/>
  <c r="B41" i="34" s="1"/>
  <c r="H57" i="18"/>
  <c r="H60" i="18"/>
  <c r="G57" i="18"/>
  <c r="T35" i="18"/>
  <c r="G92" i="18"/>
  <c r="AB36" i="18"/>
  <c r="T34" i="18"/>
  <c r="G36" i="18"/>
  <c r="G90" i="18"/>
  <c r="G104" i="23"/>
  <c r="D22" i="34" s="1"/>
  <c r="T36" i="18"/>
  <c r="G48" i="30"/>
  <c r="D26" i="34" s="1"/>
  <c r="AB35" i="18"/>
  <c r="G49" i="29"/>
  <c r="D37" i="34" s="1"/>
  <c r="H35" i="18"/>
  <c r="G37" i="18"/>
  <c r="G32" i="29"/>
  <c r="B38" i="34" s="1"/>
  <c r="G49" i="30"/>
  <c r="D27" i="34" s="1"/>
  <c r="G50" i="29"/>
  <c r="D38" i="34" s="1"/>
  <c r="G38" i="18"/>
  <c r="G91" i="18"/>
  <c r="G58" i="31"/>
  <c r="E32" i="34" s="1"/>
  <c r="G120" i="18"/>
  <c r="B18" i="34" s="1"/>
  <c r="G32" i="33"/>
  <c r="B8" i="34" s="1"/>
  <c r="G31" i="24"/>
  <c r="G48" i="23"/>
  <c r="T56" i="18"/>
  <c r="G35" i="18"/>
  <c r="G59" i="32"/>
  <c r="E13" i="34" s="1"/>
  <c r="G118" i="18"/>
  <c r="B16" i="34" s="1"/>
  <c r="G49" i="23"/>
  <c r="G58" i="18"/>
  <c r="AB34" i="18"/>
  <c r="G83" i="21"/>
  <c r="G119" i="18"/>
  <c r="B17" i="34" s="1"/>
  <c r="H61" i="18"/>
  <c r="G57" i="31"/>
  <c r="E31" i="34" s="1"/>
  <c r="H59" i="18"/>
  <c r="G138" i="18"/>
  <c r="D18" i="34" s="1"/>
  <c r="AB58" i="18"/>
  <c r="G137" i="18"/>
  <c r="D17" i="34" s="1"/>
  <c r="AB56" i="18"/>
  <c r="H58" i="18"/>
  <c r="G60" i="18"/>
  <c r="G59" i="18"/>
  <c r="AB57" i="18"/>
  <c r="T57" i="18"/>
  <c r="G61" i="18"/>
  <c r="G109" i="21"/>
  <c r="G111" i="21"/>
  <c r="G49" i="24"/>
  <c r="G48" i="24"/>
  <c r="G50" i="24"/>
  <c r="G32" i="23"/>
  <c r="G180" i="21"/>
  <c r="G181" i="21"/>
  <c r="G179" i="21"/>
  <c r="D41" i="34" s="1"/>
  <c r="G105" i="23"/>
  <c r="D23" i="34" s="1"/>
  <c r="G101" i="21"/>
  <c r="G100" i="21"/>
  <c r="G49" i="33"/>
  <c r="D7" i="34" s="1"/>
  <c r="G102" i="21"/>
  <c r="G103" i="23"/>
  <c r="D21" i="34" s="1"/>
  <c r="G50" i="33"/>
  <c r="D8" i="34" s="1"/>
  <c r="G105" i="24"/>
  <c r="D48" i="34" s="1"/>
  <c r="G39" i="31"/>
  <c r="C31" i="34" s="1"/>
  <c r="G104" i="24"/>
  <c r="D47" i="34" s="1"/>
  <c r="G31" i="29"/>
  <c r="B37" i="34" s="1"/>
  <c r="G31" i="33"/>
  <c r="B7" i="34" s="1"/>
  <c r="G32" i="24"/>
  <c r="G85" i="24"/>
  <c r="B46" i="34" s="1"/>
  <c r="G39" i="32"/>
  <c r="C11" i="34" s="1"/>
  <c r="G40" i="29"/>
  <c r="C37" i="34" s="1"/>
  <c r="G86" i="24"/>
  <c r="B47" i="34" s="1"/>
  <c r="G87" i="24"/>
  <c r="B48" i="34" s="1"/>
  <c r="G96" i="23"/>
  <c r="C23" i="34" s="1"/>
  <c r="G46" i="18"/>
  <c r="T46" i="18"/>
  <c r="G41" i="24"/>
  <c r="AB45" i="18"/>
  <c r="G162" i="21"/>
  <c r="G47" i="18"/>
  <c r="G30" i="32"/>
  <c r="B11" i="34" s="1"/>
  <c r="G32" i="32"/>
  <c r="B13" i="34" s="1"/>
  <c r="G114" i="24"/>
  <c r="E48" i="34" s="1"/>
  <c r="G48" i="31"/>
  <c r="D31" i="34" s="1"/>
  <c r="G58" i="23"/>
  <c r="G58" i="24"/>
  <c r="G57" i="23"/>
  <c r="G129" i="18"/>
  <c r="C18" i="34" s="1"/>
  <c r="G114" i="23"/>
  <c r="E23" i="34" s="1"/>
  <c r="G39" i="33"/>
  <c r="C6" i="34" s="1"/>
  <c r="G112" i="23"/>
  <c r="E21" i="34" s="1"/>
  <c r="G41" i="29"/>
  <c r="C38" i="34" s="1"/>
  <c r="G40" i="23"/>
  <c r="G113" i="23"/>
  <c r="E22" i="34" s="1"/>
  <c r="G48" i="18"/>
  <c r="G57" i="24"/>
  <c r="G31" i="23"/>
  <c r="G41" i="23"/>
  <c r="G40" i="24"/>
  <c r="G95" i="23"/>
  <c r="C22" i="34" s="1"/>
  <c r="G96" i="24"/>
  <c r="C48" i="34" s="1"/>
  <c r="G41" i="31"/>
  <c r="C33" i="34" s="1"/>
  <c r="G58" i="29"/>
  <c r="E37" i="34" s="1"/>
  <c r="G32" i="31"/>
  <c r="B33" i="34" s="1"/>
  <c r="G86" i="23"/>
  <c r="B22" i="34" s="1"/>
  <c r="G32" i="30"/>
  <c r="B28" i="34" s="1"/>
  <c r="G95" i="24"/>
  <c r="C47" i="34" s="1"/>
  <c r="G41" i="30"/>
  <c r="C28" i="34" s="1"/>
  <c r="G31" i="31"/>
  <c r="B32" i="34" s="1"/>
  <c r="G85" i="23"/>
  <c r="B21" i="34" s="1"/>
  <c r="G31" i="30"/>
  <c r="B27" i="34" s="1"/>
  <c r="G94" i="24"/>
  <c r="C46" i="34" s="1"/>
  <c r="G30" i="23"/>
  <c r="G57" i="32"/>
  <c r="E11" i="34" s="1"/>
  <c r="G94" i="23"/>
  <c r="C21" i="34" s="1"/>
  <c r="G50" i="31"/>
  <c r="D33" i="34" s="1"/>
  <c r="G127" i="18"/>
  <c r="C16" i="34" s="1"/>
  <c r="H39" i="18"/>
  <c r="H38" i="18"/>
  <c r="H49" i="18"/>
  <c r="H37" i="18"/>
  <c r="H36" i="18"/>
  <c r="D4" i="25" l="1"/>
  <c r="G208" i="21"/>
  <c r="D8" i="25"/>
  <c r="R207" i="21"/>
  <c r="G171" i="21"/>
  <c r="C5" i="25" s="1"/>
  <c r="G92" i="21"/>
  <c r="C17" i="25" s="1"/>
  <c r="Z188" i="21"/>
  <c r="R188" i="21"/>
  <c r="R161" i="21"/>
  <c r="B8" i="25" s="1"/>
  <c r="R162" i="21"/>
  <c r="B9" i="25" s="1"/>
  <c r="R163" i="21"/>
  <c r="B10" i="25" s="1"/>
  <c r="Z163" i="21"/>
  <c r="B14" i="25" s="1"/>
  <c r="Z161" i="21"/>
  <c r="B12" i="25" s="1"/>
  <c r="Z162" i="21"/>
  <c r="B13" i="25" s="1"/>
  <c r="G170" i="21"/>
  <c r="C41" i="34" s="1"/>
  <c r="Z171" i="21"/>
  <c r="C13" i="25" s="1"/>
  <c r="R172" i="21"/>
  <c r="C10" i="25" s="1"/>
  <c r="Z172" i="21"/>
  <c r="C14" i="25" s="1"/>
  <c r="R170" i="21"/>
  <c r="C8" i="25" s="1"/>
  <c r="R171" i="21"/>
  <c r="C9" i="25" s="1"/>
  <c r="Z170" i="21"/>
  <c r="C12" i="25" s="1"/>
  <c r="G93" i="21"/>
  <c r="C18" i="25" s="1"/>
  <c r="G172" i="21"/>
  <c r="C43" i="34" s="1"/>
  <c r="G163" i="21"/>
  <c r="G84" i="21"/>
  <c r="B18" i="25" s="1"/>
  <c r="G40" i="30"/>
  <c r="C27" i="34" s="1"/>
  <c r="G58" i="30"/>
  <c r="E27" i="34" s="1"/>
  <c r="G59" i="30"/>
  <c r="E28" i="34" s="1"/>
  <c r="G196" i="21"/>
  <c r="F42" i="34" s="1"/>
  <c r="Z190" i="21"/>
  <c r="R190" i="21"/>
  <c r="Z189" i="21"/>
  <c r="R189" i="21"/>
  <c r="D42" i="34"/>
  <c r="D43" i="34"/>
  <c r="B5" i="25"/>
  <c r="B42" i="34"/>
  <c r="G188" i="21"/>
  <c r="G197" i="21"/>
  <c r="F43" i="34" s="1"/>
  <c r="G59" i="29"/>
  <c r="E38" i="34" s="1"/>
  <c r="G57" i="29"/>
  <c r="E36" i="34" s="1"/>
  <c r="G57" i="33"/>
  <c r="E6" i="34" s="1"/>
  <c r="G41" i="33"/>
  <c r="C8" i="34" s="1"/>
  <c r="G59" i="33"/>
  <c r="E8" i="34" s="1"/>
  <c r="G72" i="18"/>
  <c r="G40" i="32"/>
  <c r="C12" i="34" s="1"/>
  <c r="G146" i="18"/>
  <c r="E17" i="34" s="1"/>
  <c r="AB69" i="18"/>
  <c r="T67" i="18"/>
  <c r="G71" i="18"/>
  <c r="G190" i="21"/>
  <c r="G49" i="18"/>
  <c r="AB46" i="18"/>
  <c r="G70" i="18"/>
  <c r="T68" i="18"/>
  <c r="T69" i="18"/>
  <c r="G189" i="21"/>
  <c r="G128" i="18"/>
  <c r="C17" i="34" s="1"/>
  <c r="T47" i="18"/>
  <c r="T45" i="18"/>
  <c r="AB47" i="18"/>
  <c r="AB68" i="18"/>
  <c r="AB67" i="18"/>
  <c r="G113" i="24"/>
  <c r="E47" i="34" s="1"/>
  <c r="H68" i="18"/>
  <c r="G68" i="18"/>
  <c r="G59" i="24"/>
  <c r="G147" i="18"/>
  <c r="E18" i="34" s="1"/>
  <c r="G69" i="18"/>
  <c r="B17" i="25"/>
  <c r="B4" i="25"/>
  <c r="C16" i="25"/>
  <c r="C6" i="25"/>
  <c r="H48" i="18"/>
  <c r="H47" i="18"/>
  <c r="H46" i="18"/>
  <c r="H72" i="18"/>
  <c r="H70" i="18"/>
  <c r="H71" i="18"/>
  <c r="H69" i="18"/>
  <c r="H50" i="18"/>
  <c r="C42" i="34" l="1"/>
  <c r="C4" i="25"/>
  <c r="B43" i="34"/>
  <c r="B6" i="25"/>
  <c r="E43" i="34"/>
  <c r="E41" i="34"/>
  <c r="E42" i="3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<sst xmlns="http://schemas.openxmlformats.org/spreadsheetml/2006/main" count="2948" uniqueCount="423">
  <si>
    <t>mu (Ha)</t>
  </si>
  <si>
    <t>V SHE</t>
  </si>
  <si>
    <t>N</t>
  </si>
  <si>
    <t>no</t>
  </si>
  <si>
    <t>F (Ha)</t>
  </si>
  <si>
    <t>Ω (eV)</t>
  </si>
  <si>
    <t>Cu(111)-NO3</t>
  </si>
  <si>
    <r>
      <rPr>
        <b/>
        <sz val="11"/>
        <color theme="1"/>
        <rFont val="Times New Roman"/>
        <family val="1"/>
      </rPr>
      <t>Δ</t>
    </r>
    <r>
      <rPr>
        <b/>
        <sz val="11"/>
        <color theme="1"/>
        <rFont val="Calibri"/>
        <family val="2"/>
        <scheme val="minor"/>
      </rPr>
      <t>Ω (eV)</t>
    </r>
  </si>
  <si>
    <t>delG (kJ/mol)</t>
  </si>
  <si>
    <t>HNO3 (g)</t>
  </si>
  <si>
    <t>H2 (g)</t>
  </si>
  <si>
    <t>G (eV)</t>
  </si>
  <si>
    <t>pH</t>
  </si>
  <si>
    <t>eV</t>
  </si>
  <si>
    <t>delG (eV)</t>
  </si>
  <si>
    <t>HNO3</t>
  </si>
  <si>
    <t>CO2</t>
  </si>
  <si>
    <t>HNO2</t>
  </si>
  <si>
    <t>pKa</t>
  </si>
  <si>
    <t>CH3COOH</t>
  </si>
  <si>
    <t>Optimize lattice constant</t>
  </si>
  <si>
    <t>Functional: RPBE</t>
  </si>
  <si>
    <t>Pt</t>
  </si>
  <si>
    <t>Kgrid:12x12x12</t>
  </si>
  <si>
    <t>a (Å)</t>
  </si>
  <si>
    <t>E (Ha)</t>
  </si>
  <si>
    <t>delE (eV)</t>
  </si>
  <si>
    <t>delGsol (kJ/mol)</t>
  </si>
  <si>
    <t>CF3COOH</t>
  </si>
  <si>
    <t>CO2 (g)</t>
  </si>
  <si>
    <t>H2O (g)</t>
  </si>
  <si>
    <t>GC-DFT</t>
  </si>
  <si>
    <t>CHE</t>
  </si>
  <si>
    <t>Cu(111)-CO3</t>
  </si>
  <si>
    <t>Cu</t>
  </si>
  <si>
    <t>Standard thermodynamics from CRC handbook of chemistry and physics</t>
  </si>
  <si>
    <t>Neutral species</t>
  </si>
  <si>
    <t>Gibbs formation (kJ/mol)</t>
  </si>
  <si>
    <t>Standard State</t>
  </si>
  <si>
    <t>I.G. 298K 1bar</t>
  </si>
  <si>
    <t>H+ (aq)</t>
  </si>
  <si>
    <t>1 mol/kg 298K</t>
  </si>
  <si>
    <t>Aqueous ions</t>
  </si>
  <si>
    <t>HCO3- (aq)</t>
  </si>
  <si>
    <t>CO3-(2-) (aq)</t>
  </si>
  <si>
    <t>NO3- (aq)</t>
  </si>
  <si>
    <t>NO2- (aq)</t>
  </si>
  <si>
    <t>CH3COO- (aq)</t>
  </si>
  <si>
    <t>CH3COOH (g)</t>
  </si>
  <si>
    <t>HNO2 (g)</t>
  </si>
  <si>
    <t>Species</t>
  </si>
  <si>
    <t>delGdiss (kJ/mol)</t>
  </si>
  <si>
    <t>HCO3-</t>
  </si>
  <si>
    <t>CO2/H2CO3</t>
  </si>
  <si>
    <t>(Dave Evans and D. H. Ripin)</t>
  </si>
  <si>
    <t>RT (kJ/mol)</t>
  </si>
  <si>
    <t>Henry's constant</t>
  </si>
  <si>
    <t>Hcp (mol/m3/Pa)</t>
  </si>
  <si>
    <t>(Sander)</t>
  </si>
  <si>
    <t>pKa and solvation</t>
  </si>
  <si>
    <t>Thermodynamic cycles from aqueous to gas-phase</t>
  </si>
  <si>
    <t>Ions</t>
  </si>
  <si>
    <t>Gas species</t>
  </si>
  <si>
    <t>CO2 + H2O</t>
  </si>
  <si>
    <t>NO3- + H+</t>
  </si>
  <si>
    <t>NO2- + H+</t>
  </si>
  <si>
    <t>HCO3- + H+</t>
  </si>
  <si>
    <t>CO3(-2) + 2H+</t>
  </si>
  <si>
    <t>St. st. correction  (kJ/mol)</t>
  </si>
  <si>
    <t>I.G. to 1M</t>
  </si>
  <si>
    <t>CH3COO- + H+</t>
  </si>
  <si>
    <t>H2O self-solvation</t>
  </si>
  <si>
    <t>Pvap (Pa) @ 25C</t>
  </si>
  <si>
    <t>Molecules</t>
  </si>
  <si>
    <t>CO3(-2)</t>
  </si>
  <si>
    <t>NO3-</t>
  </si>
  <si>
    <t>NO2-</t>
  </si>
  <si>
    <t>Surfaces</t>
  </si>
  <si>
    <t>Cu(111)-NO2</t>
  </si>
  <si>
    <t>Thermocycles</t>
  </si>
  <si>
    <t>CH3COO-</t>
  </si>
  <si>
    <t>Cu(111) a=3.68 Å</t>
  </si>
  <si>
    <t>Pt(111) a=4.00 Å</t>
  </si>
  <si>
    <t>55.34M to 1M</t>
  </si>
  <si>
    <t>CF3COO- + H+</t>
  </si>
  <si>
    <t>CHCl2COOH</t>
  </si>
  <si>
    <t>CHCl2COO- + H+</t>
  </si>
  <si>
    <t>CH2OHCOOH</t>
  </si>
  <si>
    <t>CH2OHCOO- + H+</t>
  </si>
  <si>
    <t>Pt(111)-CH3COO</t>
  </si>
  <si>
    <t>Pt(111)-CH2OHCOO</t>
  </si>
  <si>
    <t>Pt(111)-CF3COO</t>
  </si>
  <si>
    <t>Pt(111)-CCl2HCOO</t>
  </si>
  <si>
    <t>CH2OHCOOH (g)</t>
  </si>
  <si>
    <t>CCl2HCOOH (g)</t>
  </si>
  <si>
    <t>CF3COOH (g)</t>
  </si>
  <si>
    <t>G_corr (eV)</t>
  </si>
  <si>
    <t>CF3COO-</t>
  </si>
  <si>
    <t>CH2OHCOO-</t>
  </si>
  <si>
    <t>CHCl2COO-</t>
  </si>
  <si>
    <t>V RHE</t>
  </si>
  <si>
    <t>Pt(111)-HCO3</t>
  </si>
  <si>
    <t>Pt(111)-CO3</t>
  </si>
  <si>
    <t>Pt(111)-NO3</t>
  </si>
  <si>
    <t>Pt(111)-NO2</t>
  </si>
  <si>
    <t>Explicit H2O tests</t>
  </si>
  <si>
    <t>HCO3</t>
  </si>
  <si>
    <t>CO3</t>
  </si>
  <si>
    <t>NO3</t>
  </si>
  <si>
    <t>NO2</t>
  </si>
  <si>
    <t>eps78-c1 + 1 H2O</t>
  </si>
  <si>
    <t>H2O (aq)</t>
  </si>
  <si>
    <t>F (eV)</t>
  </si>
  <si>
    <t>Cu(111)-HCO3 (eps78, c1) + 1 H2O</t>
  </si>
  <si>
    <t>Cu111</t>
  </si>
  <si>
    <t>Pt111</t>
  </si>
  <si>
    <t>Rh</t>
  </si>
  <si>
    <t>Cu(111)-HCO3</t>
  </si>
  <si>
    <t>eps78 c1</t>
  </si>
  <si>
    <t>eps10 c0.1</t>
  </si>
  <si>
    <t>eps3 c0.1</t>
  </si>
  <si>
    <t>Rh(111) a=3.87 Å</t>
  </si>
  <si>
    <t>Rh(111)-HCO3</t>
  </si>
  <si>
    <t>Rh(111)-CO3</t>
  </si>
  <si>
    <t>Rh(111)-NO3</t>
  </si>
  <si>
    <t>Rh(111)-NO2</t>
  </si>
  <si>
    <t>Rh111</t>
  </si>
  <si>
    <t>Au</t>
  </si>
  <si>
    <t>Au(111) a=4.20 Å</t>
  </si>
  <si>
    <t>Au(111)-HCO3</t>
  </si>
  <si>
    <t>Au(111)-CO3</t>
  </si>
  <si>
    <t>Au(111)-NO3</t>
  </si>
  <si>
    <t>Au(111)-NO2</t>
  </si>
  <si>
    <t>Pt-PBE-D3</t>
  </si>
  <si>
    <t>PBE-D3</t>
  </si>
  <si>
    <t>Pt(111) a=3.92 Å</t>
  </si>
  <si>
    <t>(0.0 V desorbed)</t>
  </si>
  <si>
    <t>RPBE</t>
  </si>
  <si>
    <t>Cu-PBE-D3</t>
  </si>
  <si>
    <t>Au-PBE-D3</t>
  </si>
  <si>
    <t>Rh-PBE-D3</t>
  </si>
  <si>
    <t>`</t>
  </si>
  <si>
    <t>Cu(111) a=3.57 Å</t>
  </si>
  <si>
    <t>Rh(111) a=3.80 Å</t>
  </si>
  <si>
    <t>Au(111) a=4.10 Å</t>
  </si>
  <si>
    <t>Au111</t>
  </si>
  <si>
    <t>Ir-PBE-D3</t>
  </si>
  <si>
    <t>Pd-PBE-D3</t>
  </si>
  <si>
    <t>Ag-PBE-D3</t>
  </si>
  <si>
    <t>Ni-PBE-D3</t>
  </si>
  <si>
    <t>Co-PBE-D3</t>
  </si>
  <si>
    <t>c (Å)</t>
  </si>
  <si>
    <t>c/a</t>
  </si>
  <si>
    <t>fcc</t>
  </si>
  <si>
    <t>Functional: PBE-D3</t>
  </si>
  <si>
    <t>hcp</t>
  </si>
  <si>
    <t>Ir(111) a=3.84 Å</t>
  </si>
  <si>
    <t>Ir(111)-HCO3</t>
  </si>
  <si>
    <t>Ir(111)-CO3</t>
  </si>
  <si>
    <t>Ir(111)-NO3</t>
  </si>
  <si>
    <t>Ir(111)-NO2</t>
  </si>
  <si>
    <t>Pd(111) a=3.90 Å</t>
  </si>
  <si>
    <t>Pd(111)-HCO3</t>
  </si>
  <si>
    <t>Pd(111)-CO3</t>
  </si>
  <si>
    <t>Pd(111)-NO3</t>
  </si>
  <si>
    <t>Pd(111)-NO2</t>
  </si>
  <si>
    <t>Ag(111) a=4.08 Å</t>
  </si>
  <si>
    <t>Ag(111)-HCO3</t>
  </si>
  <si>
    <t>Ag(111)-CO3</t>
  </si>
  <si>
    <t>Ag(111)-NO3</t>
  </si>
  <si>
    <t>Ag(111)-NO2</t>
  </si>
  <si>
    <t>Pt(111)-NO2 (biNO)</t>
  </si>
  <si>
    <t>Ha/atom</t>
  </si>
  <si>
    <t>Ni(111) a=3.48 Å</t>
  </si>
  <si>
    <t>Ni(111)-HCO3</t>
  </si>
  <si>
    <t>Ni(111)-CO3</t>
  </si>
  <si>
    <t>Ni(111)-NO3</t>
  </si>
  <si>
    <t>Ni(111)-NO2</t>
  </si>
  <si>
    <t>Co(111) a=3.49 Å</t>
  </si>
  <si>
    <t>Co(111)-HCO3</t>
  </si>
  <si>
    <t>Co(111)-CO3</t>
  </si>
  <si>
    <t>Co(111)-NO3</t>
  </si>
  <si>
    <t>Co(111)-NO2</t>
  </si>
  <si>
    <t>Pd111</t>
  </si>
  <si>
    <t>Ag111</t>
  </si>
  <si>
    <t>Formation Gibbs</t>
  </si>
  <si>
    <t>Uo_diss (V SHE)</t>
  </si>
  <si>
    <t>Pt(111)-F</t>
  </si>
  <si>
    <t>Pt(111)-Cl</t>
  </si>
  <si>
    <t>Pt(111)-I</t>
  </si>
  <si>
    <t>F2 (g)</t>
  </si>
  <si>
    <t>Cl2 (g)</t>
  </si>
  <si>
    <t>I2 (g)</t>
  </si>
  <si>
    <t>Ir111</t>
  </si>
  <si>
    <t>Ni111</t>
  </si>
  <si>
    <t>Co111</t>
  </si>
  <si>
    <t>COOHCOOH</t>
  </si>
  <si>
    <t>COOHCOO-</t>
  </si>
  <si>
    <t>COOHCOO- + H+</t>
  </si>
  <si>
    <t>COOCOO(-2) + 2H+</t>
  </si>
  <si>
    <t>SO2 (g)</t>
  </si>
  <si>
    <t>HSO3- (aq)</t>
  </si>
  <si>
    <t>SO3-(2-) (aq)</t>
  </si>
  <si>
    <t>HSO3- + H+</t>
  </si>
  <si>
    <t>SO3(-2) + 2H+</t>
  </si>
  <si>
    <t>SO2 + H2O</t>
  </si>
  <si>
    <t>SO2/H2SO3</t>
  </si>
  <si>
    <t>HSO3-</t>
  </si>
  <si>
    <t>SO2</t>
  </si>
  <si>
    <t>Pt(111)-COOHCOO</t>
  </si>
  <si>
    <t>Pt(111)-COOCOO</t>
  </si>
  <si>
    <t>Pt(111)-HSO3</t>
  </si>
  <si>
    <t>Pt(111)-SO3</t>
  </si>
  <si>
    <t>COOHCOOH (g)</t>
  </si>
  <si>
    <t>COOCOO(-2)</t>
  </si>
  <si>
    <t>SO3(-2)</t>
  </si>
  <si>
    <t>SCNH</t>
  </si>
  <si>
    <t>SCN- (aq)</t>
  </si>
  <si>
    <t>SCN- + H+</t>
  </si>
  <si>
    <t>isoSCNH</t>
  </si>
  <si>
    <t>isoSCNH (as SCNCH3)</t>
  </si>
  <si>
    <t>isoOCNH</t>
  </si>
  <si>
    <t>Can. J. Chem. 78: 1627–1628 (2000)</t>
  </si>
  <si>
    <t>OCN- + H+</t>
  </si>
  <si>
    <t>OCNH</t>
  </si>
  <si>
    <t>isoSCNH (g)</t>
  </si>
  <si>
    <t>Pt(111)-CClH2COO</t>
  </si>
  <si>
    <t>Pt(111)-CCl3COO</t>
  </si>
  <si>
    <t>Pt(111)-CFH2COO</t>
  </si>
  <si>
    <t>Pt(111)-CF2HCOO</t>
  </si>
  <si>
    <t>CClH2COOH (g)</t>
  </si>
  <si>
    <t>CCl3COOH (g)</t>
  </si>
  <si>
    <t>CFH2COOH (g)</t>
  </si>
  <si>
    <t>CF2HCOOH (g)</t>
  </si>
  <si>
    <t>CClH2COO-</t>
  </si>
  <si>
    <t>CCl3COO-</t>
  </si>
  <si>
    <t>CClH2COOH</t>
  </si>
  <si>
    <t>CClH2COO- + H+</t>
  </si>
  <si>
    <t>CCl3COOH</t>
  </si>
  <si>
    <t>CCl3COO- + H+</t>
  </si>
  <si>
    <t>CFH2COOH</t>
  </si>
  <si>
    <t>CF2HCOOH</t>
  </si>
  <si>
    <t>CFH2COO- + H+</t>
  </si>
  <si>
    <t>CF2HCOO- + H+</t>
  </si>
  <si>
    <t>CFH2COO-</t>
  </si>
  <si>
    <t>CF2HCOO-</t>
  </si>
  <si>
    <t>Br2 (g)</t>
  </si>
  <si>
    <t>Pt(111)-Br</t>
  </si>
  <si>
    <t>Pt(111)-SO4</t>
  </si>
  <si>
    <t>Pt(111)-HSO4</t>
  </si>
  <si>
    <t>Pt(111)-H2PO4</t>
  </si>
  <si>
    <t>Pt(111)-HPO4</t>
  </si>
  <si>
    <t>Pt(111)-PO4</t>
  </si>
  <si>
    <t>PH3 (g)</t>
  </si>
  <si>
    <t>H3PO4/H2PO4-</t>
  </si>
  <si>
    <t>HPO4-2/PO4-3</t>
  </si>
  <si>
    <t>H2PO4-/HPO4-2</t>
  </si>
  <si>
    <t>H2PO4- + H+</t>
  </si>
  <si>
    <t>H3PO4 (aq)</t>
  </si>
  <si>
    <t>HPO4-2 + 2H+</t>
  </si>
  <si>
    <t>PO4-3 +3H+</t>
  </si>
  <si>
    <t>H2PO4-</t>
  </si>
  <si>
    <t>HPO4-2</t>
  </si>
  <si>
    <t>PO4-3</t>
  </si>
  <si>
    <t>HSO4-</t>
  </si>
  <si>
    <t>Pt(111)-OH</t>
  </si>
  <si>
    <t>Pt(111)-H</t>
  </si>
  <si>
    <t>RMSE</t>
  </si>
  <si>
    <t>Pt(111)-CLO4</t>
  </si>
  <si>
    <t>OH- + H+</t>
  </si>
  <si>
    <t>H2O</t>
  </si>
  <si>
    <t>OH-</t>
  </si>
  <si>
    <t>delG (kJ/mol) from pka</t>
  </si>
  <si>
    <t>HClO4</t>
  </si>
  <si>
    <t>ClO4- + H+</t>
  </si>
  <si>
    <t>ClO4-</t>
  </si>
  <si>
    <t>Uo (V SHE)</t>
  </si>
  <si>
    <t>HClO4 (g)</t>
  </si>
  <si>
    <t>https://doi.org/10.1016/j.theochem.2009.03.029</t>
  </si>
  <si>
    <t>Pt(111)-CO2(linear)</t>
  </si>
  <si>
    <t>Co(111)-OH</t>
  </si>
  <si>
    <t>Co(111)-H</t>
  </si>
  <si>
    <t>Co(111)-Cl</t>
  </si>
  <si>
    <t>Co(111)-SO4</t>
  </si>
  <si>
    <t>Co(111)-PO4</t>
  </si>
  <si>
    <t>Co(111)-CH3COO</t>
  </si>
  <si>
    <t>Ni(111)-OH</t>
  </si>
  <si>
    <t>Ni(111)-H</t>
  </si>
  <si>
    <t>Ni(111)-Cl</t>
  </si>
  <si>
    <t>Ni(111)-SO4</t>
  </si>
  <si>
    <t>Ni(111)-PO4</t>
  </si>
  <si>
    <t>Ni(111)-CH3COO</t>
  </si>
  <si>
    <t>Pt(111)-CO2(bent)</t>
  </si>
  <si>
    <t>Cu(111)-OH</t>
  </si>
  <si>
    <t>Cu(111)-H</t>
  </si>
  <si>
    <t>Cu(111)-Cl</t>
  </si>
  <si>
    <t>Cu(111)-SO4</t>
  </si>
  <si>
    <t>Cu(111)-PO4</t>
  </si>
  <si>
    <t>Cu(111)-CH3COO</t>
  </si>
  <si>
    <t>Rh(111)-OH</t>
  </si>
  <si>
    <t>Rh(111)-H</t>
  </si>
  <si>
    <t>Rh(111)-Cl</t>
  </si>
  <si>
    <t>Rh(111)-SO4</t>
  </si>
  <si>
    <t>Rh(111)-PO4</t>
  </si>
  <si>
    <t>Rh(111)-CH3COO</t>
  </si>
  <si>
    <t>Pd(111)-OH</t>
  </si>
  <si>
    <t>Pd(111)-H</t>
  </si>
  <si>
    <t>Pd(111)-Cl</t>
  </si>
  <si>
    <t>Pd(111)-SO4</t>
  </si>
  <si>
    <t>Pd(111)-PO4</t>
  </si>
  <si>
    <t>Pd(111)-CH3COO</t>
  </si>
  <si>
    <t>Ag(111)-OH</t>
  </si>
  <si>
    <t>Ag(111)-H</t>
  </si>
  <si>
    <t>Ag(111)-Cl</t>
  </si>
  <si>
    <t>Ag(111)-SO4</t>
  </si>
  <si>
    <t>Ag(111)-PO4</t>
  </si>
  <si>
    <t>Ag(111)-CH3COO</t>
  </si>
  <si>
    <t>Ir(111)-OH</t>
  </si>
  <si>
    <t>Ir(111)-H</t>
  </si>
  <si>
    <t>Ir(111)-Cl</t>
  </si>
  <si>
    <t>Ir(111)-SO4</t>
  </si>
  <si>
    <t>Ir(111)-PO4</t>
  </si>
  <si>
    <t>Ir(111)-CH3COO</t>
  </si>
  <si>
    <t>Au(111)-OH</t>
  </si>
  <si>
    <t>Au(111)-H</t>
  </si>
  <si>
    <t>Au(111)-Cl</t>
  </si>
  <si>
    <t>Au(111)-SO4</t>
  </si>
  <si>
    <t>Au(111)-PO4</t>
  </si>
  <si>
    <t>Au(111)-CH3COO</t>
  </si>
  <si>
    <t>valence</t>
  </si>
  <si>
    <t>E(-1)</t>
  </si>
  <si>
    <t>E(0)</t>
  </si>
  <si>
    <t>E(-2)</t>
  </si>
  <si>
    <t>E(-3)</t>
  </si>
  <si>
    <t>valence z</t>
  </si>
  <si>
    <t>VASP</t>
  </si>
  <si>
    <t>mu_z (e.A)</t>
  </si>
  <si>
    <t>NWCHEM</t>
  </si>
  <si>
    <t>NO2 (0)</t>
  </si>
  <si>
    <t>PBE</t>
  </si>
  <si>
    <t>6-31+G**</t>
  </si>
  <si>
    <t>HF</t>
  </si>
  <si>
    <t>NO2 (-1)</t>
  </si>
  <si>
    <t>HCO3(-1)</t>
  </si>
  <si>
    <t>OH(-1)</t>
  </si>
  <si>
    <t>6.31+G**</t>
  </si>
  <si>
    <t>NO3(-1)</t>
  </si>
  <si>
    <t>SO4(-2)</t>
  </si>
  <si>
    <t>HSO4(-1)</t>
  </si>
  <si>
    <t>eHOMO in eV</t>
  </si>
  <si>
    <t>MP2(full)</t>
  </si>
  <si>
    <t>NO2(0)</t>
  </si>
  <si>
    <t>aug-cc-PVTZ</t>
  </si>
  <si>
    <t>CO3(0)</t>
  </si>
  <si>
    <t>SO3(0)</t>
  </si>
  <si>
    <t>eLUMO in eV</t>
  </si>
  <si>
    <t>Self</t>
  </si>
  <si>
    <t>EA(-1)</t>
  </si>
  <si>
    <t>Ehomolytic</t>
  </si>
  <si>
    <t>Eproton</t>
  </si>
  <si>
    <t>eHOMO(-1)</t>
  </si>
  <si>
    <t>eHOMO(-z)</t>
  </si>
  <si>
    <t>eHOMO(0)</t>
  </si>
  <si>
    <t>eLUMO(0)</t>
  </si>
  <si>
    <t>EA(-z)</t>
  </si>
  <si>
    <t>eHOMO(H)</t>
  </si>
  <si>
    <t>WF</t>
  </si>
  <si>
    <t>Co(111)-CCl3COO</t>
  </si>
  <si>
    <t>Ni(111)-CCl3COO</t>
  </si>
  <si>
    <t>Cu(111)-CCl3COO</t>
  </si>
  <si>
    <t>Rh(111)-CCl3COO</t>
  </si>
  <si>
    <t>Pd(111)-CCl3COO</t>
  </si>
  <si>
    <t>Ag(111)-CCl3COO</t>
  </si>
  <si>
    <t>Ir(111)-CCl3COO</t>
  </si>
  <si>
    <t>Au(111)-CCl3COO</t>
  </si>
  <si>
    <t>CO3--</t>
  </si>
  <si>
    <t>CCl2HCOO-</t>
  </si>
  <si>
    <t>COOCOO--</t>
  </si>
  <si>
    <t>F-</t>
  </si>
  <si>
    <t>Cl-</t>
  </si>
  <si>
    <t>Br-</t>
  </si>
  <si>
    <t>SO3--</t>
  </si>
  <si>
    <t>SO4--</t>
  </si>
  <si>
    <t>HPO4--</t>
  </si>
  <si>
    <t>PO4---</t>
  </si>
  <si>
    <t>H+</t>
  </si>
  <si>
    <t>NO2b-</t>
  </si>
  <si>
    <t>NO2a-</t>
  </si>
  <si>
    <t>Pt(111)-HCO3-eps10</t>
  </si>
  <si>
    <t>Pt(111)-HCO3-eps3</t>
  </si>
  <si>
    <t>Pt(111)-CO3-eps10</t>
  </si>
  <si>
    <t>Pt(111)-CO3-eps3</t>
  </si>
  <si>
    <t>Pt(111)-NO2-eps10</t>
  </si>
  <si>
    <t>Pt(111)-NO2-eps3</t>
  </si>
  <si>
    <t>Pt(111)-CH3COO-eps10</t>
  </si>
  <si>
    <t>Pt(111)-CH3COO-eps3</t>
  </si>
  <si>
    <t>Pt(111)-CH2OHCOO-eps10</t>
  </si>
  <si>
    <t>Pt(111)-CH2OHCOO-eps3</t>
  </si>
  <si>
    <t>Pt(111)-CCl2HCOO-eps10</t>
  </si>
  <si>
    <t>Pt(111)-CCl2HCOO-eps3</t>
  </si>
  <si>
    <t>Pt(111) a=3.92 Å-eps10</t>
  </si>
  <si>
    <t>Pt(111) a=3.92 Å-eps3</t>
  </si>
  <si>
    <t>PBE-D3 eps=78</t>
  </si>
  <si>
    <t>PBE-D3 eps=10</t>
  </si>
  <si>
    <t>PBE-D3 eps=3</t>
  </si>
  <si>
    <t>Pt(111)-Cl-eps10</t>
  </si>
  <si>
    <t>Pt(111)-Cl-eps3</t>
  </si>
  <si>
    <t>Pt(111)-OH-eps10</t>
  </si>
  <si>
    <t>Pt(111)-OH-eps3</t>
  </si>
  <si>
    <t>Pt(111) a=3.92 Å-5 layers</t>
  </si>
  <si>
    <t>Pt(111) a=3.92 Å-1 frozen</t>
  </si>
  <si>
    <t>Pt(111)-CH3COO-1-frozen</t>
  </si>
  <si>
    <t>Pt(111)-CH3COO-5layers</t>
  </si>
  <si>
    <t>sol</t>
  </si>
  <si>
    <t>0.0V</t>
  </si>
  <si>
    <t>0.8 V</t>
  </si>
  <si>
    <t>IG conc (M)</t>
  </si>
  <si>
    <t>Explicit H2O</t>
  </si>
  <si>
    <t>Pt(111)-OH-H2O-A</t>
  </si>
  <si>
    <t>Pt(111)-OH-H2O-B</t>
  </si>
  <si>
    <t>Pt(111)-H2O-A</t>
  </si>
  <si>
    <t>Pt(111)-H2O-B</t>
  </si>
  <si>
    <t>Pt(111)-H2O-OPT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</si>
</sst>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"/>
    <numFmt numFmtId="166" formatCode="0.0000"/>
    <numFmt numFmtId="167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1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8"/>
      <name val="Calibri"/>
      <family val="2"/>
      <scheme val="minor"/>
    </font>
    <font>
      <b/>
      <sz val="14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i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11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1" fontId="0" fillId="0" borderId="1" xfId="0" applyNumberFormat="1" applyBorder="1" applyAlignment="1">
      <alignment horizontal="center"/>
    </xf>
    <xf numFmtId="0" fontId="0" fillId="0" borderId="1" xfId="0" applyBorder="1"/>
    <xf numFmtId="0" fontId="0" fillId="3" borderId="1" xfId="0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165" fontId="0" fillId="2" borderId="3" xfId="0" applyNumberFormat="1" applyFill="1" applyBorder="1"/>
    <xf numFmtId="165" fontId="0" fillId="2" borderId="4" xfId="0" applyNumberFormat="1" applyFill="1" applyBorder="1"/>
    <xf numFmtId="166" fontId="0" fillId="3" borderId="1" xfId="0" applyNumberForma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6" fillId="0" borderId="0" xfId="1"/>
    <xf numFmtId="0" fontId="7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67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 vertical="center"/>
    </xf>
    <xf numFmtId="165" fontId="0" fillId="0" borderId="0" xfId="0" applyNumberFormat="1"/>
    <xf numFmtId="0" fontId="0" fillId="3" borderId="1" xfId="0" applyFill="1" applyBorder="1" applyAlignment="1">
      <alignment horizontal="center" vertical="center"/>
    </xf>
    <xf numFmtId="165" fontId="0" fillId="2" borderId="1" xfId="0" applyNumberFormat="1" applyFill="1" applyBorder="1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1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7" xfId="0" applyFont="1" applyBorder="1"/>
    <xf numFmtId="0" fontId="1" fillId="0" borderId="1" xfId="0" applyFont="1" applyBorder="1"/>
    <xf numFmtId="0" fontId="4" fillId="0" borderId="1" xfId="0" applyFont="1" applyBorder="1" applyAlignment="1">
      <alignment horizontal="center" vertical="center"/>
    </xf>
    <xf numFmtId="0" fontId="10" fillId="0" borderId="0" xfId="0" applyFont="1"/>
    <xf numFmtId="165" fontId="0" fillId="4" borderId="1" xfId="0" applyNumberFormat="1" applyFill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1" fillId="0" borderId="0" xfId="0" applyFont="1"/>
    <xf numFmtId="165" fontId="7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center"/>
    </xf>
    <xf numFmtId="0" fontId="1" fillId="0" borderId="2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11" fillId="0" borderId="0" xfId="0" applyFont="1"/>
    <xf numFmtId="0" fontId="4" fillId="0" borderId="5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8" fillId="0" borderId="0" xfId="0" applyFont="1" applyAlignment="1">
      <alignment horizontal="center"/>
    </xf>
    <xf numFmtId="165" fontId="0" fillId="2" borderId="2" xfId="0" applyNumberFormat="1" applyFill="1" applyBorder="1" applyAlignment="1">
      <alignment horizontal="center"/>
    </xf>
    <xf numFmtId="165" fontId="0" fillId="2" borderId="4" xfId="0" applyNumberFormat="1" applyFill="1" applyBorder="1" applyAlignment="1">
      <alignment horizontal="center"/>
    </xf>
    <xf numFmtId="165" fontId="0" fillId="2" borderId="3" xfId="0" applyNumberFormat="1" applyFill="1" applyBorder="1" applyAlignment="1">
      <alignment horizontal="center"/>
    </xf>
    <xf numFmtId="0" fontId="9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803149606299215E-2"/>
          <c:y val="8.8311354655927043E-2"/>
          <c:w val="0.86379047868771541"/>
          <c:h val="0.8439717183382373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279910011248594E-2"/>
                  <c:y val="5.7692293132371002E-2"/>
                </c:manualLayout>
              </c:layout>
              <c:tx>
                <c:rich>
                  <a:bodyPr/>
                  <a:lstStyle/>
                  <a:p>
                    <a:fld id="{5BC56E0D-4A83-401D-8184-5950D99306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DC1-443B-8FE7-C460FB8BAA4C}"/>
                </c:ext>
              </c:extLst>
            </c:dLbl>
            <c:dLbl>
              <c:idx val="1"/>
              <c:layout>
                <c:manualLayout>
                  <c:x val="-0.14009142857142856"/>
                  <c:y val="-3.8461528754914001E-2"/>
                </c:manualLayout>
              </c:layout>
              <c:tx>
                <c:rich>
                  <a:bodyPr/>
                  <a:lstStyle/>
                  <a:p>
                    <a:fld id="{18178A92-6F10-4764-A42B-98D06E7978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1DC1-443B-8FE7-C460FB8BAA4C}"/>
                </c:ext>
              </c:extLst>
            </c:dLbl>
            <c:dLbl>
              <c:idx val="2"/>
              <c:layout>
                <c:manualLayout>
                  <c:x val="-0.13193142857142856"/>
                  <c:y val="-3.8461528754914001E-2"/>
                </c:manualLayout>
              </c:layout>
              <c:tx>
                <c:rich>
                  <a:bodyPr/>
                  <a:lstStyle/>
                  <a:p>
                    <a:fld id="{2A7FF29B-D5AC-4692-BDFF-06D035F046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1DC1-443B-8FE7-C460FB8BAA4C}"/>
                </c:ext>
              </c:extLst>
            </c:dLbl>
            <c:dLbl>
              <c:idx val="3"/>
              <c:layout>
                <c:manualLayout>
                  <c:x val="-0.1456457142857143"/>
                  <c:y val="-5.7692293132371002E-2"/>
                </c:manualLayout>
              </c:layout>
              <c:tx>
                <c:rich>
                  <a:bodyPr/>
                  <a:lstStyle/>
                  <a:p>
                    <a:fld id="{BE3B5D50-8372-4711-AE0D-187FD1F966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C1-443B-8FE7-C460FB8BAA4C}"/>
                </c:ext>
              </c:extLst>
            </c:dLbl>
            <c:dLbl>
              <c:idx val="4"/>
              <c:layout>
                <c:manualLayout>
                  <c:x val="-0.2036000899887514"/>
                  <c:y val="-9.2948694491042178E-2"/>
                </c:manualLayout>
              </c:layout>
              <c:tx>
                <c:rich>
                  <a:bodyPr/>
                  <a:lstStyle/>
                  <a:p>
                    <a:fld id="{92101BE2-3937-46E6-9157-E50AC09D82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DC1-443B-8FE7-C460FB8BAA4C}"/>
                </c:ext>
              </c:extLst>
            </c:dLbl>
            <c:dLbl>
              <c:idx val="5"/>
              <c:layout>
                <c:manualLayout>
                  <c:x val="-3.5771428571428572E-2"/>
                  <c:y val="9.9358949283527717E-2"/>
                </c:manualLayout>
              </c:layout>
              <c:tx>
                <c:rich>
                  <a:bodyPr/>
                  <a:lstStyle/>
                  <a:p>
                    <a:fld id="{B9140D50-C7CB-406C-9D25-55AD7B38CD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C1-443B-8FE7-C460FB8BAA4C}"/>
                </c:ext>
              </c:extLst>
            </c:dLbl>
            <c:dLbl>
              <c:idx val="6"/>
              <c:layout>
                <c:manualLayout>
                  <c:x val="-0.10657133858267717"/>
                  <c:y val="0.12179484105722768"/>
                </c:manualLayout>
              </c:layout>
              <c:tx>
                <c:rich>
                  <a:bodyPr/>
                  <a:lstStyle/>
                  <a:p>
                    <a:fld id="{79BD35EE-4BE9-474D-BA37-6E7CB70022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C1-443B-8FE7-C460FB8BAA4C}"/>
                </c:ext>
              </c:extLst>
            </c:dLbl>
            <c:dLbl>
              <c:idx val="7"/>
              <c:layout>
                <c:manualLayout>
                  <c:x val="1.7977052868391449E-2"/>
                  <c:y val="1.2820509584971275E-2"/>
                </c:manualLayout>
              </c:layout>
              <c:tx>
                <c:rich>
                  <a:bodyPr/>
                  <a:lstStyle/>
                  <a:p>
                    <a:fld id="{8239B703-24DF-40DA-82AC-0A756E47A3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1DC1-443B-8FE7-C460FB8BAA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'Exp. thermo'!$H$10:$H$17</c:f>
              <c:numCache>
                <c:formatCode>0.00</c:formatCode>
                <c:ptCount val="8"/>
                <c:pt idx="0">
                  <c:v>-20.359885452893309</c:v>
                </c:pt>
                <c:pt idx="1">
                  <c:v>-79.359885452893309</c:v>
                </c:pt>
                <c:pt idx="2">
                  <c:v>45.720057273553358</c:v>
                </c:pt>
                <c:pt idx="3">
                  <c:v>-5.8799427264466377</c:v>
                </c:pt>
                <c:pt idx="4">
                  <c:v>3.0200572735533822</c:v>
                </c:pt>
                <c:pt idx="5">
                  <c:v>14.840114547106737</c:v>
                </c:pt>
                <c:pt idx="6">
                  <c:v>-26.359885452893309</c:v>
                </c:pt>
                <c:pt idx="7">
                  <c:v>28.220057273553358</c:v>
                </c:pt>
              </c:numCache>
            </c:numRef>
          </c:xVal>
          <c:yVal>
            <c:numRef>
              <c:f>'Exp. thermo'!$J$10:$J$17</c:f>
              <c:numCache>
                <c:formatCode>0.00</c:formatCode>
                <c:ptCount val="8"/>
                <c:pt idx="0">
                  <c:v>-21.734728704670637</c:v>
                </c:pt>
                <c:pt idx="1">
                  <c:v>-80.494378351070935</c:v>
                </c:pt>
                <c:pt idx="2">
                  <c:v>46.187626570107163</c:v>
                </c:pt>
                <c:pt idx="3">
                  <c:v>-1.5672994345608018</c:v>
                </c:pt>
                <c:pt idx="4">
                  <c:v>1.3468297902015607</c:v>
                </c:pt>
                <c:pt idx="5">
                  <c:v>12.67939719052516</c:v>
                </c:pt>
                <c:pt idx="6">
                  <c:v>-28.45235756195504</c:v>
                </c:pt>
                <c:pt idx="7">
                  <c:v>22.913119806804012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'Exp. thermo'!$F$10:$F$17</c15:f>
                <c15:dlblRangeCache>
                  <c:ptCount val="8"/>
                  <c:pt idx="0">
                    <c:v>HCO3- + H+</c:v>
                  </c:pt>
                  <c:pt idx="1">
                    <c:v>CO3(-2) + 2H+</c:v>
                  </c:pt>
                  <c:pt idx="2">
                    <c:v>NO3- + H+</c:v>
                  </c:pt>
                  <c:pt idx="3">
                    <c:v>NO2- + H+</c:v>
                  </c:pt>
                  <c:pt idx="4">
                    <c:v>CH3COO- + H+</c:v>
                  </c:pt>
                  <c:pt idx="5">
                    <c:v>HSO3- + H+</c:v>
                  </c:pt>
                  <c:pt idx="6">
                    <c:v>SO3(-2) + 2H+</c:v>
                  </c:pt>
                  <c:pt idx="7">
                    <c:v>SCN- + H+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1EC-422F-91A1-8B4728640372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-100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-100</c:v>
              </c:pt>
              <c:pt idx="1">
                <c:v>100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B1EC-422F-91A1-8B472864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972415"/>
        <c:axId val="475972895"/>
      </c:scatterChart>
      <c:valAx>
        <c:axId val="475972415"/>
        <c:scaling>
          <c:orientation val="minMax"/>
        </c:scaling>
        <c:delete val="0"/>
        <c:axPos val="b"/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72895"/>
        <c:crosses val="autoZero"/>
        <c:crossBetween val="midCat"/>
      </c:valAx>
      <c:valAx>
        <c:axId val="475972895"/>
        <c:scaling>
          <c:orientation val="minMax"/>
        </c:scaling>
        <c:delete val="0"/>
        <c:axPos val="l"/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7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Pt</a:t>
            </a:r>
          </a:p>
        </c:rich>
      </c:tx>
      <c:layout>
        <c:manualLayout>
          <c:xMode val="edge"/>
          <c:yMode val="edge"/>
          <c:x val="0.51666275758083435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'Metal bulks'!$A$6:$A$22</c:f>
              <c:numCache>
                <c:formatCode>General</c:formatCode>
                <c:ptCount val="17"/>
                <c:pt idx="0">
                  <c:v>3.9</c:v>
                </c:pt>
                <c:pt idx="1">
                  <c:v>3.91</c:v>
                </c:pt>
                <c:pt idx="2">
                  <c:v>3.92</c:v>
                </c:pt>
                <c:pt idx="3">
                  <c:v>3.93</c:v>
                </c:pt>
                <c:pt idx="4">
                  <c:v>3.94</c:v>
                </c:pt>
                <c:pt idx="5">
                  <c:v>3.95</c:v>
                </c:pt>
                <c:pt idx="6">
                  <c:v>3.96</c:v>
                </c:pt>
                <c:pt idx="7">
                  <c:v>3.97</c:v>
                </c:pt>
                <c:pt idx="8">
                  <c:v>3.98</c:v>
                </c:pt>
                <c:pt idx="9">
                  <c:v>3.99</c:v>
                </c:pt>
                <c:pt idx="10">
                  <c:v>4</c:v>
                </c:pt>
                <c:pt idx="11">
                  <c:v>4.01</c:v>
                </c:pt>
                <c:pt idx="12">
                  <c:v>4.0199999999999996</c:v>
                </c:pt>
                <c:pt idx="13">
                  <c:v>4.03</c:v>
                </c:pt>
                <c:pt idx="14">
                  <c:v>4.04</c:v>
                </c:pt>
                <c:pt idx="15">
                  <c:v>4.05</c:v>
                </c:pt>
                <c:pt idx="16">
                  <c:v>4.0999999999999996</c:v>
                </c:pt>
              </c:numCache>
            </c:numRef>
          </c:xVal>
          <c:yVal>
            <c:numRef>
              <c:f>'Metal bulks'!$C$6:$C$22</c:f>
              <c:numCache>
                <c:formatCode>0.000</c:formatCode>
                <c:ptCount val="17"/>
                <c:pt idx="0">
                  <c:v>6.5313434493182179E-2</c:v>
                </c:pt>
                <c:pt idx="1">
                  <c:v>5.1811730268158308E-2</c:v>
                </c:pt>
                <c:pt idx="2">
                  <c:v>3.9962058567106364E-2</c:v>
                </c:pt>
                <c:pt idx="3">
                  <c:v>2.9813370873502082E-2</c:v>
                </c:pt>
                <c:pt idx="4">
                  <c:v>2.1232505632473846E-2</c:v>
                </c:pt>
                <c:pt idx="5">
                  <c:v>1.4199437950337995E-2</c:v>
                </c:pt>
                <c:pt idx="6">
                  <c:v>8.6218821354076738E-3</c:v>
                </c:pt>
                <c:pt idx="7">
                  <c:v>4.448820847610827E-3</c:v>
                </c:pt>
                <c:pt idx="8">
                  <c:v>1.6616947917034452E-3</c:v>
                </c:pt>
                <c:pt idx="9">
                  <c:v>1.4327839953065508E-4</c:v>
                </c:pt>
                <c:pt idx="10">
                  <c:v>0</c:v>
                </c:pt>
                <c:pt idx="11">
                  <c:v>1.0949512929891228E-3</c:v>
                </c:pt>
                <c:pt idx="12">
                  <c:v>3.3508980751029527E-3</c:v>
                </c:pt>
                <c:pt idx="13">
                  <c:v>6.8259795129054146E-3</c:v>
                </c:pt>
                <c:pt idx="14">
                  <c:v>1.1367626541659093E-2</c:v>
                </c:pt>
                <c:pt idx="15">
                  <c:v>1.7103150155799579E-2</c:v>
                </c:pt>
                <c:pt idx="16">
                  <c:v>6.0389413108745273E-2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5-4558-BBA2-BB5BB0947FE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bulks'!$A$38:$A$58</c:f>
              <c:numCache>
                <c:formatCode>General</c:formatCode>
                <c:ptCount val="21"/>
                <c:pt idx="0">
                  <c:v>3.9</c:v>
                </c:pt>
                <c:pt idx="1">
                  <c:v>3.91</c:v>
                </c:pt>
                <c:pt idx="2">
                  <c:v>3.92</c:v>
                </c:pt>
                <c:pt idx="3">
                  <c:v>3.93</c:v>
                </c:pt>
                <c:pt idx="4">
                  <c:v>3.94</c:v>
                </c:pt>
                <c:pt idx="5">
                  <c:v>3.95</c:v>
                </c:pt>
                <c:pt idx="6">
                  <c:v>3.96</c:v>
                </c:pt>
                <c:pt idx="7">
                  <c:v>3.97</c:v>
                </c:pt>
                <c:pt idx="8">
                  <c:v>3.98</c:v>
                </c:pt>
                <c:pt idx="9">
                  <c:v>3.99</c:v>
                </c:pt>
                <c:pt idx="10">
                  <c:v>4</c:v>
                </c:pt>
                <c:pt idx="11">
                  <c:v>4.01</c:v>
                </c:pt>
                <c:pt idx="12">
                  <c:v>4.0199999999999996</c:v>
                </c:pt>
                <c:pt idx="13">
                  <c:v>4.03</c:v>
                </c:pt>
                <c:pt idx="14">
                  <c:v>4.04</c:v>
                </c:pt>
                <c:pt idx="15">
                  <c:v>4.05</c:v>
                </c:pt>
                <c:pt idx="16">
                  <c:v>4.0599999999999996</c:v>
                </c:pt>
                <c:pt idx="17">
                  <c:v>4.07</c:v>
                </c:pt>
                <c:pt idx="18">
                  <c:v>4.08</c:v>
                </c:pt>
                <c:pt idx="19">
                  <c:v>4.09</c:v>
                </c:pt>
                <c:pt idx="20">
                  <c:v>4.0999999999999996</c:v>
                </c:pt>
              </c:numCache>
            </c:numRef>
          </c:xVal>
          <c:yVal>
            <c:numRef>
              <c:f>'Metal bulks'!$C$38:$C$58</c:f>
              <c:numCache>
                <c:formatCode>0.0000</c:formatCode>
                <c:ptCount val="21"/>
                <c:pt idx="0">
                  <c:v>4.2215658582979015E-3</c:v>
                </c:pt>
                <c:pt idx="1">
                  <c:v>1.3330251893564993E-3</c:v>
                </c:pt>
                <c:pt idx="2">
                  <c:v>0</c:v>
                </c:pt>
                <c:pt idx="3">
                  <c:v>2.7323218430107374E-4</c:v>
                </c:pt>
                <c:pt idx="4">
                  <c:v>2.0179532217138589E-3</c:v>
                </c:pt>
                <c:pt idx="5">
                  <c:v>5.2140689053924516E-3</c:v>
                </c:pt>
                <c:pt idx="6">
                  <c:v>9.7684404090790655E-3</c:v>
                </c:pt>
                <c:pt idx="7">
                  <c:v>1.562815066743194E-2</c:v>
                </c:pt>
                <c:pt idx="8">
                  <c:v>2.2775761069806198E-2</c:v>
                </c:pt>
                <c:pt idx="9">
                  <c:v>3.10571390358668E-2</c:v>
                </c:pt>
                <c:pt idx="10">
                  <c:v>4.0649047307959527E-2</c:v>
                </c:pt>
                <c:pt idx="11">
                  <c:v>5.1379321823638711E-2</c:v>
                </c:pt>
                <c:pt idx="12">
                  <c:v>6.3169000406597439E-2</c:v>
                </c:pt>
                <c:pt idx="13">
                  <c:v>7.6074423087752627E-2</c:v>
                </c:pt>
                <c:pt idx="14">
                  <c:v>8.994415228393994E-2</c:v>
                </c:pt>
                <c:pt idx="15">
                  <c:v>0.10490354994689124</c:v>
                </c:pt>
                <c:pt idx="16">
                  <c:v>0.12061572383399359</c:v>
                </c:pt>
                <c:pt idx="17">
                  <c:v>0.13746094771698716</c:v>
                </c:pt>
                <c:pt idx="18">
                  <c:v>0.15512608231819641</c:v>
                </c:pt>
                <c:pt idx="19">
                  <c:v>0.17350784205257852</c:v>
                </c:pt>
                <c:pt idx="20">
                  <c:v>0.19272076564076215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D2-4997-BF48-4E034FAE9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</a:t>
            </a:r>
          </a:p>
        </c:rich>
      </c:tx>
      <c:layout>
        <c:manualLayout>
          <c:xMode val="edge"/>
          <c:yMode val="edge"/>
          <c:x val="0.51666275758083435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'Metal bulks'!$E$6:$E$26</c:f>
              <c:numCache>
                <c:formatCode>General</c:formatCode>
                <c:ptCount val="21"/>
                <c:pt idx="0">
                  <c:v>3.6</c:v>
                </c:pt>
                <c:pt idx="1">
                  <c:v>3.61</c:v>
                </c:pt>
                <c:pt idx="2">
                  <c:v>3.62</c:v>
                </c:pt>
                <c:pt idx="3">
                  <c:v>3.63</c:v>
                </c:pt>
                <c:pt idx="4">
                  <c:v>3.64</c:v>
                </c:pt>
                <c:pt idx="5">
                  <c:v>3.65</c:v>
                </c:pt>
                <c:pt idx="6">
                  <c:v>3.66</c:v>
                </c:pt>
                <c:pt idx="7">
                  <c:v>3.67</c:v>
                </c:pt>
                <c:pt idx="8">
                  <c:v>3.68</c:v>
                </c:pt>
                <c:pt idx="9">
                  <c:v>3.69</c:v>
                </c:pt>
                <c:pt idx="10">
                  <c:v>3.7</c:v>
                </c:pt>
                <c:pt idx="11">
                  <c:v>3.71</c:v>
                </c:pt>
                <c:pt idx="12">
                  <c:v>3.72</c:v>
                </c:pt>
                <c:pt idx="13">
                  <c:v>3.73</c:v>
                </c:pt>
                <c:pt idx="14">
                  <c:v>3.74</c:v>
                </c:pt>
                <c:pt idx="15">
                  <c:v>3.75</c:v>
                </c:pt>
                <c:pt idx="16">
                  <c:v>3.76</c:v>
                </c:pt>
                <c:pt idx="17">
                  <c:v>3.77</c:v>
                </c:pt>
                <c:pt idx="18">
                  <c:v>3.78</c:v>
                </c:pt>
                <c:pt idx="19">
                  <c:v>3.79</c:v>
                </c:pt>
                <c:pt idx="20">
                  <c:v>3.8</c:v>
                </c:pt>
              </c:numCache>
            </c:numRef>
          </c:xVal>
          <c:yVal>
            <c:numRef>
              <c:f>'Metal bulks'!$G$6:$G$26</c:f>
              <c:numCache>
                <c:formatCode>0.0000</c:formatCode>
                <c:ptCount val="21"/>
                <c:pt idx="0">
                  <c:v>2.1573375691667177E-2</c:v>
                </c:pt>
                <c:pt idx="1">
                  <c:v>1.6233706643343442E-2</c:v>
                </c:pt>
                <c:pt idx="2">
                  <c:v>1.1687072812071585E-2</c:v>
                </c:pt>
                <c:pt idx="3">
                  <c:v>7.9647911199706642E-3</c:v>
                </c:pt>
                <c:pt idx="4">
                  <c:v>4.9443202774855366E-3</c:v>
                </c:pt>
                <c:pt idx="5">
                  <c:v>2.6939267494259867E-3</c:v>
                </c:pt>
                <c:pt idx="6">
                  <c:v>1.1299260919166558E-3</c:v>
                </c:pt>
                <c:pt idx="7">
                  <c:v>2.1192853259286153E-4</c:v>
                </c:pt>
                <c:pt idx="8">
                  <c:v>0</c:v>
                </c:pt>
                <c:pt idx="9">
                  <c:v>3.530700643773287E-4</c:v>
                </c:pt>
                <c:pt idx="10">
                  <c:v>1.3843368721625552E-3</c:v>
                </c:pt>
                <c:pt idx="11">
                  <c:v>3.0180692452804977E-3</c:v>
                </c:pt>
                <c:pt idx="12">
                  <c:v>5.2131410725133496E-3</c:v>
                </c:pt>
                <c:pt idx="13">
                  <c:v>7.921679691140002E-3</c:v>
                </c:pt>
                <c:pt idx="14">
                  <c:v>1.1179558433689705E-2</c:v>
                </c:pt>
                <c:pt idx="15">
                  <c:v>1.4967882901200507E-2</c:v>
                </c:pt>
                <c:pt idx="16">
                  <c:v>1.9248786172076086E-2</c:v>
                </c:pt>
                <c:pt idx="17">
                  <c:v>2.400711419121894E-2</c:v>
                </c:pt>
                <c:pt idx="18">
                  <c:v>2.9229474867131837E-2</c:v>
                </c:pt>
                <c:pt idx="19">
                  <c:v>3.4896793308363677E-2</c:v>
                </c:pt>
                <c:pt idx="20">
                  <c:v>4.0999031691838855E-2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5C-4FC7-868F-2752F984085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bulks'!$E$38:$E$58</c:f>
              <c:numCache>
                <c:formatCode>General</c:formatCode>
                <c:ptCount val="21"/>
                <c:pt idx="0">
                  <c:v>3.5</c:v>
                </c:pt>
                <c:pt idx="1">
                  <c:v>3.51</c:v>
                </c:pt>
                <c:pt idx="2">
                  <c:v>3.52</c:v>
                </c:pt>
                <c:pt idx="3">
                  <c:v>3.53</c:v>
                </c:pt>
                <c:pt idx="4">
                  <c:v>3.54</c:v>
                </c:pt>
                <c:pt idx="5">
                  <c:v>3.55</c:v>
                </c:pt>
                <c:pt idx="6">
                  <c:v>3.56</c:v>
                </c:pt>
                <c:pt idx="7">
                  <c:v>3.57</c:v>
                </c:pt>
                <c:pt idx="8">
                  <c:v>3.58</c:v>
                </c:pt>
                <c:pt idx="9">
                  <c:v>3.59</c:v>
                </c:pt>
                <c:pt idx="10">
                  <c:v>3.6</c:v>
                </c:pt>
                <c:pt idx="11">
                  <c:v>3.61</c:v>
                </c:pt>
                <c:pt idx="12">
                  <c:v>3.62</c:v>
                </c:pt>
                <c:pt idx="13">
                  <c:v>3.63</c:v>
                </c:pt>
                <c:pt idx="14">
                  <c:v>3.64</c:v>
                </c:pt>
                <c:pt idx="15">
                  <c:v>3.65</c:v>
                </c:pt>
                <c:pt idx="16">
                  <c:v>3.66</c:v>
                </c:pt>
                <c:pt idx="17">
                  <c:v>3.67</c:v>
                </c:pt>
                <c:pt idx="18">
                  <c:v>3.68</c:v>
                </c:pt>
                <c:pt idx="19">
                  <c:v>3.69</c:v>
                </c:pt>
                <c:pt idx="20">
                  <c:v>3.7</c:v>
                </c:pt>
              </c:numCache>
            </c:numRef>
          </c:xVal>
          <c:yVal>
            <c:numRef>
              <c:f>'Metal bulks'!$G$38:$G$58</c:f>
              <c:numCache>
                <c:formatCode>0.0000</c:formatCode>
                <c:ptCount val="21"/>
                <c:pt idx="0">
                  <c:v>2.0918326598586771E-2</c:v>
                </c:pt>
                <c:pt idx="1">
                  <c:v>1.5099328793667297E-2</c:v>
                </c:pt>
                <c:pt idx="2">
                  <c:v>1.028741132348119E-2</c:v>
                </c:pt>
                <c:pt idx="3">
                  <c:v>6.4154956393887236E-3</c:v>
                </c:pt>
                <c:pt idx="4">
                  <c:v>3.5122297394004423E-3</c:v>
                </c:pt>
                <c:pt idx="5">
                  <c:v>1.4443579554276368E-3</c:v>
                </c:pt>
                <c:pt idx="6">
                  <c:v>2.8262064794974434E-4</c:v>
                </c:pt>
                <c:pt idx="7">
                  <c:v>0</c:v>
                </c:pt>
                <c:pt idx="8">
                  <c:v>5.2781443732272918E-4</c:v>
                </c:pt>
                <c:pt idx="9">
                  <c:v>1.8453787512874896E-3</c:v>
                </c:pt>
                <c:pt idx="10">
                  <c:v>3.919423632526957E-3</c:v>
                </c:pt>
                <c:pt idx="11">
                  <c:v>6.728267960706978E-3</c:v>
                </c:pt>
                <c:pt idx="12">
                  <c:v>1.0244060788138699E-2</c:v>
                </c:pt>
                <c:pt idx="13">
                  <c:v>1.4506476116760514E-2</c:v>
                </c:pt>
                <c:pt idx="14">
                  <c:v>1.9390744046508146E-2</c:v>
                </c:pt>
                <c:pt idx="15">
                  <c:v>2.4967012245436106E-2</c:v>
                </c:pt>
                <c:pt idx="16">
                  <c:v>3.1154621035682416E-2</c:v>
                </c:pt>
                <c:pt idx="17">
                  <c:v>3.7910250304150794E-2</c:v>
                </c:pt>
                <c:pt idx="18">
                  <c:v>4.5302242787817013E-2</c:v>
                </c:pt>
                <c:pt idx="19">
                  <c:v>5.3184754063567354E-2</c:v>
                </c:pt>
                <c:pt idx="20">
                  <c:v>6.1678438580439691E-2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3-4D2F-A0A5-96C3F541E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Rh</a:t>
            </a:r>
          </a:p>
        </c:rich>
      </c:tx>
      <c:layout>
        <c:manualLayout>
          <c:xMode val="edge"/>
          <c:yMode val="edge"/>
          <c:x val="0.51666275758083435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'Metal bulks'!$I$6:$I$26</c:f>
              <c:numCache>
                <c:formatCode>General</c:formatCode>
                <c:ptCount val="21"/>
                <c:pt idx="0">
                  <c:v>3.7</c:v>
                </c:pt>
                <c:pt idx="1">
                  <c:v>3.71</c:v>
                </c:pt>
                <c:pt idx="2">
                  <c:v>3.72</c:v>
                </c:pt>
                <c:pt idx="3">
                  <c:v>3.73</c:v>
                </c:pt>
                <c:pt idx="4">
                  <c:v>3.74</c:v>
                </c:pt>
                <c:pt idx="5">
                  <c:v>3.75</c:v>
                </c:pt>
                <c:pt idx="6">
                  <c:v>3.76</c:v>
                </c:pt>
                <c:pt idx="7">
                  <c:v>3.77</c:v>
                </c:pt>
                <c:pt idx="8">
                  <c:v>3.78</c:v>
                </c:pt>
                <c:pt idx="9">
                  <c:v>3.79</c:v>
                </c:pt>
                <c:pt idx="10">
                  <c:v>3.8</c:v>
                </c:pt>
                <c:pt idx="11">
                  <c:v>3.81</c:v>
                </c:pt>
                <c:pt idx="12">
                  <c:v>3.82</c:v>
                </c:pt>
                <c:pt idx="13">
                  <c:v>3.83</c:v>
                </c:pt>
                <c:pt idx="14">
                  <c:v>3.84</c:v>
                </c:pt>
                <c:pt idx="15">
                  <c:v>3.85</c:v>
                </c:pt>
                <c:pt idx="16">
                  <c:v>3.86</c:v>
                </c:pt>
                <c:pt idx="17">
                  <c:v>3.87</c:v>
                </c:pt>
                <c:pt idx="18">
                  <c:v>3.88</c:v>
                </c:pt>
                <c:pt idx="19">
                  <c:v>3.89</c:v>
                </c:pt>
                <c:pt idx="20">
                  <c:v>3.9</c:v>
                </c:pt>
              </c:numCache>
            </c:numRef>
          </c:xVal>
          <c:yVal>
            <c:numRef>
              <c:f>'Metal bulks'!$K$6:$K$26</c:f>
              <c:numCache>
                <c:formatCode>0.000</c:formatCode>
                <c:ptCount val="21"/>
                <c:pt idx="0">
                  <c:v>0.20480540943782183</c:v>
                </c:pt>
                <c:pt idx="1">
                  <c:v>0.17879167722149877</c:v>
                </c:pt>
                <c:pt idx="2">
                  <c:v>0.15490399539380506</c:v>
                </c:pt>
                <c:pt idx="3">
                  <c:v>0.13268938404046671</c:v>
                </c:pt>
                <c:pt idx="4">
                  <c:v>0.11243683560334912</c:v>
                </c:pt>
                <c:pt idx="5">
                  <c:v>9.4192150382009121E-2</c:v>
                </c:pt>
                <c:pt idx="6">
                  <c:v>7.7665931085373605E-2</c:v>
                </c:pt>
                <c:pt idx="7">
                  <c:v>6.2902238298412197E-2</c:v>
                </c:pt>
                <c:pt idx="8">
                  <c:v>4.9835877463043715E-2</c:v>
                </c:pt>
                <c:pt idx="9">
                  <c:v>3.8390674362924739E-2</c:v>
                </c:pt>
                <c:pt idx="10">
                  <c:v>2.8587406455635372E-2</c:v>
                </c:pt>
                <c:pt idx="11">
                  <c:v>2.0108527786519524E-2</c:v>
                </c:pt>
                <c:pt idx="12">
                  <c:v>1.3481420199711176E-2</c:v>
                </c:pt>
                <c:pt idx="13">
                  <c:v>8.1406414702586121E-3</c:v>
                </c:pt>
                <c:pt idx="14">
                  <c:v>4.4059970917599634E-3</c:v>
                </c:pt>
                <c:pt idx="15">
                  <c:v>1.6467426660439573E-3</c:v>
                </c:pt>
                <c:pt idx="16" formatCode="0.0000">
                  <c:v>1.4654005280033289E-4</c:v>
                </c:pt>
                <c:pt idx="17" formatCode="0.0000">
                  <c:v>0</c:v>
                </c:pt>
                <c:pt idx="18">
                  <c:v>1.2596510536152692E-3</c:v>
                </c:pt>
                <c:pt idx="19">
                  <c:v>3.44013177961007E-3</c:v>
                </c:pt>
                <c:pt idx="20">
                  <c:v>7.1161280968010743E-3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46-4732-AAB4-44982A7695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bulks'!$I$38:$I$58</c:f>
              <c:numCache>
                <c:formatCode>General</c:formatCode>
                <c:ptCount val="21"/>
                <c:pt idx="0">
                  <c:v>3.65</c:v>
                </c:pt>
                <c:pt idx="1">
                  <c:v>3.66</c:v>
                </c:pt>
                <c:pt idx="2">
                  <c:v>3.67</c:v>
                </c:pt>
                <c:pt idx="3">
                  <c:v>3.68</c:v>
                </c:pt>
                <c:pt idx="4">
                  <c:v>3.69</c:v>
                </c:pt>
                <c:pt idx="5">
                  <c:v>3.7</c:v>
                </c:pt>
                <c:pt idx="6">
                  <c:v>3.71</c:v>
                </c:pt>
                <c:pt idx="7">
                  <c:v>3.72</c:v>
                </c:pt>
                <c:pt idx="8">
                  <c:v>3.73</c:v>
                </c:pt>
                <c:pt idx="9">
                  <c:v>3.74</c:v>
                </c:pt>
                <c:pt idx="10">
                  <c:v>3.75</c:v>
                </c:pt>
                <c:pt idx="11">
                  <c:v>3.76</c:v>
                </c:pt>
                <c:pt idx="12">
                  <c:v>3.77</c:v>
                </c:pt>
                <c:pt idx="13">
                  <c:v>3.78</c:v>
                </c:pt>
                <c:pt idx="14">
                  <c:v>3.79</c:v>
                </c:pt>
                <c:pt idx="15">
                  <c:v>3.8</c:v>
                </c:pt>
                <c:pt idx="16">
                  <c:v>3.81</c:v>
                </c:pt>
                <c:pt idx="17">
                  <c:v>3.82</c:v>
                </c:pt>
                <c:pt idx="18">
                  <c:v>3.83</c:v>
                </c:pt>
                <c:pt idx="19">
                  <c:v>3.84</c:v>
                </c:pt>
                <c:pt idx="20">
                  <c:v>3.85</c:v>
                </c:pt>
              </c:numCache>
            </c:numRef>
          </c:xVal>
          <c:yVal>
            <c:numRef>
              <c:f>'Metal bulks'!$K$38:$K$58</c:f>
              <c:numCache>
                <c:formatCode>0.000</c:formatCode>
                <c:ptCount val="21"/>
                <c:pt idx="0">
                  <c:v>0.20148451801843073</c:v>
                </c:pt>
                <c:pt idx="1">
                  <c:v>0.17401916803887471</c:v>
                </c:pt>
                <c:pt idx="2">
                  <c:v>0.14875388994041111</c:v>
                </c:pt>
                <c:pt idx="3">
                  <c:v>0.12591576069240601</c:v>
                </c:pt>
                <c:pt idx="4">
                  <c:v>0.10471529114690598</c:v>
                </c:pt>
                <c:pt idx="5">
                  <c:v>8.6089032387409073E-2</c:v>
                </c:pt>
                <c:pt idx="6">
                  <c:v>6.9444155781070216E-2</c:v>
                </c:pt>
                <c:pt idx="7">
                  <c:v>5.4844119534876147E-2</c:v>
                </c:pt>
                <c:pt idx="8">
                  <c:v>4.1824263855347536E-2</c:v>
                </c:pt>
                <c:pt idx="9">
                  <c:v>3.0690064852704722E-2</c:v>
                </c:pt>
                <c:pt idx="10">
                  <c:v>2.1489980791999621E-2</c:v>
                </c:pt>
                <c:pt idx="11">
                  <c:v>1.3930650696269729E-2</c:v>
                </c:pt>
                <c:pt idx="12">
                  <c:v>8.0602895914216079E-3</c:v>
                </c:pt>
                <c:pt idx="13">
                  <c:v>3.8143571051693871E-3</c:v>
                </c:pt>
                <c:pt idx="14">
                  <c:v>1.1197721173608671E-3</c:v>
                </c:pt>
                <c:pt idx="15" formatCode="0.0000">
                  <c:v>0</c:v>
                </c:pt>
                <c:pt idx="16" formatCode="0.0000">
                  <c:v>1.3066257376452201E-4</c:v>
                </c:pt>
                <c:pt idx="17">
                  <c:v>2.057516798771667E-3</c:v>
                </c:pt>
                <c:pt idx="18">
                  <c:v>5.2014785471206386E-3</c:v>
                </c:pt>
                <c:pt idx="19">
                  <c:v>9.8933347077158201E-3</c:v>
                </c:pt>
                <c:pt idx="20">
                  <c:v>1.548825622075076E-2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A5-4197-A57D-2989E38FC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</a:t>
            </a:r>
          </a:p>
        </c:rich>
      </c:tx>
      <c:layout>
        <c:manualLayout>
          <c:xMode val="edge"/>
          <c:yMode val="edge"/>
          <c:x val="0.51666275758083435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'Metal bulks'!$M$6:$M$26</c:f>
              <c:numCache>
                <c:formatCode>General</c:formatCode>
                <c:ptCount val="21"/>
                <c:pt idx="0">
                  <c:v>4.0999999999999996</c:v>
                </c:pt>
                <c:pt idx="1">
                  <c:v>4.1100000000000003</c:v>
                </c:pt>
                <c:pt idx="2">
                  <c:v>4.12</c:v>
                </c:pt>
                <c:pt idx="3">
                  <c:v>4.13</c:v>
                </c:pt>
                <c:pt idx="4">
                  <c:v>4.1399999999999997</c:v>
                </c:pt>
                <c:pt idx="5">
                  <c:v>4.1500000000000004</c:v>
                </c:pt>
                <c:pt idx="6">
                  <c:v>4.16</c:v>
                </c:pt>
                <c:pt idx="7">
                  <c:v>4.17</c:v>
                </c:pt>
                <c:pt idx="8">
                  <c:v>4.1800000000000104</c:v>
                </c:pt>
                <c:pt idx="9">
                  <c:v>4.1900000000000102</c:v>
                </c:pt>
                <c:pt idx="10">
                  <c:v>4.2000000000000099</c:v>
                </c:pt>
                <c:pt idx="11">
                  <c:v>4.2100000000000097</c:v>
                </c:pt>
                <c:pt idx="12">
                  <c:v>4.2200000000000104</c:v>
                </c:pt>
                <c:pt idx="13">
                  <c:v>4.2300000000000102</c:v>
                </c:pt>
                <c:pt idx="14">
                  <c:v>4.24000000000001</c:v>
                </c:pt>
                <c:pt idx="15">
                  <c:v>4.2500000000000098</c:v>
                </c:pt>
                <c:pt idx="16">
                  <c:v>4.2600000000000096</c:v>
                </c:pt>
                <c:pt idx="17">
                  <c:v>4.2700000000000102</c:v>
                </c:pt>
                <c:pt idx="18">
                  <c:v>4.28000000000001</c:v>
                </c:pt>
                <c:pt idx="19">
                  <c:v>4.2900000000000098</c:v>
                </c:pt>
                <c:pt idx="20">
                  <c:v>4.3000000000000096</c:v>
                </c:pt>
              </c:numCache>
            </c:numRef>
          </c:xVal>
          <c:yVal>
            <c:numRef>
              <c:f>'Metal bulks'!$O$6:$O$26</c:f>
              <c:numCache>
                <c:formatCode>0.000</c:formatCode>
                <c:ptCount val="21"/>
                <c:pt idx="0">
                  <c:v>3.8349304749220749E-2</c:v>
                </c:pt>
                <c:pt idx="1">
                  <c:v>3.051135438880637E-2</c:v>
                </c:pt>
                <c:pt idx="2">
                  <c:v>2.3645406670632925E-2</c:v>
                </c:pt>
                <c:pt idx="3">
                  <c:v>1.7725177034029621E-2</c:v>
                </c:pt>
                <c:pt idx="4">
                  <c:v>1.2711682261428126E-2</c:v>
                </c:pt>
                <c:pt idx="5">
                  <c:v>8.5718702271389766E-3</c:v>
                </c:pt>
                <c:pt idx="6">
                  <c:v>5.2780420796231754E-3</c:v>
                </c:pt>
                <c:pt idx="7">
                  <c:v>2.8005077980327018E-3</c:v>
                </c:pt>
                <c:pt idx="8">
                  <c:v>1.116310198611444E-3</c:v>
                </c:pt>
                <c:pt idx="9" formatCode="0.0000">
                  <c:v>1.9176558218977392E-4</c:v>
                </c:pt>
                <c:pt idx="10" formatCode="0.0000">
                  <c:v>0</c:v>
                </c:pt>
                <c:pt idx="11">
                  <c:v>5.1978688930062733E-4</c:v>
                </c:pt>
                <c:pt idx="12">
                  <c:v>1.7144983830567897E-3</c:v>
                </c:pt>
                <c:pt idx="13">
                  <c:v>3.5671287633093772E-3</c:v>
                </c:pt>
                <c:pt idx="14">
                  <c:v>6.0534598049084695E-3</c:v>
                </c:pt>
                <c:pt idx="15">
                  <c:v>9.1447872115573512E-3</c:v>
                </c:pt>
                <c:pt idx="16">
                  <c:v>1.2823592727671728E-2</c:v>
                </c:pt>
                <c:pt idx="17">
                  <c:v>1.7060319009390833E-2</c:v>
                </c:pt>
                <c:pt idx="18">
                  <c:v>2.1841576436986275E-2</c:v>
                </c:pt>
                <c:pt idx="19">
                  <c:v>2.7143350677814759E-2</c:v>
                </c:pt>
                <c:pt idx="20">
                  <c:v>3.2946393998547797E-2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B5-41ED-AA09-4966DBD654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bulks'!$M$38:$M$58</c:f>
              <c:numCache>
                <c:formatCode>General</c:formatCode>
                <c:ptCount val="21"/>
                <c:pt idx="0">
                  <c:v>4</c:v>
                </c:pt>
                <c:pt idx="1">
                  <c:v>4.01</c:v>
                </c:pt>
                <c:pt idx="2">
                  <c:v>4.0199999999999996</c:v>
                </c:pt>
                <c:pt idx="3">
                  <c:v>4.03</c:v>
                </c:pt>
                <c:pt idx="4">
                  <c:v>4.04</c:v>
                </c:pt>
                <c:pt idx="5">
                  <c:v>4.05</c:v>
                </c:pt>
                <c:pt idx="6">
                  <c:v>4.0599999999999996</c:v>
                </c:pt>
                <c:pt idx="7">
                  <c:v>4.07</c:v>
                </c:pt>
                <c:pt idx="8">
                  <c:v>4.08</c:v>
                </c:pt>
                <c:pt idx="9">
                  <c:v>4.09</c:v>
                </c:pt>
                <c:pt idx="10">
                  <c:v>4.0999999999999996</c:v>
                </c:pt>
                <c:pt idx="11">
                  <c:v>4.1100000000000003</c:v>
                </c:pt>
                <c:pt idx="12">
                  <c:v>4.12</c:v>
                </c:pt>
                <c:pt idx="13">
                  <c:v>4.13</c:v>
                </c:pt>
                <c:pt idx="14">
                  <c:v>4.1399999999999997</c:v>
                </c:pt>
                <c:pt idx="15">
                  <c:v>4.1500000000000004</c:v>
                </c:pt>
                <c:pt idx="16">
                  <c:v>4.16</c:v>
                </c:pt>
                <c:pt idx="17">
                  <c:v>4.17</c:v>
                </c:pt>
                <c:pt idx="18">
                  <c:v>4.18</c:v>
                </c:pt>
                <c:pt idx="19">
                  <c:v>4.1900000000000004</c:v>
                </c:pt>
                <c:pt idx="20">
                  <c:v>4.2</c:v>
                </c:pt>
              </c:numCache>
            </c:numRef>
          </c:xVal>
          <c:yVal>
            <c:numRef>
              <c:f>'Metal bulks'!$O$38:$O$58</c:f>
              <c:numCache>
                <c:formatCode>0.000</c:formatCode>
                <c:ptCount val="21"/>
                <c:pt idx="0">
                  <c:v>5.0447389116465333E-2</c:v>
                </c:pt>
                <c:pt idx="1">
                  <c:v>4.0363853030285127E-2</c:v>
                </c:pt>
                <c:pt idx="2">
                  <c:v>3.1510970161086269E-2</c:v>
                </c:pt>
                <c:pt idx="3">
                  <c:v>2.3848316923889709E-2</c:v>
                </c:pt>
                <c:pt idx="4">
                  <c:v>1.7327054276146423E-2</c:v>
                </c:pt>
                <c:pt idx="5">
                  <c:v>1.1913742000678011E-2</c:v>
                </c:pt>
                <c:pt idx="6">
                  <c:v>7.5557792690950781E-3</c:v>
                </c:pt>
                <c:pt idx="7">
                  <c:v>4.2302620857216896E-3</c:v>
                </c:pt>
                <c:pt idx="8">
                  <c:v>1.8875161705600961E-3</c:v>
                </c:pt>
                <c:pt idx="9" formatCode="0.0000">
                  <c:v>4.8794881664849615E-4</c:v>
                </c:pt>
                <c:pt idx="10" formatCode="0.0000">
                  <c:v>0</c:v>
                </c:pt>
                <c:pt idx="11" formatCode="0.0000">
                  <c:v>3.9131549162440963E-4</c:v>
                </c:pt>
                <c:pt idx="12">
                  <c:v>1.6218678140723015E-3</c:v>
                </c:pt>
                <c:pt idx="13">
                  <c:v>3.6649348859944127E-3</c:v>
                </c:pt>
                <c:pt idx="14">
                  <c:v>6.484539083772725E-3</c:v>
                </c:pt>
                <c:pt idx="15">
                  <c:v>1.0046939199589036E-2</c:v>
                </c:pt>
                <c:pt idx="16">
                  <c:v>1.4324044407008255E-2</c:v>
                </c:pt>
                <c:pt idx="17">
                  <c:v>1.9286164916233965E-2</c:v>
                </c:pt>
                <c:pt idx="18">
                  <c:v>2.4910803833116082E-2</c:v>
                </c:pt>
                <c:pt idx="19">
                  <c:v>3.116443744751244E-2</c:v>
                </c:pt>
                <c:pt idx="20">
                  <c:v>3.8022652760474396E-2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11-BADE-393D2076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</a:t>
            </a:r>
          </a:p>
        </c:rich>
      </c:tx>
      <c:layout>
        <c:manualLayout>
          <c:xMode val="edge"/>
          <c:yMode val="edge"/>
          <c:x val="0.55212375048863582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bulks'!$Q$38:$Q$58</c:f>
              <c:numCache>
                <c:formatCode>General</c:formatCode>
                <c:ptCount val="21"/>
                <c:pt idx="0">
                  <c:v>3.7</c:v>
                </c:pt>
                <c:pt idx="1">
                  <c:v>3.71</c:v>
                </c:pt>
                <c:pt idx="2">
                  <c:v>3.72</c:v>
                </c:pt>
                <c:pt idx="3">
                  <c:v>3.73</c:v>
                </c:pt>
                <c:pt idx="4">
                  <c:v>3.74</c:v>
                </c:pt>
                <c:pt idx="5">
                  <c:v>3.75</c:v>
                </c:pt>
                <c:pt idx="6">
                  <c:v>3.76</c:v>
                </c:pt>
                <c:pt idx="7">
                  <c:v>3.77</c:v>
                </c:pt>
                <c:pt idx="8">
                  <c:v>3.78</c:v>
                </c:pt>
                <c:pt idx="9">
                  <c:v>3.79</c:v>
                </c:pt>
                <c:pt idx="10">
                  <c:v>3.8</c:v>
                </c:pt>
                <c:pt idx="11">
                  <c:v>3.81</c:v>
                </c:pt>
                <c:pt idx="12">
                  <c:v>3.82</c:v>
                </c:pt>
                <c:pt idx="13">
                  <c:v>3.83</c:v>
                </c:pt>
                <c:pt idx="14">
                  <c:v>3.84</c:v>
                </c:pt>
                <c:pt idx="15">
                  <c:v>3.85</c:v>
                </c:pt>
                <c:pt idx="16">
                  <c:v>3.86</c:v>
                </c:pt>
                <c:pt idx="17">
                  <c:v>3.87</c:v>
                </c:pt>
                <c:pt idx="18">
                  <c:v>3.88</c:v>
                </c:pt>
                <c:pt idx="19">
                  <c:v>3.89</c:v>
                </c:pt>
                <c:pt idx="20">
                  <c:v>3.9</c:v>
                </c:pt>
              </c:numCache>
            </c:numRef>
          </c:xVal>
          <c:yVal>
            <c:numRef>
              <c:f>'Metal bulks'!$S$38:$S$58</c:f>
              <c:numCache>
                <c:formatCode>0.000</c:formatCode>
                <c:ptCount val="21"/>
                <c:pt idx="0">
                  <c:v>0.22424858774345813</c:v>
                </c:pt>
                <c:pt idx="1">
                  <c:v>0.19115307119928432</c:v>
                </c:pt>
                <c:pt idx="2">
                  <c:v>0.1610641782963021</c:v>
                </c:pt>
                <c:pt idx="3">
                  <c:v>0.13366417676061199</c:v>
                </c:pt>
                <c:pt idx="4">
                  <c:v>0.10908058920401388</c:v>
                </c:pt>
                <c:pt idx="5">
                  <c:v>8.7276702140060947E-2</c:v>
                </c:pt>
                <c:pt idx="6">
                  <c:v>6.8056068446336229E-2</c:v>
                </c:pt>
                <c:pt idx="7">
                  <c:v>5.1386567811657645E-2</c:v>
                </c:pt>
                <c:pt idx="8">
                  <c:v>3.7183935452381911E-2</c:v>
                </c:pt>
                <c:pt idx="9">
                  <c:v>2.5373235034261019E-2</c:v>
                </c:pt>
                <c:pt idx="10">
                  <c:v>1.5910265937649472E-2</c:v>
                </c:pt>
                <c:pt idx="11">
                  <c:v>8.5860795116310482E-3</c:v>
                </c:pt>
                <c:pt idx="12">
                  <c:v>3.6471699697674751E-3</c:v>
                </c:pt>
                <c:pt idx="13">
                  <c:v>7.3134357304257386E-4</c:v>
                </c:pt>
                <c:pt idx="14">
                  <c:v>0</c:v>
                </c:pt>
                <c:pt idx="15">
                  <c:v>1.0417571072488755E-3</c:v>
                </c:pt>
                <c:pt idx="16">
                  <c:v>3.9761851541677976E-3</c:v>
                </c:pt>
                <c:pt idx="17">
                  <c:v>8.8280140526045651E-3</c:v>
                </c:pt>
                <c:pt idx="18">
                  <c:v>1.5589209513630579E-2</c:v>
                </c:pt>
                <c:pt idx="19">
                  <c:v>2.3942399272687553E-2</c:v>
                </c:pt>
                <c:pt idx="20">
                  <c:v>3.4175348217455707E-2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AA-41D2-86FB-20035BF5E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Pd</a:t>
            </a:r>
          </a:p>
        </c:rich>
      </c:tx>
      <c:layout>
        <c:manualLayout>
          <c:xMode val="edge"/>
          <c:yMode val="edge"/>
          <c:x val="0.55212375048863582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bulks'!$U$38:$U$58</c:f>
              <c:numCache>
                <c:formatCode>General</c:formatCode>
                <c:ptCount val="21"/>
                <c:pt idx="0">
                  <c:v>3.75</c:v>
                </c:pt>
                <c:pt idx="1">
                  <c:v>3.76</c:v>
                </c:pt>
                <c:pt idx="2">
                  <c:v>3.77</c:v>
                </c:pt>
                <c:pt idx="3">
                  <c:v>3.78</c:v>
                </c:pt>
                <c:pt idx="4">
                  <c:v>3.79</c:v>
                </c:pt>
                <c:pt idx="5">
                  <c:v>3.8</c:v>
                </c:pt>
                <c:pt idx="6">
                  <c:v>3.81</c:v>
                </c:pt>
                <c:pt idx="7">
                  <c:v>3.82</c:v>
                </c:pt>
                <c:pt idx="8">
                  <c:v>3.83</c:v>
                </c:pt>
                <c:pt idx="9">
                  <c:v>3.84</c:v>
                </c:pt>
                <c:pt idx="10">
                  <c:v>3.85</c:v>
                </c:pt>
                <c:pt idx="11">
                  <c:v>3.86</c:v>
                </c:pt>
                <c:pt idx="12">
                  <c:v>3.87</c:v>
                </c:pt>
                <c:pt idx="13">
                  <c:v>3.88</c:v>
                </c:pt>
                <c:pt idx="14">
                  <c:v>3.89</c:v>
                </c:pt>
                <c:pt idx="15">
                  <c:v>3.9</c:v>
                </c:pt>
                <c:pt idx="16">
                  <c:v>3.91</c:v>
                </c:pt>
                <c:pt idx="17">
                  <c:v>3.92</c:v>
                </c:pt>
                <c:pt idx="18">
                  <c:v>3.93</c:v>
                </c:pt>
                <c:pt idx="19">
                  <c:v>3.94</c:v>
                </c:pt>
                <c:pt idx="20">
                  <c:v>3.95</c:v>
                </c:pt>
              </c:numCache>
            </c:numRef>
          </c:xVal>
          <c:yVal>
            <c:numRef>
              <c:f>'Metal bulks'!$W$38:$W$58</c:f>
              <c:numCache>
                <c:formatCode>0.000</c:formatCode>
                <c:ptCount val="21"/>
                <c:pt idx="0">
                  <c:v>0.13764244483013868</c:v>
                </c:pt>
                <c:pt idx="1">
                  <c:v>0.11830227079541505</c:v>
                </c:pt>
                <c:pt idx="2">
                  <c:v>0.10062336621635347</c:v>
                </c:pt>
                <c:pt idx="3">
                  <c:v>8.4556556762812388E-2</c:v>
                </c:pt>
                <c:pt idx="4">
                  <c:v>7.0047210417408093E-2</c:v>
                </c:pt>
                <c:pt idx="5">
                  <c:v>5.7047544638760862E-2</c:v>
                </c:pt>
                <c:pt idx="6">
                  <c:v>4.5508592456169991E-2</c:v>
                </c:pt>
                <c:pt idx="7">
                  <c:v>3.5386194803316597E-2</c:v>
                </c:pt>
                <c:pt idx="8">
                  <c:v>2.663009153433794E-2</c:v>
                </c:pt>
                <c:pt idx="9">
                  <c:v>1.9200602987594653E-2</c:v>
                </c:pt>
                <c:pt idx="10">
                  <c:v>1.3045580439275978E-2</c:v>
                </c:pt>
                <c:pt idx="11">
                  <c:v>8.1266849639597127E-3</c:v>
                </c:pt>
                <c:pt idx="12">
                  <c:v>4.4027225568314269E-3</c:v>
                </c:pt>
                <c:pt idx="13">
                  <c:v>1.8346615011401298E-3</c:v>
                </c:pt>
                <c:pt idx="14" formatCode="0.0000">
                  <c:v>3.7793563812846856E-4</c:v>
                </c:pt>
                <c:pt idx="15" formatCode="0.0000">
                  <c:v>0</c:v>
                </c:pt>
                <c:pt idx="16">
                  <c:v>6.5709643577239096E-4</c:v>
                </c:pt>
                <c:pt idx="17">
                  <c:v>2.3150061164439279E-3</c:v>
                </c:pt>
                <c:pt idx="18">
                  <c:v>4.9396652677834258E-3</c:v>
                </c:pt>
                <c:pt idx="19">
                  <c:v>8.4949347991885044E-3</c:v>
                </c:pt>
                <c:pt idx="20">
                  <c:v>1.2946746120113707E-2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3-4D67-989C-0EED38BB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</a:t>
            </a:r>
          </a:p>
        </c:rich>
      </c:tx>
      <c:layout>
        <c:manualLayout>
          <c:xMode val="edge"/>
          <c:yMode val="edge"/>
          <c:x val="0.55212375048863582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bulks'!$Y$38:$Y$58</c:f>
              <c:numCache>
                <c:formatCode>General</c:formatCode>
                <c:ptCount val="21"/>
                <c:pt idx="0">
                  <c:v>3.95</c:v>
                </c:pt>
                <c:pt idx="1">
                  <c:v>3.96</c:v>
                </c:pt>
                <c:pt idx="2">
                  <c:v>3.97</c:v>
                </c:pt>
                <c:pt idx="3">
                  <c:v>3.98</c:v>
                </c:pt>
                <c:pt idx="4">
                  <c:v>3.99</c:v>
                </c:pt>
                <c:pt idx="5">
                  <c:v>4</c:v>
                </c:pt>
                <c:pt idx="6">
                  <c:v>4.01</c:v>
                </c:pt>
                <c:pt idx="7">
                  <c:v>4.0199999999999996</c:v>
                </c:pt>
                <c:pt idx="8">
                  <c:v>4.03</c:v>
                </c:pt>
                <c:pt idx="9">
                  <c:v>4.04</c:v>
                </c:pt>
                <c:pt idx="10">
                  <c:v>4.05</c:v>
                </c:pt>
                <c:pt idx="11">
                  <c:v>4.0599999999999996</c:v>
                </c:pt>
                <c:pt idx="12">
                  <c:v>4.07</c:v>
                </c:pt>
                <c:pt idx="13">
                  <c:v>4.08</c:v>
                </c:pt>
                <c:pt idx="14">
                  <c:v>4.09</c:v>
                </c:pt>
                <c:pt idx="15">
                  <c:v>4.0999999999999996</c:v>
                </c:pt>
                <c:pt idx="16">
                  <c:v>4.1100000000000003</c:v>
                </c:pt>
                <c:pt idx="17">
                  <c:v>4.12</c:v>
                </c:pt>
                <c:pt idx="18">
                  <c:v>4.13</c:v>
                </c:pt>
                <c:pt idx="19">
                  <c:v>4.1399999999999997</c:v>
                </c:pt>
                <c:pt idx="20">
                  <c:v>4.1500000000000004</c:v>
                </c:pt>
              </c:numCache>
            </c:numRef>
          </c:xVal>
          <c:yVal>
            <c:numRef>
              <c:f>'Metal bulks'!$AA$38:$AA$58</c:f>
              <c:numCache>
                <c:formatCode>0.000</c:formatCode>
                <c:ptCount val="21"/>
                <c:pt idx="0">
                  <c:v>5.9453878276453029E-2</c:v>
                </c:pt>
                <c:pt idx="1">
                  <c:v>4.9986140172176174E-2</c:v>
                </c:pt>
                <c:pt idx="2">
                  <c:v>4.1412403771167873E-2</c:v>
                </c:pt>
                <c:pt idx="3">
                  <c:v>3.3698795451383434E-2</c:v>
                </c:pt>
                <c:pt idx="4">
                  <c:v>2.694159608457011E-2</c:v>
                </c:pt>
                <c:pt idx="5">
                  <c:v>2.1023386412880048E-2</c:v>
                </c:pt>
                <c:pt idx="6">
                  <c:v>1.5883678622612713E-2</c:v>
                </c:pt>
                <c:pt idx="7">
                  <c:v>1.1425762799872985E-2</c:v>
                </c:pt>
                <c:pt idx="8">
                  <c:v>7.8004949463723909E-3</c:v>
                </c:pt>
                <c:pt idx="9">
                  <c:v>4.8194260202253873E-3</c:v>
                </c:pt>
                <c:pt idx="10">
                  <c:v>2.7277805617438333E-3</c:v>
                </c:pt>
                <c:pt idx="11" formatCode="0.0000">
                  <c:v>9.0465602771887461E-4</c:v>
                </c:pt>
                <c:pt idx="12" formatCode="0.0000">
                  <c:v>1.6986574937016599E-4</c:v>
                </c:pt>
                <c:pt idx="13" formatCode="0.00000">
                  <c:v>0</c:v>
                </c:pt>
                <c:pt idx="14" formatCode="0.00000">
                  <c:v>2.0445005135850353E-4</c:v>
                </c:pt>
                <c:pt idx="15">
                  <c:v>9.9808898170699093E-4</c:v>
                </c:pt>
                <c:pt idx="16">
                  <c:v>2.5383586042667617E-3</c:v>
                </c:pt>
                <c:pt idx="17">
                  <c:v>4.314498139112573E-3</c:v>
                </c:pt>
                <c:pt idx="18">
                  <c:v>6.8915353541085158E-3</c:v>
                </c:pt>
                <c:pt idx="19">
                  <c:v>9.9520544387187559E-3</c:v>
                </c:pt>
                <c:pt idx="20">
                  <c:v>1.3377114743589573E-2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B9-4D3D-9155-11A96EDFC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</a:t>
            </a:r>
          </a:p>
        </c:rich>
      </c:tx>
      <c:layout>
        <c:manualLayout>
          <c:xMode val="edge"/>
          <c:yMode val="edge"/>
          <c:x val="0.55212375048863582"/>
          <c:y val="0.14845569987764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bulks'!$AC$38:$AC$58</c:f>
              <c:numCache>
                <c:formatCode>General</c:formatCode>
                <c:ptCount val="21"/>
                <c:pt idx="0">
                  <c:v>3.4</c:v>
                </c:pt>
                <c:pt idx="1">
                  <c:v>3.41</c:v>
                </c:pt>
                <c:pt idx="2">
                  <c:v>3.42</c:v>
                </c:pt>
                <c:pt idx="3">
                  <c:v>3.43</c:v>
                </c:pt>
                <c:pt idx="4">
                  <c:v>3.44</c:v>
                </c:pt>
                <c:pt idx="5">
                  <c:v>3.45</c:v>
                </c:pt>
                <c:pt idx="6">
                  <c:v>3.46</c:v>
                </c:pt>
                <c:pt idx="7">
                  <c:v>3.47</c:v>
                </c:pt>
                <c:pt idx="8">
                  <c:v>3.48</c:v>
                </c:pt>
                <c:pt idx="9">
                  <c:v>3.49</c:v>
                </c:pt>
                <c:pt idx="10">
                  <c:v>3.5</c:v>
                </c:pt>
                <c:pt idx="11">
                  <c:v>3.51</c:v>
                </c:pt>
                <c:pt idx="12">
                  <c:v>3.52</c:v>
                </c:pt>
                <c:pt idx="13">
                  <c:v>3.53</c:v>
                </c:pt>
                <c:pt idx="14">
                  <c:v>3.54</c:v>
                </c:pt>
                <c:pt idx="15">
                  <c:v>3.55</c:v>
                </c:pt>
                <c:pt idx="16">
                  <c:v>3.56</c:v>
                </c:pt>
                <c:pt idx="17">
                  <c:v>3.57</c:v>
                </c:pt>
                <c:pt idx="18">
                  <c:v>3.58</c:v>
                </c:pt>
                <c:pt idx="19">
                  <c:v>3.59</c:v>
                </c:pt>
                <c:pt idx="20">
                  <c:v>3.6</c:v>
                </c:pt>
              </c:numCache>
            </c:numRef>
          </c:xVal>
          <c:yVal>
            <c:numRef>
              <c:f>'Metal bulks'!$AE$38:$AE$58</c:f>
              <c:numCache>
                <c:formatCode>0.000</c:formatCode>
                <c:ptCount val="21"/>
                <c:pt idx="0">
                  <c:v>3.931155264044197E-2</c:v>
                </c:pt>
                <c:pt idx="1">
                  <c:v>3.0431535959408541E-2</c:v>
                </c:pt>
                <c:pt idx="2">
                  <c:v>2.2204804745830451E-2</c:v>
                </c:pt>
                <c:pt idx="3">
                  <c:v>1.5726669661280619E-2</c:v>
                </c:pt>
                <c:pt idx="4">
                  <c:v>9.9916735288739685E-3</c:v>
                </c:pt>
                <c:pt idx="5">
                  <c:v>5.6413586844043379E-3</c:v>
                </c:pt>
                <c:pt idx="6">
                  <c:v>3.1552788386332623E-3</c:v>
                </c:pt>
                <c:pt idx="7">
                  <c:v>2.0705577127062783E-3</c:v>
                </c:pt>
                <c:pt idx="8">
                  <c:v>0</c:v>
                </c:pt>
                <c:pt idx="9">
                  <c:v>6.4965810647379951E-4</c:v>
                </c:pt>
                <c:pt idx="10">
                  <c:v>1.1595509529242747E-3</c:v>
                </c:pt>
                <c:pt idx="11">
                  <c:v>3.2573728010128946E-3</c:v>
                </c:pt>
                <c:pt idx="12">
                  <c:v>6.7882127973280951E-3</c:v>
                </c:pt>
                <c:pt idx="13">
                  <c:v>1.0493067819221887E-2</c:v>
                </c:pt>
                <c:pt idx="14">
                  <c:v>1.6064315542421662E-2</c:v>
                </c:pt>
                <c:pt idx="15">
                  <c:v>2.081318572249535E-2</c:v>
                </c:pt>
                <c:pt idx="16">
                  <c:v>2.7038169778944451E-2</c:v>
                </c:pt>
                <c:pt idx="17">
                  <c:v>3.445064224250214E-2</c:v>
                </c:pt>
                <c:pt idx="18">
                  <c:v>4.2388306399433265E-2</c:v>
                </c:pt>
                <c:pt idx="19">
                  <c:v>5.0756080966230514E-2</c:v>
                </c:pt>
                <c:pt idx="20">
                  <c:v>6.0043549150365791E-2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4-4A74-A5E0-FE16CA86F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Co-hcp</a:t>
            </a:r>
          </a:p>
        </c:rich>
      </c:tx>
      <c:layout>
        <c:manualLayout>
          <c:xMode val="edge"/>
          <c:yMode val="edge"/>
          <c:x val="0.41567094831239088"/>
          <c:y val="9.2900262467191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6275999828959"/>
          <c:y val="7.3366900015772299E-2"/>
          <c:w val="0.75039406730481417"/>
          <c:h val="0.8144711630526927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bulks'!$A$64:$A$84</c:f>
              <c:numCache>
                <c:formatCode>General</c:formatCode>
                <c:ptCount val="21"/>
                <c:pt idx="0">
                  <c:v>2.4</c:v>
                </c:pt>
                <c:pt idx="1">
                  <c:v>2.41</c:v>
                </c:pt>
                <c:pt idx="2">
                  <c:v>2.42</c:v>
                </c:pt>
                <c:pt idx="3">
                  <c:v>2.4300000000000002</c:v>
                </c:pt>
                <c:pt idx="4">
                  <c:v>2.44</c:v>
                </c:pt>
                <c:pt idx="5">
                  <c:v>2.4500000000000002</c:v>
                </c:pt>
                <c:pt idx="6">
                  <c:v>2.46</c:v>
                </c:pt>
                <c:pt idx="7">
                  <c:v>2.4700000000000002</c:v>
                </c:pt>
                <c:pt idx="8">
                  <c:v>2.48</c:v>
                </c:pt>
                <c:pt idx="9">
                  <c:v>2.4900000000000002</c:v>
                </c:pt>
                <c:pt idx="10">
                  <c:v>2.5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2.5299999999999998</c:v>
                </c:pt>
                <c:pt idx="14">
                  <c:v>2.54</c:v>
                </c:pt>
                <c:pt idx="15">
                  <c:v>2.5499999999999998</c:v>
                </c:pt>
                <c:pt idx="16">
                  <c:v>2.56</c:v>
                </c:pt>
                <c:pt idx="17">
                  <c:v>2.57</c:v>
                </c:pt>
                <c:pt idx="18">
                  <c:v>2.58</c:v>
                </c:pt>
                <c:pt idx="19">
                  <c:v>2.59</c:v>
                </c:pt>
                <c:pt idx="20">
                  <c:v>2.6</c:v>
                </c:pt>
              </c:numCache>
            </c:numRef>
          </c:xVal>
          <c:yVal>
            <c:numRef>
              <c:f>'Metal bulks'!$D$64:$D$84</c:f>
              <c:numCache>
                <c:formatCode>0.0000</c:formatCode>
                <c:ptCount val="21"/>
                <c:pt idx="0">
                  <c:v>0.16241217555793572</c:v>
                </c:pt>
                <c:pt idx="1">
                  <c:v>0.12407686163439499</c:v>
                </c:pt>
                <c:pt idx="2">
                  <c:v>9.1408938371664888E-2</c:v>
                </c:pt>
                <c:pt idx="3">
                  <c:v>6.4190232572278669E-2</c:v>
                </c:pt>
                <c:pt idx="4">
                  <c:v>4.216371327352373E-2</c:v>
                </c:pt>
                <c:pt idx="5">
                  <c:v>2.5129303512112133E-2</c:v>
                </c:pt>
                <c:pt idx="6">
                  <c:v>1.2964480285401772E-2</c:v>
                </c:pt>
                <c:pt idx="7">
                  <c:v>5.3952307280512634E-3</c:v>
                </c:pt>
                <c:pt idx="8">
                  <c:v>2.2279767773016376E-3</c:v>
                </c:pt>
                <c:pt idx="9">
                  <c:v>3.3030859405559112E-3</c:v>
                </c:pt>
                <c:pt idx="10">
                  <c:v>8.4244936004642234E-3</c:v>
                </c:pt>
                <c:pt idx="11">
                  <c:v>1.7436039414414906E-2</c:v>
                </c:pt>
                <c:pt idx="12">
                  <c:v>3.0142486482792049E-2</c:v>
                </c:pt>
                <c:pt idx="13">
                  <c:v>4.6412994177081453E-2</c:v>
                </c:pt>
                <c:pt idx="14">
                  <c:v>6.6068091342078847E-2</c:v>
                </c:pt>
                <c:pt idx="15">
                  <c:v>8.8955804537797001E-2</c:v>
                </c:pt>
                <c:pt idx="16">
                  <c:v>0.1149122194240116</c:v>
                </c:pt>
                <c:pt idx="17">
                  <c:v>0.14380901947046215</c:v>
                </c:pt>
                <c:pt idx="18">
                  <c:v>0.1755967374814566</c:v>
                </c:pt>
                <c:pt idx="19">
                  <c:v>0.21008397048584548</c:v>
                </c:pt>
                <c:pt idx="20">
                  <c:v>0.24711309772625414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60-455D-92A8-6B832CAF8E95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'Metal bulks'!$E$64:$E$84</c:f>
              <c:numCache>
                <c:formatCode>General</c:formatCode>
                <c:ptCount val="21"/>
                <c:pt idx="0">
                  <c:v>2.4</c:v>
                </c:pt>
                <c:pt idx="1">
                  <c:v>2.41</c:v>
                </c:pt>
                <c:pt idx="2">
                  <c:v>2.42</c:v>
                </c:pt>
                <c:pt idx="3">
                  <c:v>2.4300000000000002</c:v>
                </c:pt>
                <c:pt idx="4">
                  <c:v>2.44</c:v>
                </c:pt>
                <c:pt idx="5">
                  <c:v>2.4500000000000002</c:v>
                </c:pt>
                <c:pt idx="6">
                  <c:v>2.46</c:v>
                </c:pt>
                <c:pt idx="7">
                  <c:v>2.4700000000000002</c:v>
                </c:pt>
                <c:pt idx="8">
                  <c:v>2.48</c:v>
                </c:pt>
                <c:pt idx="9">
                  <c:v>2.4900000000000002</c:v>
                </c:pt>
                <c:pt idx="10">
                  <c:v>2.5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2.5299999999999998</c:v>
                </c:pt>
                <c:pt idx="14">
                  <c:v>2.54</c:v>
                </c:pt>
                <c:pt idx="15">
                  <c:v>2.5499999999999998</c:v>
                </c:pt>
                <c:pt idx="16">
                  <c:v>2.56</c:v>
                </c:pt>
                <c:pt idx="17">
                  <c:v>2.57</c:v>
                </c:pt>
                <c:pt idx="18">
                  <c:v>2.58</c:v>
                </c:pt>
                <c:pt idx="19">
                  <c:v>2.59</c:v>
                </c:pt>
                <c:pt idx="20">
                  <c:v>2.6</c:v>
                </c:pt>
              </c:numCache>
            </c:numRef>
          </c:xVal>
          <c:yVal>
            <c:numRef>
              <c:f>'Metal bulks'!$H$64:$H$84</c:f>
              <c:numCache>
                <c:formatCode>0.0000</c:formatCode>
                <c:ptCount val="21"/>
                <c:pt idx="0">
                  <c:v>0.14074306327631725</c:v>
                </c:pt>
                <c:pt idx="1">
                  <c:v>0.10520072431869605</c:v>
                </c:pt>
                <c:pt idx="2">
                  <c:v>7.5237174099095E-2</c:v>
                </c:pt>
                <c:pt idx="3">
                  <c:v>5.0605775452032438E-2</c:v>
                </c:pt>
                <c:pt idx="4">
                  <c:v>3.1139054128677571E-2</c:v>
                </c:pt>
                <c:pt idx="5">
                  <c:v>1.6658368949872045E-2</c:v>
                </c:pt>
                <c:pt idx="6">
                  <c:v>6.8595470203783411E-3</c:v>
                </c:pt>
                <c:pt idx="7">
                  <c:v>1.582682291776257E-3</c:v>
                </c:pt>
                <c:pt idx="8">
                  <c:v>6.5123936180785903E-4</c:v>
                </c:pt>
                <c:pt idx="9">
                  <c:v>3.8688055577542858E-3</c:v>
                </c:pt>
                <c:pt idx="10">
                  <c:v>1.1071241769293317E-2</c:v>
                </c:pt>
                <c:pt idx="11">
                  <c:v>2.2078696179539396E-2</c:v>
                </c:pt>
                <c:pt idx="12">
                  <c:v>3.6748917331959959E-2</c:v>
                </c:pt>
                <c:pt idx="13">
                  <c:v>5.4883241052396482E-2</c:v>
                </c:pt>
                <c:pt idx="14">
                  <c:v>7.6337875420128667E-2</c:v>
                </c:pt>
                <c:pt idx="15">
                  <c:v>0.10095571021869577</c:v>
                </c:pt>
                <c:pt idx="16">
                  <c:v>0.12857885132670174</c:v>
                </c:pt>
                <c:pt idx="17">
                  <c:v>0.15908072382870361</c:v>
                </c:pt>
                <c:pt idx="18">
                  <c:v>0.19243147494278656</c:v>
                </c:pt>
                <c:pt idx="19">
                  <c:v>0.22842733571828963</c:v>
                </c:pt>
                <c:pt idx="20">
                  <c:v>0.26690303880616062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60-455D-92A8-6B832CAF8E9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'Metal bulks'!$I$64:$I$84</c:f>
              <c:numCache>
                <c:formatCode>General</c:formatCode>
                <c:ptCount val="21"/>
                <c:pt idx="0">
                  <c:v>2.4</c:v>
                </c:pt>
                <c:pt idx="1">
                  <c:v>2.41</c:v>
                </c:pt>
                <c:pt idx="2">
                  <c:v>2.42</c:v>
                </c:pt>
                <c:pt idx="3">
                  <c:v>2.4300000000000002</c:v>
                </c:pt>
                <c:pt idx="4">
                  <c:v>2.44</c:v>
                </c:pt>
                <c:pt idx="5">
                  <c:v>2.4500000000000002</c:v>
                </c:pt>
                <c:pt idx="6">
                  <c:v>2.46</c:v>
                </c:pt>
                <c:pt idx="7">
                  <c:v>2.4700000000000002</c:v>
                </c:pt>
                <c:pt idx="8">
                  <c:v>2.48</c:v>
                </c:pt>
                <c:pt idx="9">
                  <c:v>2.4900000000000002</c:v>
                </c:pt>
                <c:pt idx="10">
                  <c:v>2.5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2.5299999999999998</c:v>
                </c:pt>
                <c:pt idx="14">
                  <c:v>2.54</c:v>
                </c:pt>
                <c:pt idx="15">
                  <c:v>2.5499999999999998</c:v>
                </c:pt>
                <c:pt idx="16">
                  <c:v>2.56</c:v>
                </c:pt>
                <c:pt idx="17">
                  <c:v>2.57</c:v>
                </c:pt>
                <c:pt idx="18">
                  <c:v>2.58</c:v>
                </c:pt>
                <c:pt idx="19">
                  <c:v>2.59</c:v>
                </c:pt>
                <c:pt idx="20">
                  <c:v>2.6</c:v>
                </c:pt>
              </c:numCache>
            </c:numRef>
          </c:xVal>
          <c:yVal>
            <c:numRef>
              <c:f>'Metal bulks'!$L$64:$L$84</c:f>
              <c:numCache>
                <c:formatCode>0.0000</c:formatCode>
                <c:ptCount val="21"/>
                <c:pt idx="0">
                  <c:v>0.12190381844226254</c:v>
                </c:pt>
                <c:pt idx="1">
                  <c:v>8.9049817502860354E-2</c:v>
                </c:pt>
                <c:pt idx="2">
                  <c:v>6.1669841029840626E-2</c:v>
                </c:pt>
                <c:pt idx="3">
                  <c:v>3.9656136477398525E-2</c:v>
                </c:pt>
                <c:pt idx="4">
                  <c:v>2.2690507010957459E-2</c:v>
                </c:pt>
                <c:pt idx="5">
                  <c:v>1.0545353871601141E-2</c:v>
                </c:pt>
                <c:pt idx="6">
                  <c:v>3.0533122272596303E-3</c:v>
                </c:pt>
                <c:pt idx="7">
                  <c:v>0</c:v>
                </c:pt>
                <c:pt idx="8">
                  <c:v>1.199243134273877E-3</c:v>
                </c:pt>
                <c:pt idx="9">
                  <c:v>6.482087840441398E-3</c:v>
                </c:pt>
                <c:pt idx="10">
                  <c:v>1.5691782306976074E-2</c:v>
                </c:pt>
                <c:pt idx="11">
                  <c:v>2.864617829061274E-2</c:v>
                </c:pt>
                <c:pt idx="12">
                  <c:v>4.516076535997194E-2</c:v>
                </c:pt>
                <c:pt idx="13">
                  <c:v>6.5093850566908959E-2</c:v>
                </c:pt>
                <c:pt idx="14">
                  <c:v>8.8268528874543409E-2</c:v>
                </c:pt>
                <c:pt idx="15">
                  <c:v>0.11453794776013387</c:v>
                </c:pt>
                <c:pt idx="16">
                  <c:v>0.14375917041742095</c:v>
                </c:pt>
                <c:pt idx="17">
                  <c:v>0.17581722530636923</c:v>
                </c:pt>
                <c:pt idx="18">
                  <c:v>0.21066808079325894</c:v>
                </c:pt>
                <c:pt idx="19">
                  <c:v>0.24810974945559014</c:v>
                </c:pt>
                <c:pt idx="20">
                  <c:v>0.28795008749071149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60-455D-92A8-6B832CAF8E9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'Metal bulks'!$M$64:$M$84</c:f>
              <c:numCache>
                <c:formatCode>General</c:formatCode>
                <c:ptCount val="21"/>
                <c:pt idx="0">
                  <c:v>2.4</c:v>
                </c:pt>
                <c:pt idx="1">
                  <c:v>2.41</c:v>
                </c:pt>
                <c:pt idx="2">
                  <c:v>2.42</c:v>
                </c:pt>
                <c:pt idx="3">
                  <c:v>2.4300000000000002</c:v>
                </c:pt>
                <c:pt idx="4">
                  <c:v>2.44</c:v>
                </c:pt>
                <c:pt idx="5">
                  <c:v>2.4500000000000002</c:v>
                </c:pt>
                <c:pt idx="6">
                  <c:v>2.46</c:v>
                </c:pt>
                <c:pt idx="7">
                  <c:v>2.4700000000000002</c:v>
                </c:pt>
                <c:pt idx="8">
                  <c:v>2.48</c:v>
                </c:pt>
                <c:pt idx="9">
                  <c:v>2.4900000000000002</c:v>
                </c:pt>
                <c:pt idx="10">
                  <c:v>2.5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2.5299999999999998</c:v>
                </c:pt>
                <c:pt idx="14">
                  <c:v>2.54</c:v>
                </c:pt>
                <c:pt idx="15">
                  <c:v>2.5499999999999998</c:v>
                </c:pt>
                <c:pt idx="16">
                  <c:v>2.56</c:v>
                </c:pt>
                <c:pt idx="17">
                  <c:v>2.57</c:v>
                </c:pt>
                <c:pt idx="18">
                  <c:v>2.58</c:v>
                </c:pt>
                <c:pt idx="19">
                  <c:v>2.59</c:v>
                </c:pt>
                <c:pt idx="20">
                  <c:v>2.6</c:v>
                </c:pt>
              </c:numCache>
            </c:numRef>
          </c:xVal>
          <c:yVal>
            <c:numRef>
              <c:f>'Metal bulks'!$P$64:$P$84</c:f>
              <c:numCache>
                <c:formatCode>0.0000</c:formatCode>
                <c:ptCount val="21"/>
                <c:pt idx="0">
                  <c:v>0.10574792668894951</c:v>
                </c:pt>
                <c:pt idx="1">
                  <c:v>7.5504107864897294E-2</c:v>
                </c:pt>
                <c:pt idx="2">
                  <c:v>5.0764466595134575E-2</c:v>
                </c:pt>
                <c:pt idx="3">
                  <c:v>3.1190757449179717E-2</c:v>
                </c:pt>
                <c:pt idx="4">
                  <c:v>1.6563032640300426E-2</c:v>
                </c:pt>
                <c:pt idx="5">
                  <c:v>6.7332379067052443E-3</c:v>
                </c:pt>
                <c:pt idx="6">
                  <c:v>1.4419342631154222E-3</c:v>
                </c:pt>
                <c:pt idx="7">
                  <c:v>5.1960084074535186E-4</c:v>
                </c:pt>
                <c:pt idx="8">
                  <c:v>3.7741706767812733E-3</c:v>
                </c:pt>
                <c:pt idx="9">
                  <c:v>1.1069127062779944E-2</c:v>
                </c:pt>
                <c:pt idx="10">
                  <c:v>2.2200800642730976E-2</c:v>
                </c:pt>
                <c:pt idx="11">
                  <c:v>3.6998438468532333E-2</c:v>
                </c:pt>
                <c:pt idx="12">
                  <c:v>5.5298014408877737E-2</c:v>
                </c:pt>
                <c:pt idx="13">
                  <c:v>7.694119463511305E-2</c:v>
                </c:pt>
                <c:pt idx="14">
                  <c:v>0.10175908010774214</c:v>
                </c:pt>
                <c:pt idx="15">
                  <c:v>0.12961594589022596</c:v>
                </c:pt>
                <c:pt idx="16">
                  <c:v>0.16038142020436008</c:v>
                </c:pt>
                <c:pt idx="17">
                  <c:v>0.19393598448716148</c:v>
                </c:pt>
                <c:pt idx="18">
                  <c:v>0.23023270587474787</c:v>
                </c:pt>
                <c:pt idx="19">
                  <c:v>0.26901739166169503</c:v>
                </c:pt>
                <c:pt idx="20">
                  <c:v>0.30378877774961305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460-455D-92A8-6B832CAF8E9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'Metal bulks'!$Q$64:$Q$84</c:f>
              <c:numCache>
                <c:formatCode>General</c:formatCode>
                <c:ptCount val="21"/>
                <c:pt idx="0">
                  <c:v>2.4</c:v>
                </c:pt>
                <c:pt idx="1">
                  <c:v>2.41</c:v>
                </c:pt>
                <c:pt idx="2">
                  <c:v>2.42</c:v>
                </c:pt>
                <c:pt idx="3">
                  <c:v>2.4300000000000002</c:v>
                </c:pt>
                <c:pt idx="4">
                  <c:v>2.44</c:v>
                </c:pt>
                <c:pt idx="5">
                  <c:v>2.4500000000000002</c:v>
                </c:pt>
                <c:pt idx="6">
                  <c:v>2.46</c:v>
                </c:pt>
                <c:pt idx="7">
                  <c:v>2.4700000000000002</c:v>
                </c:pt>
                <c:pt idx="8">
                  <c:v>2.48</c:v>
                </c:pt>
                <c:pt idx="9">
                  <c:v>2.4900000000000002</c:v>
                </c:pt>
                <c:pt idx="10">
                  <c:v>2.5</c:v>
                </c:pt>
                <c:pt idx="11">
                  <c:v>2.5099999999999998</c:v>
                </c:pt>
                <c:pt idx="12">
                  <c:v>2.52</c:v>
                </c:pt>
                <c:pt idx="13">
                  <c:v>2.5299999999999998</c:v>
                </c:pt>
                <c:pt idx="14">
                  <c:v>2.54</c:v>
                </c:pt>
                <c:pt idx="15">
                  <c:v>2.5499999999999998</c:v>
                </c:pt>
                <c:pt idx="16">
                  <c:v>2.56</c:v>
                </c:pt>
                <c:pt idx="17">
                  <c:v>2.57</c:v>
                </c:pt>
                <c:pt idx="18">
                  <c:v>2.58</c:v>
                </c:pt>
                <c:pt idx="19">
                  <c:v>2.59</c:v>
                </c:pt>
                <c:pt idx="20">
                  <c:v>2.6</c:v>
                </c:pt>
              </c:numCache>
            </c:numRef>
          </c:xVal>
          <c:yVal>
            <c:numRef>
              <c:f>'Metal bulks'!$T$64:$T$84</c:f>
              <c:numCache>
                <c:formatCode>0.0000</c:formatCode>
                <c:ptCount val="21"/>
                <c:pt idx="0">
                  <c:v>9.2238218630112528E-2</c:v>
                </c:pt>
                <c:pt idx="1">
                  <c:v>6.4605373391690604E-2</c:v>
                </c:pt>
                <c:pt idx="2">
                  <c:v>4.2268749251025001E-2</c:v>
                </c:pt>
                <c:pt idx="3">
                  <c:v>2.5043764367674907E-2</c:v>
                </c:pt>
                <c:pt idx="4">
                  <c:v>1.2726330329551901E-2</c:v>
                </c:pt>
                <c:pt idx="5">
                  <c:v>5.0826464374983974E-3</c:v>
                </c:pt>
                <c:pt idx="6">
                  <c:v>1.9126343933475256E-3</c:v>
                </c:pt>
                <c:pt idx="7">
                  <c:v>3.0484002425390714E-3</c:v>
                </c:pt>
                <c:pt idx="8">
                  <c:v>8.3054807060097009E-3</c:v>
                </c:pt>
                <c:pt idx="9">
                  <c:v>1.7505685741083118E-2</c:v>
                </c:pt>
                <c:pt idx="10">
                  <c:v>3.047730863718066E-2</c:v>
                </c:pt>
                <c:pt idx="11">
                  <c:v>4.7055108221560532E-2</c:v>
                </c:pt>
                <c:pt idx="12">
                  <c:v>6.7055160577392914E-2</c:v>
                </c:pt>
                <c:pt idx="13">
                  <c:v>9.0331707917216439E-2</c:v>
                </c:pt>
                <c:pt idx="14">
                  <c:v>0.11672835919947924</c:v>
                </c:pt>
                <c:pt idx="15">
                  <c:v>0.14612496844490691</c:v>
                </c:pt>
                <c:pt idx="16">
                  <c:v>0.17837650980350303</c:v>
                </c:pt>
                <c:pt idx="17">
                  <c:v>0.21336336405808348</c:v>
                </c:pt>
                <c:pt idx="18">
                  <c:v>0.25099745497911674</c:v>
                </c:pt>
                <c:pt idx="19">
                  <c:v>0.28466208295179996</c:v>
                </c:pt>
                <c:pt idx="20">
                  <c:v>0.32693529598686899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460-455D-92A8-6B832CAF8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  <c:max val="2.5"/>
          <c:min val="2.44999999999999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1.000000000000000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Co-fcc</a:t>
            </a:r>
          </a:p>
        </c:rich>
      </c:tx>
      <c:layout>
        <c:manualLayout>
          <c:xMode val="edge"/>
          <c:yMode val="edge"/>
          <c:x val="0.10531523985033789"/>
          <c:y val="0.356960410891670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792006103043349"/>
          <c:y val="0.10730663662456369"/>
          <c:w val="0.69453686801260572"/>
          <c:h val="0.81447116305269274"/>
        </c:manualLayout>
      </c:layout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'Metal bulks'!$V$64:$V$84</c:f>
              <c:numCache>
                <c:formatCode>General</c:formatCode>
                <c:ptCount val="21"/>
                <c:pt idx="0">
                  <c:v>3.4</c:v>
                </c:pt>
                <c:pt idx="1">
                  <c:v>3.41</c:v>
                </c:pt>
                <c:pt idx="2">
                  <c:v>3.42</c:v>
                </c:pt>
                <c:pt idx="3">
                  <c:v>3.43</c:v>
                </c:pt>
                <c:pt idx="4">
                  <c:v>3.44</c:v>
                </c:pt>
                <c:pt idx="5">
                  <c:v>3.45</c:v>
                </c:pt>
                <c:pt idx="6">
                  <c:v>3.46</c:v>
                </c:pt>
                <c:pt idx="7">
                  <c:v>3.47</c:v>
                </c:pt>
                <c:pt idx="8">
                  <c:v>3.48</c:v>
                </c:pt>
                <c:pt idx="9">
                  <c:v>3.49</c:v>
                </c:pt>
                <c:pt idx="10">
                  <c:v>3.5</c:v>
                </c:pt>
                <c:pt idx="11">
                  <c:v>3.51</c:v>
                </c:pt>
                <c:pt idx="12">
                  <c:v>3.52</c:v>
                </c:pt>
                <c:pt idx="13">
                  <c:v>3.53</c:v>
                </c:pt>
                <c:pt idx="14">
                  <c:v>3.54</c:v>
                </c:pt>
                <c:pt idx="15">
                  <c:v>3.55</c:v>
                </c:pt>
                <c:pt idx="16">
                  <c:v>3.56</c:v>
                </c:pt>
                <c:pt idx="17">
                  <c:v>3.57</c:v>
                </c:pt>
                <c:pt idx="18">
                  <c:v>3.58</c:v>
                </c:pt>
                <c:pt idx="19">
                  <c:v>3.59</c:v>
                </c:pt>
                <c:pt idx="20">
                  <c:v>3.6</c:v>
                </c:pt>
              </c:numCache>
            </c:numRef>
          </c:xVal>
          <c:yVal>
            <c:numRef>
              <c:f>'Metal bulks'!$X$64:$X$84</c:f>
              <c:numCache>
                <c:formatCode>0.0000</c:formatCode>
                <c:ptCount val="21"/>
                <c:pt idx="0">
                  <c:v>0.10775608517824138</c:v>
                </c:pt>
                <c:pt idx="1">
                  <c:v>8.6714810971055517E-2</c:v>
                </c:pt>
                <c:pt idx="2">
                  <c:v>6.8332317812744181E-2</c:v>
                </c:pt>
                <c:pt idx="3">
                  <c:v>5.2569148575882414E-2</c:v>
                </c:pt>
                <c:pt idx="4">
                  <c:v>3.9328056463844359E-2</c:v>
                </c:pt>
                <c:pt idx="5">
                  <c:v>2.8566053834230092E-2</c:v>
                </c:pt>
                <c:pt idx="6">
                  <c:v>2.0220058292550653E-2</c:v>
                </c:pt>
                <c:pt idx="7">
                  <c:v>1.4215662770899678E-2</c:v>
                </c:pt>
                <c:pt idx="8">
                  <c:v>1.0439339509835804E-2</c:v>
                </c:pt>
                <c:pt idx="9">
                  <c:v>8.8873434052514199E-3</c:v>
                </c:pt>
                <c:pt idx="10">
                  <c:v>9.4539706875204164E-3</c:v>
                </c:pt>
                <c:pt idx="11">
                  <c:v>1.210808144519084E-2</c:v>
                </c:pt>
                <c:pt idx="12">
                  <c:v>1.6781392696066485E-2</c:v>
                </c:pt>
                <c:pt idx="13">
                  <c:v>2.3393186069376463E-2</c:v>
                </c:pt>
                <c:pt idx="14">
                  <c:v>3.1916680755673159E-2</c:v>
                </c:pt>
                <c:pt idx="15">
                  <c:v>4.2253898737029026E-2</c:v>
                </c:pt>
                <c:pt idx="16">
                  <c:v>5.4385578369648684E-2</c:v>
                </c:pt>
                <c:pt idx="17">
                  <c:v>6.8253431908989956E-2</c:v>
                </c:pt>
                <c:pt idx="18">
                  <c:v>8.3795317824366986E-2</c:v>
                </c:pt>
                <c:pt idx="19">
                  <c:v>0.10095068062541977</c:v>
                </c:pt>
                <c:pt idx="20">
                  <c:v>0.1196786545626435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C9-4F1F-8DEE-F1A3ABE0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1247"/>
        <c:axId val="85777887"/>
      </c:scatterChart>
      <c:valAx>
        <c:axId val="8578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7887"/>
        <c:crosses val="autoZero"/>
        <c:crossBetween val="midCat"/>
      </c:valAx>
      <c:valAx>
        <c:axId val="85777887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8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2106539623454327E-2"/>
                  <c:y val="0.105976992237672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'Cu(111)'!$A$90:$A$92</c:f>
            </c:numRef>
          </c:xVal>
          <c:yVal>
            <c:numRef>
              <c:f>'Cu(111)'!$G$90:$G$92</c:f>
            </c:numRef>
          </c:yVal>
          <c:smooth val="0"/>
          <c:extLst>
            <c:ext xmlns:c16="http://schemas.microsoft.com/office/drawing/2014/chart" uri="{C3380CC4-5D6E-409C-BE32-E72D297353CC}">
              <c16:uniqueId val="{00000000-121D-461E-A14D-E2791ACD8FC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8935395649312443E-2"/>
                  <c:y val="-0.3200435583849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('Cu(111)'!$A$35,'Cu(111)'!$A$37,'Cu(111)'!$A$39)</c:f>
            </c:numRef>
          </c:xVal>
          <c:yVal>
            <c:numRef>
              <c:f>('Cu(111)'!$G$35,'Cu(111)'!$G$37,'Cu(111)'!$G$39)</c:f>
            </c:numRef>
          </c:yVal>
          <c:smooth val="0"/>
          <c:extLst>
            <c:ext xmlns:c16="http://schemas.microsoft.com/office/drawing/2014/chart" uri="{C3380CC4-5D6E-409C-BE32-E72D297353CC}">
              <c16:uniqueId val="{00000002-121D-461E-A14D-E2791ACD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48463"/>
        <c:axId val="118132143"/>
      </c:scatterChart>
      <c:valAx>
        <c:axId val="11814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32143"/>
        <c:crosses val="autoZero"/>
        <c:crossBetween val="midCat"/>
      </c:valAx>
      <c:valAx>
        <c:axId val="11813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48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9725065827627089E-2"/>
          <c:y val="2.1402004404186274E-2"/>
          <c:w val="0.93948811869861271"/>
          <c:h val="0.95719599119162746"/>
        </c:manualLayout>
      </c:layout>
      <c:scatterChart>
        <c:scatterStyle val="lineMarker"/>
        <c:varyColors val="0"/>
        <c:ser>
          <c:idx val="0"/>
          <c:order val="0"/>
          <c:tx>
            <c:v>H2O (A)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738132213122995"/>
                  <c:y val="-9.49774781778458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'Pt(111)'!$AD$393:$AD$395</c:f>
              <c:numCache>
                <c:formatCode>General</c:formatCode>
                <c:ptCount val="3"/>
                <c:pt idx="0">
                  <c:v>0.8</c:v>
                </c:pt>
                <c:pt idx="1">
                  <c:v>0.4</c:v>
                </c:pt>
                <c:pt idx="2">
                  <c:v>0</c:v>
                </c:pt>
              </c:numCache>
            </c:numRef>
          </c:xVal>
          <c:yVal>
            <c:numRef>
              <c:f>'Pt(111)'!$AJ$393:$AJ$395</c:f>
              <c:numCache>
                <c:formatCode>0.000</c:formatCode>
                <c:ptCount val="3"/>
                <c:pt idx="0">
                  <c:v>-1.0141458106449703</c:v>
                </c:pt>
                <c:pt idx="1">
                  <c:v>-0.66532271628281014</c:v>
                </c:pt>
                <c:pt idx="2">
                  <c:v>-0.30714149334422691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4-4DA0-8E68-4425309B0EB2}"/>
            </c:ext>
          </c:extLst>
        </c:ser>
        <c:ser>
          <c:idx val="1"/>
          <c:order val="1"/>
          <c:tx>
            <c:v>H2O (B)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503912608872524"/>
                  <c:y val="-0.1040769047380477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'Pt(111)'!$AL$393:$AL$395</c:f>
              <c:numCache>
                <c:formatCode>General</c:formatCode>
                <c:ptCount val="3"/>
                <c:pt idx="0">
                  <c:v>0.8</c:v>
                </c:pt>
                <c:pt idx="1">
                  <c:v>0.4</c:v>
                </c:pt>
                <c:pt idx="2">
                  <c:v>0</c:v>
                </c:pt>
              </c:numCache>
            </c:numRef>
          </c:xVal>
          <c:yVal>
            <c:numRef>
              <c:f>'Pt(111)'!$AR$393:$AR$395</c:f>
              <c:numCache>
                <c:formatCode>0.000</c:formatCode>
                <c:ptCount val="3"/>
                <c:pt idx="0">
                  <c:v>-0.74606216727303254</c:v>
                </c:pt>
                <c:pt idx="1">
                  <c:v>-0.39974512313389132</c:v>
                </c:pt>
                <c:pt idx="2">
                  <c:v>-8.1813480363473357E-2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4-4DA0-8E68-4425309B0EB2}"/>
            </c:ext>
          </c:extLst>
        </c:ser>
        <c:ser>
          <c:idx val="2"/>
          <c:order val="2"/>
          <c:tx>
            <c:v>no H2O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5336500135710715E-2"/>
                  <c:y val="-0.187552475097003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'Pt(111)'!$A$393:$A$395</c:f>
              <c:numCache>
                <c:formatCode>General</c:formatCode>
                <c:ptCount val="3"/>
                <c:pt idx="0">
                  <c:v>0.8</c:v>
                </c:pt>
                <c:pt idx="1">
                  <c:v>0.4</c:v>
                </c:pt>
                <c:pt idx="2">
                  <c:v>0</c:v>
                </c:pt>
              </c:numCache>
            </c:numRef>
          </c:xVal>
          <c:yVal>
            <c:numRef>
              <c:f>'Pt(111)'!$G$393:$G$395</c:f>
              <c:numCache>
                <c:formatCode>0.000</c:formatCode>
                <c:ptCount val="3"/>
                <c:pt idx="0">
                  <c:v>-0.75717052441301202</c:v>
                </c:pt>
                <c:pt idx="1">
                  <c:v>-0.37804509030807676</c:v>
                </c:pt>
                <c:pt idx="2">
                  <c:v>-1.4871386732337122E-2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4-4DA0-8E68-4425309B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734735"/>
        <c:axId val="1361735215"/>
      </c:scatterChart>
      <c:valAx>
        <c:axId val="1361734735"/>
        <c:scaling>
          <c:orientation val="minMax"/>
          <c:max val="0.8"/>
          <c:min val="0"/>
        </c:scaling>
        <c:delete val="0"/>
        <c:axPos val="t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5215"/>
        <c:crosses val="max"/>
        <c:crossBetween val="midCat"/>
        <c:majorUnit val="0.2"/>
      </c:valAx>
      <c:valAx>
        <c:axId val="1361735215"/>
        <c:scaling>
          <c:orientation val="minMax"/>
          <c:max val="0.2"/>
          <c:min val="-1.2"/>
        </c:scaling>
        <c:delete val="0"/>
        <c:axPos val="l"/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4735"/>
        <c:crosses val="autoZero"/>
        <c:crossBetween val="midCat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048556430446198E-2"/>
          <c:y val="5.5555555555555552E-2"/>
          <c:w val="0.91606255468066489"/>
          <c:h val="0.7922448235637211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5957349081364831E-2"/>
                  <c:y val="0.220593832020997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'HOMO-benchmark'!$C$2:$C$18</c:f>
              <c:numCache>
                <c:formatCode>General</c:formatCode>
                <c:ptCount val="17"/>
                <c:pt idx="0">
                  <c:v>-6.7009999999999996</c:v>
                </c:pt>
                <c:pt idx="1">
                  <c:v>-6.5780000000000003</c:v>
                </c:pt>
                <c:pt idx="2">
                  <c:v>-8.3510000000000009</c:v>
                </c:pt>
                <c:pt idx="3">
                  <c:v>-8.2940000000000005</c:v>
                </c:pt>
                <c:pt idx="4">
                  <c:v>-8.3170000000000002</c:v>
                </c:pt>
                <c:pt idx="5">
                  <c:v>-8.3279999999999994</c:v>
                </c:pt>
                <c:pt idx="6">
                  <c:v>-1.071</c:v>
                </c:pt>
                <c:pt idx="7">
                  <c:v>1.2210000000000001</c:v>
                </c:pt>
                <c:pt idx="8">
                  <c:v>5.3999999999999999E-2</c:v>
                </c:pt>
                <c:pt idx="9">
                  <c:v>2.5779999999999998</c:v>
                </c:pt>
                <c:pt idx="10">
                  <c:v>2.2029999999999998</c:v>
                </c:pt>
                <c:pt idx="11">
                  <c:v>0.33300000000000002</c:v>
                </c:pt>
                <c:pt idx="12">
                  <c:v>0.33900000000000002</c:v>
                </c:pt>
                <c:pt idx="13">
                  <c:v>4.8810000000000002</c:v>
                </c:pt>
                <c:pt idx="14">
                  <c:v>7.008</c:v>
                </c:pt>
                <c:pt idx="15">
                  <c:v>5.7666000000000004</c:v>
                </c:pt>
                <c:pt idx="16">
                  <c:v>5.694</c:v>
                </c:pt>
              </c:numCache>
            </c:numRef>
          </c:xVal>
          <c:yVal>
            <c:numRef>
              <c:f>'HOMO-benchmark'!$D$2:$D$18</c:f>
              <c:numCache>
                <c:formatCode>General</c:formatCode>
                <c:ptCount val="17"/>
                <c:pt idx="0">
                  <c:v>-14.061</c:v>
                </c:pt>
                <c:pt idx="1">
                  <c:v>-13.768000000000001</c:v>
                </c:pt>
                <c:pt idx="2">
                  <c:v>-14.776999999999999</c:v>
                </c:pt>
                <c:pt idx="3">
                  <c:v>-14.677</c:v>
                </c:pt>
                <c:pt idx="4">
                  <c:v>-14.787000000000001</c:v>
                </c:pt>
                <c:pt idx="5">
                  <c:v>-14.763999999999999</c:v>
                </c:pt>
                <c:pt idx="6">
                  <c:v>-6.944</c:v>
                </c:pt>
                <c:pt idx="7">
                  <c:v>-4.516</c:v>
                </c:pt>
                <c:pt idx="8">
                  <c:v>-5.7830000000000004</c:v>
                </c:pt>
                <c:pt idx="9">
                  <c:v>-2.8420000000000001</c:v>
                </c:pt>
                <c:pt idx="10">
                  <c:v>-2.9630000000000001</c:v>
                </c:pt>
                <c:pt idx="11">
                  <c:v>-6.3879999999999999</c:v>
                </c:pt>
                <c:pt idx="12">
                  <c:v>-6.2430000000000003</c:v>
                </c:pt>
                <c:pt idx="13">
                  <c:v>-0.76400000000000001</c:v>
                </c:pt>
                <c:pt idx="14">
                  <c:v>1.4490000000000001</c:v>
                </c:pt>
                <c:pt idx="15">
                  <c:v>1.9415</c:v>
                </c:pt>
                <c:pt idx="16">
                  <c:v>2.0746000000000002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D-4C87-B65B-B098BFB3499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'HOMO-benchmark'!$C$2:$C$18</c:f>
              <c:numCache>
                <c:formatCode>General</c:formatCode>
                <c:ptCount val="17"/>
                <c:pt idx="0">
                  <c:v>-6.7009999999999996</c:v>
                </c:pt>
                <c:pt idx="1">
                  <c:v>-6.5780000000000003</c:v>
                </c:pt>
                <c:pt idx="2">
                  <c:v>-8.3510000000000009</c:v>
                </c:pt>
                <c:pt idx="3">
                  <c:v>-8.2940000000000005</c:v>
                </c:pt>
                <c:pt idx="4">
                  <c:v>-8.3170000000000002</c:v>
                </c:pt>
                <c:pt idx="5">
                  <c:v>-8.3279999999999994</c:v>
                </c:pt>
                <c:pt idx="6">
                  <c:v>-1.071</c:v>
                </c:pt>
                <c:pt idx="7">
                  <c:v>1.2210000000000001</c:v>
                </c:pt>
                <c:pt idx="8">
                  <c:v>5.3999999999999999E-2</c:v>
                </c:pt>
                <c:pt idx="9">
                  <c:v>2.5779999999999998</c:v>
                </c:pt>
                <c:pt idx="10">
                  <c:v>2.2029999999999998</c:v>
                </c:pt>
                <c:pt idx="11">
                  <c:v>0.33300000000000002</c:v>
                </c:pt>
                <c:pt idx="12">
                  <c:v>0.33900000000000002</c:v>
                </c:pt>
                <c:pt idx="13">
                  <c:v>4.8810000000000002</c:v>
                </c:pt>
                <c:pt idx="14">
                  <c:v>7.008</c:v>
                </c:pt>
                <c:pt idx="15">
                  <c:v>5.7666000000000004</c:v>
                </c:pt>
                <c:pt idx="16">
                  <c:v>5.694</c:v>
                </c:pt>
              </c:numCache>
            </c:numRef>
          </c:xVal>
          <c:yVal>
            <c:numRef>
              <c:f>'HOMO-benchmark'!$E$2:$E$18</c:f>
              <c:numCache>
                <c:formatCode>General</c:formatCode>
                <c:ptCount val="17"/>
                <c:pt idx="0">
                  <c:v>-13.331</c:v>
                </c:pt>
                <c:pt idx="1">
                  <c:v>-13.148999999999999</c:v>
                </c:pt>
                <c:pt idx="2">
                  <c:v>-14.715</c:v>
                </c:pt>
                <c:pt idx="3">
                  <c:v>-14.612</c:v>
                </c:pt>
                <c:pt idx="4">
                  <c:v>-14.676</c:v>
                </c:pt>
                <c:pt idx="5">
                  <c:v>-14.678000000000001</c:v>
                </c:pt>
                <c:pt idx="6">
                  <c:v>-6.6849999999999996</c:v>
                </c:pt>
                <c:pt idx="7">
                  <c:v>-4.0579999999999998</c:v>
                </c:pt>
                <c:pt idx="8">
                  <c:v>-5.6369999999999996</c:v>
                </c:pt>
                <c:pt idx="9">
                  <c:v>-2.831</c:v>
                </c:pt>
                <c:pt idx="10">
                  <c:v>-2.9510000000000001</c:v>
                </c:pt>
                <c:pt idx="11">
                  <c:v>-6.0620000000000003</c:v>
                </c:pt>
                <c:pt idx="12">
                  <c:v>-5.984</c:v>
                </c:pt>
                <c:pt idx="13">
                  <c:v>-0.54</c:v>
                </c:pt>
                <c:pt idx="14">
                  <c:v>1.7</c:v>
                </c:pt>
                <c:pt idx="15">
                  <c:v>2.2334999999999998</c:v>
                </c:pt>
                <c:pt idx="16">
                  <c:v>2.3597999999999999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3D-4C87-B65B-B098BFB34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408223"/>
        <c:axId val="1240408703"/>
      </c:scatterChart>
      <c:valAx>
        <c:axId val="124040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408703"/>
        <c:crosses val="autoZero"/>
        <c:crossBetween val="midCat"/>
      </c:valAx>
      <c:valAx>
        <c:axId val="124040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40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048556430446198E-2"/>
          <c:y val="5.5555555555555552E-2"/>
          <c:w val="0.91606255468066489"/>
          <c:h val="0.7922448235637211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420297462817148"/>
                  <c:y val="0.169831636899046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'HOMO-benchmark'!$C$21:$C$37</c:f>
              <c:numCache>
                <c:formatCode>General</c:formatCode>
                <c:ptCount val="17"/>
                <c:pt idx="0">
                  <c:v>-5.3178999999999998</c:v>
                </c:pt>
                <c:pt idx="1">
                  <c:v>-5.1547000000000001</c:v>
                </c:pt>
                <c:pt idx="2">
                  <c:v>-5.7533000000000003</c:v>
                </c:pt>
                <c:pt idx="3">
                  <c:v>-5.5148999999999999</c:v>
                </c:pt>
                <c:pt idx="4">
                  <c:v>-4.1970999999999998</c:v>
                </c:pt>
                <c:pt idx="5">
                  <c:v>-3.9241999999999999</c:v>
                </c:pt>
                <c:pt idx="6">
                  <c:v>3.375</c:v>
                </c:pt>
                <c:pt idx="7">
                  <c:v>3.9889000000000001</c:v>
                </c:pt>
                <c:pt idx="8">
                  <c:v>3.9878</c:v>
                </c:pt>
                <c:pt idx="9">
                  <c:v>7.6395999999999997</c:v>
                </c:pt>
                <c:pt idx="10">
                  <c:v>3.6903999999999999</c:v>
                </c:pt>
                <c:pt idx="11">
                  <c:v>3.6520000000000001</c:v>
                </c:pt>
                <c:pt idx="12">
                  <c:v>3.7012999999999998</c:v>
                </c:pt>
                <c:pt idx="13">
                  <c:v>7.9794999999999998</c:v>
                </c:pt>
                <c:pt idx="14">
                  <c:v>8.6470000000000002</c:v>
                </c:pt>
                <c:pt idx="15">
                  <c:v>8.2760999999999996</c:v>
                </c:pt>
                <c:pt idx="16">
                  <c:v>7.4581</c:v>
                </c:pt>
              </c:numCache>
            </c:numRef>
          </c:xVal>
          <c:yVal>
            <c:numRef>
              <c:f>'HOMO-benchmark'!$D$21:$D$37</c:f>
              <c:numCache>
                <c:formatCode>General</c:formatCode>
                <c:ptCount val="17"/>
                <c:pt idx="0">
                  <c:v>0.1181</c:v>
                </c:pt>
                <c:pt idx="1">
                  <c:v>0.38890000000000002</c:v>
                </c:pt>
                <c:pt idx="2">
                  <c:v>0.30480000000000002</c:v>
                </c:pt>
                <c:pt idx="3">
                  <c:v>0.75349999999999995</c:v>
                </c:pt>
                <c:pt idx="4">
                  <c:v>0.43509999999999999</c:v>
                </c:pt>
                <c:pt idx="5">
                  <c:v>0.60570000000000002</c:v>
                </c:pt>
                <c:pt idx="6">
                  <c:v>5.7042999999999999</c:v>
                </c:pt>
                <c:pt idx="7">
                  <c:v>8.2946000000000009</c:v>
                </c:pt>
                <c:pt idx="8">
                  <c:v>6.2034000000000002</c:v>
                </c:pt>
                <c:pt idx="9">
                  <c:v>11.399699999999999</c:v>
                </c:pt>
                <c:pt idx="10">
                  <c:v>4.8619000000000003</c:v>
                </c:pt>
                <c:pt idx="11">
                  <c:v>7.5519999999999996</c:v>
                </c:pt>
                <c:pt idx="12">
                  <c:v>6.0267999999999997</c:v>
                </c:pt>
                <c:pt idx="13">
                  <c:v>10.006399999999999</c:v>
                </c:pt>
                <c:pt idx="14">
                  <c:v>10.7752</c:v>
                </c:pt>
                <c:pt idx="15">
                  <c:v>10.372999999999999</c:v>
                </c:pt>
                <c:pt idx="16">
                  <c:v>8.9323999999999995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EC-49DC-9D19-546FD9A789F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2463692038495187E-2"/>
                  <c:y val="-0.10541834709685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'HOMO-benchmark'!$C$21:$C$37</c:f>
              <c:numCache>
                <c:formatCode>General</c:formatCode>
                <c:ptCount val="17"/>
                <c:pt idx="0">
                  <c:v>-5.3178999999999998</c:v>
                </c:pt>
                <c:pt idx="1">
                  <c:v>-5.1547000000000001</c:v>
                </c:pt>
                <c:pt idx="2">
                  <c:v>-5.7533000000000003</c:v>
                </c:pt>
                <c:pt idx="3">
                  <c:v>-5.5148999999999999</c:v>
                </c:pt>
                <c:pt idx="4">
                  <c:v>-4.1970999999999998</c:v>
                </c:pt>
                <c:pt idx="5">
                  <c:v>-3.9241999999999999</c:v>
                </c:pt>
                <c:pt idx="6">
                  <c:v>3.375</c:v>
                </c:pt>
                <c:pt idx="7">
                  <c:v>3.9889000000000001</c:v>
                </c:pt>
                <c:pt idx="8">
                  <c:v>3.9878</c:v>
                </c:pt>
                <c:pt idx="9">
                  <c:v>7.6395999999999997</c:v>
                </c:pt>
                <c:pt idx="10">
                  <c:v>3.6903999999999999</c:v>
                </c:pt>
                <c:pt idx="11">
                  <c:v>3.6520000000000001</c:v>
                </c:pt>
                <c:pt idx="12">
                  <c:v>3.7012999999999998</c:v>
                </c:pt>
                <c:pt idx="13">
                  <c:v>7.9794999999999998</c:v>
                </c:pt>
                <c:pt idx="14">
                  <c:v>8.6470000000000002</c:v>
                </c:pt>
                <c:pt idx="15">
                  <c:v>8.2760999999999996</c:v>
                </c:pt>
                <c:pt idx="16">
                  <c:v>7.4581</c:v>
                </c:pt>
              </c:numCache>
            </c:numRef>
          </c:xVal>
          <c:yVal>
            <c:numRef>
              <c:f>'HOMO-benchmark'!$E$21:$E$37</c:f>
              <c:numCache>
                <c:formatCode>General</c:formatCode>
                <c:ptCount val="17"/>
                <c:pt idx="0">
                  <c:v>0.72760000000000002</c:v>
                </c:pt>
                <c:pt idx="1">
                  <c:v>0.81579999999999997</c:v>
                </c:pt>
                <c:pt idx="2">
                  <c:v>1.603</c:v>
                </c:pt>
                <c:pt idx="3">
                  <c:v>1.5179</c:v>
                </c:pt>
                <c:pt idx="4">
                  <c:v>0.65769999999999995</c:v>
                </c:pt>
                <c:pt idx="5">
                  <c:v>0.7671</c:v>
                </c:pt>
                <c:pt idx="6">
                  <c:v>5.6909999999999998</c:v>
                </c:pt>
                <c:pt idx="7">
                  <c:v>8.2667999999999999</c:v>
                </c:pt>
                <c:pt idx="8">
                  <c:v>6.1835000000000004</c:v>
                </c:pt>
                <c:pt idx="9">
                  <c:v>11.352</c:v>
                </c:pt>
                <c:pt idx="10">
                  <c:v>4.8605</c:v>
                </c:pt>
                <c:pt idx="11">
                  <c:v>7.5735000000000001</c:v>
                </c:pt>
                <c:pt idx="12">
                  <c:v>6.0453000000000001</c:v>
                </c:pt>
                <c:pt idx="13">
                  <c:v>10.028499999999999</c:v>
                </c:pt>
                <c:pt idx="14">
                  <c:v>10.795299999999999</c:v>
                </c:pt>
                <c:pt idx="15">
                  <c:v>10.475300000000001</c:v>
                </c:pt>
                <c:pt idx="16">
                  <c:v>8.9446999999999992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EC-49DC-9D19-546FD9A7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408223"/>
        <c:axId val="1240408703"/>
      </c:scatterChart>
      <c:valAx>
        <c:axId val="124040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408703"/>
        <c:crosses val="autoZero"/>
        <c:crossBetween val="midCat"/>
      </c:valAx>
      <c:valAx>
        <c:axId val="124040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40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3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1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5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4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" Type="http://schemas.openxmlformats.org/officeDocument/2006/relationships/image" Target="../media/image3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5" Type="http://schemas.openxmlformats.org/officeDocument/2006/relationships/image" Target="../media/image5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26" Type="http://schemas.openxmlformats.org/officeDocument/2006/relationships/image" Target="../media/image92.png"/><Relationship Id="rId3" Type="http://schemas.openxmlformats.org/officeDocument/2006/relationships/image" Target="../media/image3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5" Type="http://schemas.openxmlformats.org/officeDocument/2006/relationships/image" Target="../media/image91.png"/><Relationship Id="rId2" Type="http://schemas.openxmlformats.org/officeDocument/2006/relationships/image" Target="../media/image2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image" Target="../media/image1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24" Type="http://schemas.openxmlformats.org/officeDocument/2006/relationships/image" Target="../media/image90.png"/><Relationship Id="rId5" Type="http://schemas.openxmlformats.org/officeDocument/2006/relationships/image" Target="../media/image5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4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Relationship Id="rId27" Type="http://schemas.openxmlformats.org/officeDocument/2006/relationships/image" Target="../media/image9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3.png"/><Relationship Id="rId21" Type="http://schemas.openxmlformats.org/officeDocument/2006/relationships/image" Target="../media/image109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2" Type="http://schemas.openxmlformats.org/officeDocument/2006/relationships/image" Target="../media/image2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1" Type="http://schemas.openxmlformats.org/officeDocument/2006/relationships/image" Target="../media/image1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5" Type="http://schemas.openxmlformats.org/officeDocument/2006/relationships/image" Target="../media/image5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4" Type="http://schemas.openxmlformats.org/officeDocument/2006/relationships/image" Target="../media/image4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26" Type="http://schemas.openxmlformats.org/officeDocument/2006/relationships/image" Target="../media/image136.png"/><Relationship Id="rId3" Type="http://schemas.openxmlformats.org/officeDocument/2006/relationships/image" Target="../media/image3.png"/><Relationship Id="rId21" Type="http://schemas.openxmlformats.org/officeDocument/2006/relationships/image" Target="../media/image131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5" Type="http://schemas.openxmlformats.org/officeDocument/2006/relationships/image" Target="../media/image135.png"/><Relationship Id="rId2" Type="http://schemas.openxmlformats.org/officeDocument/2006/relationships/image" Target="../media/image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1" Type="http://schemas.openxmlformats.org/officeDocument/2006/relationships/image" Target="../media/image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4.png"/><Relationship Id="rId5" Type="http://schemas.openxmlformats.org/officeDocument/2006/relationships/image" Target="../media/image5.png"/><Relationship Id="rId15" Type="http://schemas.openxmlformats.org/officeDocument/2006/relationships/image" Target="../media/image125.png"/><Relationship Id="rId23" Type="http://schemas.openxmlformats.org/officeDocument/2006/relationships/image" Target="../media/image133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4" Type="http://schemas.openxmlformats.org/officeDocument/2006/relationships/image" Target="../media/image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2.png"/><Relationship Id="rId27" Type="http://schemas.openxmlformats.org/officeDocument/2006/relationships/image" Target="../media/image13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png"/><Relationship Id="rId13" Type="http://schemas.openxmlformats.org/officeDocument/2006/relationships/image" Target="../media/image145.png"/><Relationship Id="rId18" Type="http://schemas.openxmlformats.org/officeDocument/2006/relationships/image" Target="../media/image150.png"/><Relationship Id="rId26" Type="http://schemas.openxmlformats.org/officeDocument/2006/relationships/image" Target="../media/image158.png"/><Relationship Id="rId3" Type="http://schemas.openxmlformats.org/officeDocument/2006/relationships/image" Target="../media/image3.png"/><Relationship Id="rId21" Type="http://schemas.openxmlformats.org/officeDocument/2006/relationships/image" Target="../media/image153.png"/><Relationship Id="rId7" Type="http://schemas.openxmlformats.org/officeDocument/2006/relationships/image" Target="../media/image139.png"/><Relationship Id="rId12" Type="http://schemas.openxmlformats.org/officeDocument/2006/relationships/image" Target="../media/image144.png"/><Relationship Id="rId17" Type="http://schemas.openxmlformats.org/officeDocument/2006/relationships/image" Target="../media/image149.png"/><Relationship Id="rId25" Type="http://schemas.openxmlformats.org/officeDocument/2006/relationships/image" Target="../media/image157.png"/><Relationship Id="rId2" Type="http://schemas.openxmlformats.org/officeDocument/2006/relationships/image" Target="../media/image2.png"/><Relationship Id="rId16" Type="http://schemas.openxmlformats.org/officeDocument/2006/relationships/image" Target="../media/image148.png"/><Relationship Id="rId20" Type="http://schemas.openxmlformats.org/officeDocument/2006/relationships/image" Target="../media/image152.png"/><Relationship Id="rId1" Type="http://schemas.openxmlformats.org/officeDocument/2006/relationships/image" Target="../media/image1.png"/><Relationship Id="rId6" Type="http://schemas.openxmlformats.org/officeDocument/2006/relationships/image" Target="../media/image138.png"/><Relationship Id="rId11" Type="http://schemas.openxmlformats.org/officeDocument/2006/relationships/image" Target="../media/image143.png"/><Relationship Id="rId24" Type="http://schemas.openxmlformats.org/officeDocument/2006/relationships/image" Target="../media/image156.png"/><Relationship Id="rId5" Type="http://schemas.openxmlformats.org/officeDocument/2006/relationships/image" Target="../media/image5.png"/><Relationship Id="rId15" Type="http://schemas.openxmlformats.org/officeDocument/2006/relationships/image" Target="../media/image147.png"/><Relationship Id="rId23" Type="http://schemas.openxmlformats.org/officeDocument/2006/relationships/image" Target="../media/image155.png"/><Relationship Id="rId10" Type="http://schemas.openxmlformats.org/officeDocument/2006/relationships/image" Target="../media/image142.png"/><Relationship Id="rId19" Type="http://schemas.openxmlformats.org/officeDocument/2006/relationships/image" Target="../media/image151.png"/><Relationship Id="rId4" Type="http://schemas.openxmlformats.org/officeDocument/2006/relationships/image" Target="../media/image4.png"/><Relationship Id="rId9" Type="http://schemas.openxmlformats.org/officeDocument/2006/relationships/image" Target="../media/image141.png"/><Relationship Id="rId14" Type="http://schemas.openxmlformats.org/officeDocument/2006/relationships/image" Target="../media/image146.png"/><Relationship Id="rId22" Type="http://schemas.openxmlformats.org/officeDocument/2006/relationships/image" Target="../media/image154.png"/><Relationship Id="rId27" Type="http://schemas.openxmlformats.org/officeDocument/2006/relationships/image" Target="../media/image159.png"/></Relationships>
</file>

<file path=xl/drawings/_rels/drawing10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80.png"/><Relationship Id="rId21" Type="http://schemas.openxmlformats.org/officeDocument/2006/relationships/image" Target="../media/image175.png"/><Relationship Id="rId42" Type="http://schemas.openxmlformats.org/officeDocument/2006/relationships/image" Target="../media/image196.png"/><Relationship Id="rId47" Type="http://schemas.openxmlformats.org/officeDocument/2006/relationships/image" Target="../media/image201.png"/><Relationship Id="rId63" Type="http://schemas.openxmlformats.org/officeDocument/2006/relationships/image" Target="../media/image217.png"/><Relationship Id="rId68" Type="http://schemas.openxmlformats.org/officeDocument/2006/relationships/image" Target="../media/image222.png"/><Relationship Id="rId16" Type="http://schemas.openxmlformats.org/officeDocument/2006/relationships/image" Target="../media/image170.png"/><Relationship Id="rId11" Type="http://schemas.openxmlformats.org/officeDocument/2006/relationships/image" Target="../media/image165.png"/><Relationship Id="rId24" Type="http://schemas.openxmlformats.org/officeDocument/2006/relationships/image" Target="../media/image178.png"/><Relationship Id="rId32" Type="http://schemas.openxmlformats.org/officeDocument/2006/relationships/image" Target="../media/image186.png"/><Relationship Id="rId37" Type="http://schemas.openxmlformats.org/officeDocument/2006/relationships/image" Target="../media/image191.png"/><Relationship Id="rId40" Type="http://schemas.openxmlformats.org/officeDocument/2006/relationships/image" Target="../media/image194.png"/><Relationship Id="rId45" Type="http://schemas.openxmlformats.org/officeDocument/2006/relationships/image" Target="../media/image199.png"/><Relationship Id="rId53" Type="http://schemas.openxmlformats.org/officeDocument/2006/relationships/image" Target="../media/image207.png"/><Relationship Id="rId58" Type="http://schemas.openxmlformats.org/officeDocument/2006/relationships/image" Target="../media/image212.png"/><Relationship Id="rId66" Type="http://schemas.openxmlformats.org/officeDocument/2006/relationships/image" Target="../media/image220.png"/><Relationship Id="rId74" Type="http://schemas.openxmlformats.org/officeDocument/2006/relationships/image" Target="../media/image228.png"/><Relationship Id="rId79" Type="http://schemas.openxmlformats.org/officeDocument/2006/relationships/image" Target="../media/image233.png"/><Relationship Id="rId5" Type="http://schemas.openxmlformats.org/officeDocument/2006/relationships/image" Target="../media/image2.png"/><Relationship Id="rId61" Type="http://schemas.openxmlformats.org/officeDocument/2006/relationships/image" Target="../media/image215.png"/><Relationship Id="rId19" Type="http://schemas.openxmlformats.org/officeDocument/2006/relationships/image" Target="../media/image173.png"/><Relationship Id="rId14" Type="http://schemas.openxmlformats.org/officeDocument/2006/relationships/image" Target="../media/image168.png"/><Relationship Id="rId22" Type="http://schemas.openxmlformats.org/officeDocument/2006/relationships/image" Target="../media/image176.png"/><Relationship Id="rId27" Type="http://schemas.openxmlformats.org/officeDocument/2006/relationships/image" Target="../media/image181.png"/><Relationship Id="rId30" Type="http://schemas.openxmlformats.org/officeDocument/2006/relationships/image" Target="../media/image184.png"/><Relationship Id="rId35" Type="http://schemas.openxmlformats.org/officeDocument/2006/relationships/image" Target="../media/image189.png"/><Relationship Id="rId43" Type="http://schemas.openxmlformats.org/officeDocument/2006/relationships/image" Target="../media/image197.png"/><Relationship Id="rId48" Type="http://schemas.openxmlformats.org/officeDocument/2006/relationships/image" Target="../media/image202.png"/><Relationship Id="rId56" Type="http://schemas.openxmlformats.org/officeDocument/2006/relationships/image" Target="../media/image210.png"/><Relationship Id="rId64" Type="http://schemas.openxmlformats.org/officeDocument/2006/relationships/image" Target="../media/image218.png"/><Relationship Id="rId69" Type="http://schemas.openxmlformats.org/officeDocument/2006/relationships/image" Target="../media/image223.png"/><Relationship Id="rId77" Type="http://schemas.openxmlformats.org/officeDocument/2006/relationships/image" Target="../media/image231.png"/><Relationship Id="rId8" Type="http://schemas.openxmlformats.org/officeDocument/2006/relationships/image" Target="../media/image5.png"/><Relationship Id="rId51" Type="http://schemas.openxmlformats.org/officeDocument/2006/relationships/image" Target="../media/image205.png"/><Relationship Id="rId72" Type="http://schemas.openxmlformats.org/officeDocument/2006/relationships/image" Target="../media/image226.png"/><Relationship Id="rId80" Type="http://schemas.openxmlformats.org/officeDocument/2006/relationships/chart" Target="../charts/chart13.xml"/><Relationship Id="rId3" Type="http://schemas.openxmlformats.org/officeDocument/2006/relationships/image" Target="../media/image162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5" Type="http://schemas.openxmlformats.org/officeDocument/2006/relationships/image" Target="../media/image179.png"/><Relationship Id="rId33" Type="http://schemas.openxmlformats.org/officeDocument/2006/relationships/image" Target="../media/image187.png"/><Relationship Id="rId38" Type="http://schemas.openxmlformats.org/officeDocument/2006/relationships/image" Target="../media/image192.png"/><Relationship Id="rId46" Type="http://schemas.openxmlformats.org/officeDocument/2006/relationships/image" Target="../media/image200.png"/><Relationship Id="rId59" Type="http://schemas.openxmlformats.org/officeDocument/2006/relationships/image" Target="../media/image213.png"/><Relationship Id="rId67" Type="http://schemas.openxmlformats.org/officeDocument/2006/relationships/image" Target="../media/image221.png"/><Relationship Id="rId20" Type="http://schemas.openxmlformats.org/officeDocument/2006/relationships/image" Target="../media/image174.png"/><Relationship Id="rId41" Type="http://schemas.openxmlformats.org/officeDocument/2006/relationships/image" Target="../media/image195.png"/><Relationship Id="rId54" Type="http://schemas.openxmlformats.org/officeDocument/2006/relationships/image" Target="../media/image208.png"/><Relationship Id="rId62" Type="http://schemas.openxmlformats.org/officeDocument/2006/relationships/image" Target="../media/image216.png"/><Relationship Id="rId70" Type="http://schemas.openxmlformats.org/officeDocument/2006/relationships/image" Target="../media/image224.png"/><Relationship Id="rId75" Type="http://schemas.openxmlformats.org/officeDocument/2006/relationships/image" Target="../media/image229.png"/><Relationship Id="rId1" Type="http://schemas.openxmlformats.org/officeDocument/2006/relationships/image" Target="../media/image160.png"/><Relationship Id="rId6" Type="http://schemas.openxmlformats.org/officeDocument/2006/relationships/image" Target="../media/image3.png"/><Relationship Id="rId15" Type="http://schemas.openxmlformats.org/officeDocument/2006/relationships/image" Target="../media/image169.png"/><Relationship Id="rId23" Type="http://schemas.openxmlformats.org/officeDocument/2006/relationships/image" Target="../media/image177.png"/><Relationship Id="rId28" Type="http://schemas.openxmlformats.org/officeDocument/2006/relationships/image" Target="../media/image182.png"/><Relationship Id="rId36" Type="http://schemas.openxmlformats.org/officeDocument/2006/relationships/image" Target="../media/image190.png"/><Relationship Id="rId49" Type="http://schemas.openxmlformats.org/officeDocument/2006/relationships/image" Target="../media/image203.png"/><Relationship Id="rId57" Type="http://schemas.openxmlformats.org/officeDocument/2006/relationships/image" Target="../media/image211.png"/><Relationship Id="rId10" Type="http://schemas.openxmlformats.org/officeDocument/2006/relationships/image" Target="../media/image164.png"/><Relationship Id="rId31" Type="http://schemas.openxmlformats.org/officeDocument/2006/relationships/image" Target="../media/image185.png"/><Relationship Id="rId44" Type="http://schemas.openxmlformats.org/officeDocument/2006/relationships/image" Target="../media/image198.png"/><Relationship Id="rId52" Type="http://schemas.openxmlformats.org/officeDocument/2006/relationships/image" Target="../media/image206.png"/><Relationship Id="rId60" Type="http://schemas.openxmlformats.org/officeDocument/2006/relationships/image" Target="../media/image214.png"/><Relationship Id="rId65" Type="http://schemas.openxmlformats.org/officeDocument/2006/relationships/image" Target="../media/image219.png"/><Relationship Id="rId73" Type="http://schemas.openxmlformats.org/officeDocument/2006/relationships/image" Target="../media/image227.png"/><Relationship Id="rId78" Type="http://schemas.openxmlformats.org/officeDocument/2006/relationships/image" Target="../media/image232.png"/><Relationship Id="rId4" Type="http://schemas.openxmlformats.org/officeDocument/2006/relationships/image" Target="../media/image1.png"/><Relationship Id="rId9" Type="http://schemas.openxmlformats.org/officeDocument/2006/relationships/image" Target="../media/image163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39" Type="http://schemas.openxmlformats.org/officeDocument/2006/relationships/image" Target="../media/image193.png"/><Relationship Id="rId34" Type="http://schemas.openxmlformats.org/officeDocument/2006/relationships/image" Target="../media/image188.png"/><Relationship Id="rId50" Type="http://schemas.openxmlformats.org/officeDocument/2006/relationships/image" Target="../media/image204.png"/><Relationship Id="rId55" Type="http://schemas.openxmlformats.org/officeDocument/2006/relationships/image" Target="../media/image209.png"/><Relationship Id="rId76" Type="http://schemas.openxmlformats.org/officeDocument/2006/relationships/image" Target="../media/image230.png"/><Relationship Id="rId7" Type="http://schemas.openxmlformats.org/officeDocument/2006/relationships/image" Target="../media/image4.png"/><Relationship Id="rId71" Type="http://schemas.openxmlformats.org/officeDocument/2006/relationships/image" Target="../media/image225.png"/><Relationship Id="rId2" Type="http://schemas.openxmlformats.org/officeDocument/2006/relationships/image" Target="../media/image161.png"/><Relationship Id="rId29" Type="http://schemas.openxmlformats.org/officeDocument/2006/relationships/image" Target="../media/image18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png"/><Relationship Id="rId13" Type="http://schemas.openxmlformats.org/officeDocument/2006/relationships/image" Target="../media/image241.png"/><Relationship Id="rId18" Type="http://schemas.openxmlformats.org/officeDocument/2006/relationships/image" Target="../media/image246.png"/><Relationship Id="rId26" Type="http://schemas.openxmlformats.org/officeDocument/2006/relationships/image" Target="../media/image254.png"/><Relationship Id="rId3" Type="http://schemas.openxmlformats.org/officeDocument/2006/relationships/image" Target="../media/image3.png"/><Relationship Id="rId21" Type="http://schemas.openxmlformats.org/officeDocument/2006/relationships/image" Target="../media/image249.png"/><Relationship Id="rId7" Type="http://schemas.openxmlformats.org/officeDocument/2006/relationships/image" Target="../media/image235.png"/><Relationship Id="rId12" Type="http://schemas.openxmlformats.org/officeDocument/2006/relationships/image" Target="../media/image240.png"/><Relationship Id="rId17" Type="http://schemas.openxmlformats.org/officeDocument/2006/relationships/image" Target="../media/image245.png"/><Relationship Id="rId25" Type="http://schemas.openxmlformats.org/officeDocument/2006/relationships/image" Target="../media/image253.png"/><Relationship Id="rId2" Type="http://schemas.openxmlformats.org/officeDocument/2006/relationships/image" Target="../media/image2.png"/><Relationship Id="rId16" Type="http://schemas.openxmlformats.org/officeDocument/2006/relationships/image" Target="../media/image244.png"/><Relationship Id="rId20" Type="http://schemas.openxmlformats.org/officeDocument/2006/relationships/image" Target="../media/image248.png"/><Relationship Id="rId1" Type="http://schemas.openxmlformats.org/officeDocument/2006/relationships/image" Target="../media/image1.png"/><Relationship Id="rId6" Type="http://schemas.openxmlformats.org/officeDocument/2006/relationships/image" Target="../media/image234.png"/><Relationship Id="rId11" Type="http://schemas.openxmlformats.org/officeDocument/2006/relationships/image" Target="../media/image239.png"/><Relationship Id="rId24" Type="http://schemas.openxmlformats.org/officeDocument/2006/relationships/image" Target="../media/image252.png"/><Relationship Id="rId5" Type="http://schemas.openxmlformats.org/officeDocument/2006/relationships/image" Target="../media/image5.png"/><Relationship Id="rId15" Type="http://schemas.openxmlformats.org/officeDocument/2006/relationships/image" Target="../media/image243.png"/><Relationship Id="rId23" Type="http://schemas.openxmlformats.org/officeDocument/2006/relationships/image" Target="../media/image251.png"/><Relationship Id="rId10" Type="http://schemas.openxmlformats.org/officeDocument/2006/relationships/image" Target="../media/image238.png"/><Relationship Id="rId19" Type="http://schemas.openxmlformats.org/officeDocument/2006/relationships/image" Target="../media/image247.png"/><Relationship Id="rId4" Type="http://schemas.openxmlformats.org/officeDocument/2006/relationships/image" Target="../media/image4.png"/><Relationship Id="rId9" Type="http://schemas.openxmlformats.org/officeDocument/2006/relationships/image" Target="../media/image237.png"/><Relationship Id="rId14" Type="http://schemas.openxmlformats.org/officeDocument/2006/relationships/image" Target="../media/image242.png"/><Relationship Id="rId22" Type="http://schemas.openxmlformats.org/officeDocument/2006/relationships/image" Target="../media/image250.png"/><Relationship Id="rId27" Type="http://schemas.openxmlformats.org/officeDocument/2006/relationships/image" Target="../media/image25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92075</xdr:colOff>
      <xdr:row>6</xdr:row>
      <xdr:rowOff>73024</xdr:rowOff>
    </xdr:from>
    <xdr:to>
      <xdr:col>21</xdr:col>
      <xdr:colOff>158750</xdr:colOff>
      <xdr:row>27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0B780-340C-C1E0-0DE1-D966EEFA3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26</xdr:row>
      <xdr:rowOff>9524</xdr:rowOff>
    </xdr:from>
    <xdr:to>
      <xdr:col>3</xdr:col>
      <xdr:colOff>28574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9DF7C-8C7A-8177-50F1-9F70C8797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171450</xdr:colOff>
      <xdr:row>26</xdr:row>
      <xdr:rowOff>133350</xdr:rowOff>
    </xdr:from>
    <xdr:to>
      <xdr:col>6</xdr:col>
      <xdr:colOff>571500</xdr:colOff>
      <xdr:row>32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7AE33-688B-4851-932B-08DC60CBA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123825</xdr:colOff>
      <xdr:row>27</xdr:row>
      <xdr:rowOff>9525</xdr:rowOff>
    </xdr:from>
    <xdr:to>
      <xdr:col>11</xdr:col>
      <xdr:colOff>85725</xdr:colOff>
      <xdr:row>33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CFEF4-D56C-46F2-9CDB-9CD7EE09A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590550</xdr:colOff>
      <xdr:row>27</xdr:row>
      <xdr:rowOff>19050</xdr:rowOff>
    </xdr:from>
    <xdr:to>
      <xdr:col>14</xdr:col>
      <xdr:colOff>552450</xdr:colOff>
      <xdr:row>33</xdr:row>
      <xdr:rowOff>33338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9B646A-87A6-49AD-9F68-177CB1083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26</xdr:row>
      <xdr:rowOff>171450</xdr:rowOff>
    </xdr:from>
    <xdr:to>
      <xdr:col>18</xdr:col>
      <xdr:colOff>571500</xdr:colOff>
      <xdr:row>32</xdr:row>
      <xdr:rowOff>185738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0EEA54-F91C-4E94-8A01-5B29F4A72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26</xdr:row>
      <xdr:rowOff>171450</xdr:rowOff>
    </xdr:from>
    <xdr:to>
      <xdr:col>22</xdr:col>
      <xdr:colOff>571500</xdr:colOff>
      <xdr:row>32</xdr:row>
      <xdr:rowOff>185738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C249CD-A904-4CA5-9C10-C731AF90E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38100</xdr:colOff>
      <xdr:row>27</xdr:row>
      <xdr:rowOff>0</xdr:rowOff>
    </xdr:from>
    <xdr:to>
      <xdr:col>27</xdr:col>
      <xdr:colOff>0</xdr:colOff>
      <xdr:row>33</xdr:row>
      <xdr:rowOff>14288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0033C2-1C5B-402B-B05E-9FAD40B55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114300</xdr:colOff>
      <xdr:row>27</xdr:row>
      <xdr:rowOff>0</xdr:rowOff>
    </xdr:from>
    <xdr:to>
      <xdr:col>31</xdr:col>
      <xdr:colOff>76200</xdr:colOff>
      <xdr:row>33</xdr:row>
      <xdr:rowOff>14288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33A7F9-F373-4E4E-B791-C3DE8B450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301625</xdr:colOff>
      <xdr:row>72</xdr:row>
      <xdr:rowOff>92076</xdr:rowOff>
    </xdr:from>
    <xdr:to>
      <xdr:col>29</xdr:col>
      <xdr:colOff>219075</xdr:colOff>
      <xdr:row>83</xdr:row>
      <xdr:rowOff>53976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EFF6B2E-4AC4-439D-A048-B2AF7B61E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228600</xdr:colOff>
      <xdr:row>65</xdr:row>
      <xdr:rowOff>76200</xdr:rowOff>
    </xdr:from>
    <xdr:to>
      <xdr:col>28</xdr:col>
      <xdr:colOff>190500</xdr:colOff>
      <xdr:row>71</xdr:row>
      <xdr:rowOff>90488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01C905B-1747-4FE6-963C-B8CCF812B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8</xdr:row>
      <xdr:rowOff>19049</xdr:rowOff>
    </xdr:from>
    <xdr:ext cx="457321" cy="339038"/>
    <xdr:pic>
      <xdr:nvPicPr>
        <xdr:cNvPr id="2" name="Picture 1">
          <a:extLst>
            <a:ext uri="{FF2B5EF4-FFF2-40B4-BE49-F238E27FC236}">
              <a16:creationId xmlns:a16="http://schemas.microsoft.com/office/drawing/2014/main" id="{F5DB1DBD-EA75-4368-B12D-64134991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40165" y="1534707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11</xdr:row>
      <xdr:rowOff>15875</xdr:rowOff>
    </xdr:from>
    <xdr:ext cx="513789" cy="481063"/>
    <xdr:pic>
      <xdr:nvPicPr>
        <xdr:cNvPr id="3" name="Picture 2">
          <a:extLst>
            <a:ext uri="{FF2B5EF4-FFF2-40B4-BE49-F238E27FC236}">
              <a16:creationId xmlns:a16="http://schemas.microsoft.com/office/drawing/2014/main" id="{32C02F6C-22E2-4394-B818-F3F24944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310" y="2162175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9</xdr:row>
      <xdr:rowOff>131509</xdr:rowOff>
    </xdr:from>
    <xdr:ext cx="589150" cy="419263"/>
    <xdr:pic>
      <xdr:nvPicPr>
        <xdr:cNvPr id="4" name="Picture 3">
          <a:extLst>
            <a:ext uri="{FF2B5EF4-FFF2-40B4-BE49-F238E27FC236}">
              <a16:creationId xmlns:a16="http://schemas.microsoft.com/office/drawing/2014/main" id="{E201A547-DE0E-463D-B8C9-73F3E5EFE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3701" y="1811866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8</xdr:row>
      <xdr:rowOff>57150</xdr:rowOff>
    </xdr:from>
    <xdr:ext cx="624738" cy="568506"/>
    <xdr:pic>
      <xdr:nvPicPr>
        <xdr:cNvPr id="5" name="Picture 4">
          <a:extLst>
            <a:ext uri="{FF2B5EF4-FFF2-40B4-BE49-F238E27FC236}">
              <a16:creationId xmlns:a16="http://schemas.microsoft.com/office/drawing/2014/main" id="{2E1E3F89-1BB6-46C3-8EC7-AE88982FC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4700" y="1631950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11</xdr:row>
      <xdr:rowOff>152400</xdr:rowOff>
    </xdr:from>
    <xdr:ext cx="494270" cy="397113"/>
    <xdr:pic>
      <xdr:nvPicPr>
        <xdr:cNvPr id="6" name="Picture 5">
          <a:extLst>
            <a:ext uri="{FF2B5EF4-FFF2-40B4-BE49-F238E27FC236}">
              <a16:creationId xmlns:a16="http://schemas.microsoft.com/office/drawing/2014/main" id="{A725479D-70D3-48EE-BD85-141872E77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3506" y="2298700"/>
          <a:ext cx="494270" cy="397113"/>
        </a:xfrm>
        <a:prstGeom prst="rect">
          <a:avLst/>
        </a:prstGeom>
      </xdr:spPr>
    </xdr:pic>
    <xdr:clientData/>
  </xdr:oneCellAnchor>
  <xdr:twoCellAnchor editAs="oneCell">
    <xdr:from>
      <xdr:col>8</xdr:col>
      <xdr:colOff>762000</xdr:colOff>
      <xdr:row>26</xdr:row>
      <xdr:rowOff>158749</xdr:rowOff>
    </xdr:from>
    <xdr:to>
      <xdr:col>10</xdr:col>
      <xdr:colOff>357470</xdr:colOff>
      <xdr:row>31</xdr:row>
      <xdr:rowOff>92392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437508-CDFB-B0D1-7A88-AF369B09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6667" y="5217582"/>
          <a:ext cx="1276850" cy="879793"/>
        </a:xfrm>
        <a:prstGeom prst="rect">
          <a:avLst/>
        </a:prstGeom>
      </xdr:spPr>
    </xdr:pic>
    <xdr:clientData/>
  </xdr:twoCellAnchor>
  <xdr:twoCellAnchor editAs="oneCell">
    <xdr:from>
      <xdr:col>7</xdr:col>
      <xdr:colOff>105833</xdr:colOff>
      <xdr:row>24</xdr:row>
      <xdr:rowOff>63288</xdr:rowOff>
    </xdr:from>
    <xdr:to>
      <xdr:col>8</xdr:col>
      <xdr:colOff>739774</xdr:colOff>
      <xdr:row>32</xdr:row>
      <xdr:rowOff>18342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CD63617-8200-F5AA-B5CD-9B53C30B3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0833" y="4741121"/>
          <a:ext cx="1344083" cy="1479054"/>
        </a:xfrm>
        <a:prstGeom prst="rect">
          <a:avLst/>
        </a:prstGeom>
      </xdr:spPr>
    </xdr:pic>
    <xdr:clientData/>
  </xdr:twoCellAnchor>
  <xdr:twoCellAnchor editAs="oneCell">
    <xdr:from>
      <xdr:col>8</xdr:col>
      <xdr:colOff>733497</xdr:colOff>
      <xdr:row>35</xdr:row>
      <xdr:rowOff>179917</xdr:rowOff>
    </xdr:from>
    <xdr:to>
      <xdr:col>10</xdr:col>
      <xdr:colOff>283230</xdr:colOff>
      <xdr:row>40</xdr:row>
      <xdr:rowOff>130425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84361D-F26D-0EDB-4C93-04DEE95E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38164" y="6953250"/>
          <a:ext cx="1224763" cy="896658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34</xdr:row>
      <xdr:rowOff>31750</xdr:rowOff>
    </xdr:from>
    <xdr:to>
      <xdr:col>8</xdr:col>
      <xdr:colOff>683682</xdr:colOff>
      <xdr:row>41</xdr:row>
      <xdr:rowOff>22991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954CD2-6B0B-1980-CD6E-C5955B38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1416" y="6614583"/>
          <a:ext cx="1280583" cy="1324741"/>
        </a:xfrm>
        <a:prstGeom prst="rect">
          <a:avLst/>
        </a:prstGeom>
      </xdr:spPr>
    </xdr:pic>
    <xdr:clientData/>
  </xdr:twoCellAnchor>
  <xdr:twoCellAnchor editAs="oneCell">
    <xdr:from>
      <xdr:col>7</xdr:col>
      <xdr:colOff>179916</xdr:colOff>
      <xdr:row>43</xdr:row>
      <xdr:rowOff>74083</xdr:rowOff>
    </xdr:from>
    <xdr:to>
      <xdr:col>8</xdr:col>
      <xdr:colOff>592666</xdr:colOff>
      <xdr:row>49</xdr:row>
      <xdr:rowOff>189886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B1F31A-9A48-AF29-6776-5C0B2291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4916" y="8371416"/>
          <a:ext cx="1132417" cy="1258803"/>
        </a:xfrm>
        <a:prstGeom prst="rect">
          <a:avLst/>
        </a:prstGeom>
      </xdr:spPr>
    </xdr:pic>
    <xdr:clientData/>
  </xdr:twoCellAnchor>
  <xdr:twoCellAnchor editAs="oneCell">
    <xdr:from>
      <xdr:col>8</xdr:col>
      <xdr:colOff>655557</xdr:colOff>
      <xdr:row>45</xdr:row>
      <xdr:rowOff>34926</xdr:rowOff>
    </xdr:from>
    <xdr:to>
      <xdr:col>10</xdr:col>
      <xdr:colOff>226053</xdr:colOff>
      <xdr:row>49</xdr:row>
      <xdr:rowOff>148168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54FAB9-18B1-FD7B-3F17-C9F5C21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67279" y="8706204"/>
          <a:ext cx="1251524" cy="875242"/>
        </a:xfrm>
        <a:prstGeom prst="rect">
          <a:avLst/>
        </a:prstGeom>
      </xdr:spPr>
    </xdr:pic>
    <xdr:clientData/>
  </xdr:twoCellAnchor>
  <xdr:twoCellAnchor editAs="oneCell">
    <xdr:from>
      <xdr:col>8</xdr:col>
      <xdr:colOff>855352</xdr:colOff>
      <xdr:row>54</xdr:row>
      <xdr:rowOff>32702</xdr:rowOff>
    </xdr:from>
    <xdr:to>
      <xdr:col>10</xdr:col>
      <xdr:colOff>417139</xdr:colOff>
      <xdr:row>58</xdr:row>
      <xdr:rowOff>148167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F10197-F67A-89FB-4EBE-0D233AB1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67074" y="10418480"/>
          <a:ext cx="1240180" cy="877465"/>
        </a:xfrm>
        <a:prstGeom prst="rect">
          <a:avLst/>
        </a:prstGeom>
      </xdr:spPr>
    </xdr:pic>
    <xdr:clientData/>
  </xdr:twoCellAnchor>
  <xdr:twoCellAnchor editAs="oneCell">
    <xdr:from>
      <xdr:col>7</xdr:col>
      <xdr:colOff>201083</xdr:colOff>
      <xdr:row>52</xdr:row>
      <xdr:rowOff>74084</xdr:rowOff>
    </xdr:from>
    <xdr:to>
      <xdr:col>8</xdr:col>
      <xdr:colOff>727164</xdr:colOff>
      <xdr:row>58</xdr:row>
      <xdr:rowOff>186578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6D70C-77CE-91AF-4ED0-6F59D3A6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3139" y="10078862"/>
          <a:ext cx="1245747" cy="1255494"/>
        </a:xfrm>
        <a:prstGeom prst="rect">
          <a:avLst/>
        </a:prstGeom>
      </xdr:spPr>
    </xdr:pic>
    <xdr:clientData/>
  </xdr:twoCellAnchor>
  <xdr:twoCellAnchor editAs="oneCell">
    <xdr:from>
      <xdr:col>8</xdr:col>
      <xdr:colOff>857248</xdr:colOff>
      <xdr:row>71</xdr:row>
      <xdr:rowOff>82086</xdr:rowOff>
    </xdr:from>
    <xdr:to>
      <xdr:col>10</xdr:col>
      <xdr:colOff>586974</xdr:colOff>
      <xdr:row>76</xdr:row>
      <xdr:rowOff>171846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B05E8C-39FE-F4C0-AE81-5449F03B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61915" y="13713419"/>
          <a:ext cx="1406001" cy="1042260"/>
        </a:xfrm>
        <a:prstGeom prst="rect">
          <a:avLst/>
        </a:prstGeom>
      </xdr:spPr>
    </xdr:pic>
    <xdr:clientData/>
  </xdr:twoCellAnchor>
  <xdr:twoCellAnchor editAs="oneCell">
    <xdr:from>
      <xdr:col>7</xdr:col>
      <xdr:colOff>201082</xdr:colOff>
      <xdr:row>71</xdr:row>
      <xdr:rowOff>94493</xdr:rowOff>
    </xdr:from>
    <xdr:to>
      <xdr:col>8</xdr:col>
      <xdr:colOff>726096</xdr:colOff>
      <xdr:row>76</xdr:row>
      <xdr:rowOff>171818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8586B-EA6D-529D-C0AE-550D3CCD0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6082" y="13725826"/>
          <a:ext cx="1244681" cy="1029825"/>
        </a:xfrm>
        <a:prstGeom prst="rect">
          <a:avLst/>
        </a:prstGeom>
      </xdr:spPr>
    </xdr:pic>
    <xdr:clientData/>
  </xdr:twoCellAnchor>
  <xdr:twoCellAnchor editAs="oneCell">
    <xdr:from>
      <xdr:col>8</xdr:col>
      <xdr:colOff>772583</xdr:colOff>
      <xdr:row>80</xdr:row>
      <xdr:rowOff>55372</xdr:rowOff>
    </xdr:from>
    <xdr:to>
      <xdr:col>10</xdr:col>
      <xdr:colOff>474706</xdr:colOff>
      <xdr:row>85</xdr:row>
      <xdr:rowOff>137915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C1EF08-F4E8-8B74-136F-B55DA255E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77250" y="15401205"/>
          <a:ext cx="1391098" cy="1035043"/>
        </a:xfrm>
        <a:prstGeom prst="rect">
          <a:avLst/>
        </a:prstGeom>
      </xdr:spPr>
    </xdr:pic>
    <xdr:clientData/>
  </xdr:twoCellAnchor>
  <xdr:twoCellAnchor editAs="oneCell">
    <xdr:from>
      <xdr:col>7</xdr:col>
      <xdr:colOff>133787</xdr:colOff>
      <xdr:row>79</xdr:row>
      <xdr:rowOff>179917</xdr:rowOff>
    </xdr:from>
    <xdr:to>
      <xdr:col>8</xdr:col>
      <xdr:colOff>702152</xdr:colOff>
      <xdr:row>85</xdr:row>
      <xdr:rowOff>171874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06028D-EA9E-5E15-3B84-F8815EC0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18787" y="15335250"/>
          <a:ext cx="1284857" cy="1134957"/>
        </a:xfrm>
        <a:prstGeom prst="rect">
          <a:avLst/>
        </a:prstGeom>
      </xdr:spPr>
    </xdr:pic>
    <xdr:clientData/>
  </xdr:twoCellAnchor>
  <xdr:twoCellAnchor editAs="oneCell">
    <xdr:from>
      <xdr:col>8</xdr:col>
      <xdr:colOff>834940</xdr:colOff>
      <xdr:row>63</xdr:row>
      <xdr:rowOff>50653</xdr:rowOff>
    </xdr:from>
    <xdr:to>
      <xdr:col>10</xdr:col>
      <xdr:colOff>454574</xdr:colOff>
      <xdr:row>68</xdr:row>
      <xdr:rowOff>42334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350F7E-60CA-AC32-EDD3-572DB0A2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9607" y="12157986"/>
          <a:ext cx="1305434" cy="944181"/>
        </a:xfrm>
        <a:prstGeom prst="rect">
          <a:avLst/>
        </a:prstGeom>
      </xdr:spPr>
    </xdr:pic>
    <xdr:clientData/>
  </xdr:twoCellAnchor>
  <xdr:twoCellAnchor editAs="oneCell">
    <xdr:from>
      <xdr:col>7</xdr:col>
      <xdr:colOff>170148</xdr:colOff>
      <xdr:row>62</xdr:row>
      <xdr:rowOff>27797</xdr:rowOff>
    </xdr:from>
    <xdr:to>
      <xdr:col>8</xdr:col>
      <xdr:colOff>796925</xdr:colOff>
      <xdr:row>68</xdr:row>
      <xdr:rowOff>92282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0F25E-7C85-9754-05A6-2B3E9B241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55148" y="11944630"/>
          <a:ext cx="1343269" cy="1204310"/>
        </a:xfrm>
        <a:prstGeom prst="rect">
          <a:avLst/>
        </a:prstGeom>
      </xdr:spPr>
    </xdr:pic>
    <xdr:clientData/>
  </xdr:twoCellAnchor>
  <xdr:twoCellAnchor editAs="oneCell">
    <xdr:from>
      <xdr:col>7</xdr:col>
      <xdr:colOff>201082</xdr:colOff>
      <xdr:row>88</xdr:row>
      <xdr:rowOff>55359</xdr:rowOff>
    </xdr:from>
    <xdr:to>
      <xdr:col>8</xdr:col>
      <xdr:colOff>633124</xdr:colOff>
      <xdr:row>94</xdr:row>
      <xdr:rowOff>152661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AA851D-C8C9-AF9A-8382-28A53B34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6082" y="16925192"/>
          <a:ext cx="1151709" cy="1240302"/>
        </a:xfrm>
        <a:prstGeom prst="rect">
          <a:avLst/>
        </a:prstGeom>
      </xdr:spPr>
    </xdr:pic>
    <xdr:clientData/>
  </xdr:twoCellAnchor>
  <xdr:twoCellAnchor editAs="oneCell">
    <xdr:from>
      <xdr:col>8</xdr:col>
      <xdr:colOff>814916</xdr:colOff>
      <xdr:row>89</xdr:row>
      <xdr:rowOff>40643</xdr:rowOff>
    </xdr:from>
    <xdr:to>
      <xdr:col>10</xdr:col>
      <xdr:colOff>492500</xdr:colOff>
      <xdr:row>94</xdr:row>
      <xdr:rowOff>148360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603B7F8-2759-586D-71E5-75CB5CEC0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19583" y="17100976"/>
          <a:ext cx="1357034" cy="1053867"/>
        </a:xfrm>
        <a:prstGeom prst="rect">
          <a:avLst/>
        </a:prstGeom>
      </xdr:spPr>
    </xdr:pic>
    <xdr:clientData/>
  </xdr:twoCellAnchor>
  <xdr:twoCellAnchor editAs="oneCell">
    <xdr:from>
      <xdr:col>9</xdr:col>
      <xdr:colOff>7585</xdr:colOff>
      <xdr:row>98</xdr:row>
      <xdr:rowOff>169333</xdr:rowOff>
    </xdr:from>
    <xdr:to>
      <xdr:col>10</xdr:col>
      <xdr:colOff>530783</xdr:colOff>
      <xdr:row>104</xdr:row>
      <xdr:rowOff>21485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E36D50-A787-A76D-6B8E-605C850D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69502" y="18944166"/>
          <a:ext cx="1351748" cy="995152"/>
        </a:xfrm>
        <a:prstGeom prst="rect">
          <a:avLst/>
        </a:prstGeom>
      </xdr:spPr>
    </xdr:pic>
    <xdr:clientData/>
  </xdr:twoCellAnchor>
  <xdr:twoCellAnchor editAs="oneCell">
    <xdr:from>
      <xdr:col>7</xdr:col>
      <xdr:colOff>233181</xdr:colOff>
      <xdr:row>97</xdr:row>
      <xdr:rowOff>169333</xdr:rowOff>
    </xdr:from>
    <xdr:to>
      <xdr:col>8</xdr:col>
      <xdr:colOff>667056</xdr:colOff>
      <xdr:row>104</xdr:row>
      <xdr:rowOff>59590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37BAC05-9999-CD86-692C-5E4F317E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18181" y="18753666"/>
          <a:ext cx="1153542" cy="1223757"/>
        </a:xfrm>
        <a:prstGeom prst="rect">
          <a:avLst/>
        </a:prstGeom>
      </xdr:spPr>
    </xdr:pic>
    <xdr:clientData/>
  </xdr:twoCellAnchor>
  <xdr:twoCellAnchor editAs="oneCell">
    <xdr:from>
      <xdr:col>8</xdr:col>
      <xdr:colOff>793750</xdr:colOff>
      <xdr:row>107</xdr:row>
      <xdr:rowOff>95250</xdr:rowOff>
    </xdr:from>
    <xdr:to>
      <xdr:col>10</xdr:col>
      <xdr:colOff>571976</xdr:colOff>
      <xdr:row>112</xdr:row>
      <xdr:rowOff>168520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55F148-C371-05BB-FE55-610813A7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98417" y="20584583"/>
          <a:ext cx="1467201" cy="1022595"/>
        </a:xfrm>
        <a:prstGeom prst="rect">
          <a:avLst/>
        </a:prstGeom>
      </xdr:spPr>
    </xdr:pic>
    <xdr:clientData/>
  </xdr:twoCellAnchor>
  <xdr:twoCellAnchor editAs="oneCell">
    <xdr:from>
      <xdr:col>7</xdr:col>
      <xdr:colOff>264583</xdr:colOff>
      <xdr:row>106</xdr:row>
      <xdr:rowOff>42917</xdr:rowOff>
    </xdr:from>
    <xdr:to>
      <xdr:col>8</xdr:col>
      <xdr:colOff>726353</xdr:colOff>
      <xdr:row>113</xdr:row>
      <xdr:rowOff>2486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5E60A76-08E5-E939-F535-FD610D7F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49583" y="20341750"/>
          <a:ext cx="1181437" cy="1293069"/>
        </a:xfrm>
        <a:prstGeom prst="rect">
          <a:avLst/>
        </a:prstGeom>
      </xdr:spPr>
    </xdr:pic>
    <xdr:clientData/>
  </xdr:twoCellAnchor>
  <xdr:twoCellAnchor editAs="oneCell">
    <xdr:from>
      <xdr:col>8</xdr:col>
      <xdr:colOff>722025</xdr:colOff>
      <xdr:row>116</xdr:row>
      <xdr:rowOff>132893</xdr:rowOff>
    </xdr:from>
    <xdr:to>
      <xdr:col>11</xdr:col>
      <xdr:colOff>15875</xdr:colOff>
      <xdr:row>122</xdr:row>
      <xdr:rowOff>130451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3C7E794-3C58-10EA-3789-67013D01E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31672" y="22753834"/>
          <a:ext cx="1588441" cy="11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216647</xdr:colOff>
      <xdr:row>114</xdr:row>
      <xdr:rowOff>122704</xdr:rowOff>
    </xdr:from>
    <xdr:to>
      <xdr:col>8</xdr:col>
      <xdr:colOff>719400</xdr:colOff>
      <xdr:row>122</xdr:row>
      <xdr:rowOff>52906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001DF4-5181-2FCD-4D18-B5435C0A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9118" y="22355175"/>
          <a:ext cx="1213579" cy="14777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8</xdr:row>
      <xdr:rowOff>19049</xdr:rowOff>
    </xdr:from>
    <xdr:ext cx="457321" cy="339038"/>
    <xdr:pic>
      <xdr:nvPicPr>
        <xdr:cNvPr id="2" name="Picture 1">
          <a:extLst>
            <a:ext uri="{FF2B5EF4-FFF2-40B4-BE49-F238E27FC236}">
              <a16:creationId xmlns:a16="http://schemas.microsoft.com/office/drawing/2014/main" id="{94394307-E1D7-44AC-A811-B79D71FB1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40165" y="1534707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11</xdr:row>
      <xdr:rowOff>15875</xdr:rowOff>
    </xdr:from>
    <xdr:ext cx="513789" cy="481063"/>
    <xdr:pic>
      <xdr:nvPicPr>
        <xdr:cNvPr id="3" name="Picture 2">
          <a:extLst>
            <a:ext uri="{FF2B5EF4-FFF2-40B4-BE49-F238E27FC236}">
              <a16:creationId xmlns:a16="http://schemas.microsoft.com/office/drawing/2014/main" id="{55CF5740-D8B3-4E4C-B31A-8A46CF58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310" y="2162175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9</xdr:row>
      <xdr:rowOff>131509</xdr:rowOff>
    </xdr:from>
    <xdr:ext cx="589150" cy="419263"/>
    <xdr:pic>
      <xdr:nvPicPr>
        <xdr:cNvPr id="4" name="Picture 3">
          <a:extLst>
            <a:ext uri="{FF2B5EF4-FFF2-40B4-BE49-F238E27FC236}">
              <a16:creationId xmlns:a16="http://schemas.microsoft.com/office/drawing/2014/main" id="{781F4689-0382-41E7-A1D9-60537766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3701" y="1811866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8</xdr:row>
      <xdr:rowOff>57150</xdr:rowOff>
    </xdr:from>
    <xdr:ext cx="624738" cy="568506"/>
    <xdr:pic>
      <xdr:nvPicPr>
        <xdr:cNvPr id="5" name="Picture 4">
          <a:extLst>
            <a:ext uri="{FF2B5EF4-FFF2-40B4-BE49-F238E27FC236}">
              <a16:creationId xmlns:a16="http://schemas.microsoft.com/office/drawing/2014/main" id="{BF25289A-75D5-4B0E-8A05-821940931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4700" y="1631950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11</xdr:row>
      <xdr:rowOff>152400</xdr:rowOff>
    </xdr:from>
    <xdr:ext cx="494270" cy="397113"/>
    <xdr:pic>
      <xdr:nvPicPr>
        <xdr:cNvPr id="6" name="Picture 5">
          <a:extLst>
            <a:ext uri="{FF2B5EF4-FFF2-40B4-BE49-F238E27FC236}">
              <a16:creationId xmlns:a16="http://schemas.microsoft.com/office/drawing/2014/main" id="{A2F9A6BB-0055-4FCC-A778-7F077CF5C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3506" y="2298700"/>
          <a:ext cx="494270" cy="397113"/>
        </a:xfrm>
        <a:prstGeom prst="rect">
          <a:avLst/>
        </a:prstGeom>
      </xdr:spPr>
    </xdr:pic>
    <xdr:clientData/>
  </xdr:oneCellAnchor>
  <xdr:twoCellAnchor editAs="oneCell">
    <xdr:from>
      <xdr:col>7</xdr:col>
      <xdr:colOff>95251</xdr:colOff>
      <xdr:row>24</xdr:row>
      <xdr:rowOff>128812</xdr:rowOff>
    </xdr:from>
    <xdr:to>
      <xdr:col>8</xdr:col>
      <xdr:colOff>740834</xdr:colOff>
      <xdr:row>32</xdr:row>
      <xdr:rowOff>41541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55E732-A59C-829A-1D9A-A5497DEA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0251" y="4806645"/>
          <a:ext cx="1365250" cy="1436729"/>
        </a:xfrm>
        <a:prstGeom prst="rect">
          <a:avLst/>
        </a:prstGeom>
      </xdr:spPr>
    </xdr:pic>
    <xdr:clientData/>
  </xdr:twoCellAnchor>
  <xdr:twoCellAnchor editAs="oneCell">
    <xdr:from>
      <xdr:col>8</xdr:col>
      <xdr:colOff>751417</xdr:colOff>
      <xdr:row>26</xdr:row>
      <xdr:rowOff>175300</xdr:rowOff>
    </xdr:from>
    <xdr:to>
      <xdr:col>11</xdr:col>
      <xdr:colOff>34925</xdr:colOff>
      <xdr:row>32</xdr:row>
      <xdr:rowOff>4415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EB109A-7B70-551A-709D-B81D7819A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56084" y="5234133"/>
          <a:ext cx="1365249" cy="972115"/>
        </a:xfrm>
        <a:prstGeom prst="rect">
          <a:avLst/>
        </a:prstGeom>
      </xdr:spPr>
    </xdr:pic>
    <xdr:clientData/>
  </xdr:twoCellAnchor>
  <xdr:twoCellAnchor editAs="oneCell">
    <xdr:from>
      <xdr:col>8</xdr:col>
      <xdr:colOff>836082</xdr:colOff>
      <xdr:row>36</xdr:row>
      <xdr:rowOff>24304</xdr:rowOff>
    </xdr:from>
    <xdr:to>
      <xdr:col>11</xdr:col>
      <xdr:colOff>34925</xdr:colOff>
      <xdr:row>40</xdr:row>
      <xdr:rowOff>186514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DD358-3D1A-FD63-C812-02CA30C7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0749" y="6988137"/>
          <a:ext cx="1280584" cy="921035"/>
        </a:xfrm>
        <a:prstGeom prst="rect">
          <a:avLst/>
        </a:prstGeom>
      </xdr:spPr>
    </xdr:pic>
    <xdr:clientData/>
  </xdr:twoCellAnchor>
  <xdr:twoCellAnchor editAs="oneCell">
    <xdr:from>
      <xdr:col>7</xdr:col>
      <xdr:colOff>105834</xdr:colOff>
      <xdr:row>33</xdr:row>
      <xdr:rowOff>123777</xdr:rowOff>
    </xdr:from>
    <xdr:to>
      <xdr:col>8</xdr:col>
      <xdr:colOff>739775</xdr:colOff>
      <xdr:row>41</xdr:row>
      <xdr:rowOff>16187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8C663C-E8B4-4E87-F115-C1C6A602A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90834" y="6516110"/>
          <a:ext cx="1344083" cy="1416410"/>
        </a:xfrm>
        <a:prstGeom prst="rect">
          <a:avLst/>
        </a:prstGeom>
      </xdr:spPr>
    </xdr:pic>
    <xdr:clientData/>
  </xdr:twoCellAnchor>
  <xdr:twoCellAnchor editAs="oneCell">
    <xdr:from>
      <xdr:col>8</xdr:col>
      <xdr:colOff>804335</xdr:colOff>
      <xdr:row>44</xdr:row>
      <xdr:rowOff>158751</xdr:rowOff>
    </xdr:from>
    <xdr:to>
      <xdr:col>11</xdr:col>
      <xdr:colOff>137584</xdr:colOff>
      <xdr:row>49</xdr:row>
      <xdr:rowOff>167314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2A831B-9287-CC15-6089-6FCA4EDE0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09002" y="8646584"/>
          <a:ext cx="1418165" cy="954713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116417</xdr:colOff>
      <xdr:row>41</xdr:row>
      <xdr:rowOff>179917</xdr:rowOff>
    </xdr:from>
    <xdr:to>
      <xdr:col>8</xdr:col>
      <xdr:colOff>797485</xdr:colOff>
      <xdr:row>50</xdr:row>
      <xdr:rowOff>15169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C91899-7459-3332-5CE6-DDEFE93EF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01417" y="8096250"/>
          <a:ext cx="1400735" cy="154022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140859</xdr:rowOff>
    </xdr:from>
    <xdr:to>
      <xdr:col>11</xdr:col>
      <xdr:colOff>169333</xdr:colOff>
      <xdr:row>58</xdr:row>
      <xdr:rowOff>167524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086F23-A2B9-601B-E997-E1A09613E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61917" y="10343192"/>
          <a:ext cx="1396999" cy="979165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116417</xdr:colOff>
      <xdr:row>51</xdr:row>
      <xdr:rowOff>149897</xdr:rowOff>
    </xdr:from>
    <xdr:to>
      <xdr:col>8</xdr:col>
      <xdr:colOff>835025</xdr:colOff>
      <xdr:row>59</xdr:row>
      <xdr:rowOff>15116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B134EB-F436-D89A-D452-C2635FC5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01417" y="9971230"/>
          <a:ext cx="1428750" cy="1379694"/>
        </a:xfrm>
        <a:prstGeom prst="rect">
          <a:avLst/>
        </a:prstGeom>
      </xdr:spPr>
    </xdr:pic>
    <xdr:clientData/>
  </xdr:twoCellAnchor>
  <xdr:twoCellAnchor editAs="oneCell">
    <xdr:from>
      <xdr:col>8</xdr:col>
      <xdr:colOff>835729</xdr:colOff>
      <xdr:row>62</xdr:row>
      <xdr:rowOff>157823</xdr:rowOff>
    </xdr:from>
    <xdr:to>
      <xdr:col>11</xdr:col>
      <xdr:colOff>207079</xdr:colOff>
      <xdr:row>68</xdr:row>
      <xdr:rowOff>52424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6E9469-84AD-6114-EEB0-FFC2E8B2D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7451" y="12067601"/>
          <a:ext cx="1436159" cy="1034426"/>
        </a:xfrm>
        <a:prstGeom prst="rect">
          <a:avLst/>
        </a:prstGeom>
      </xdr:spPr>
    </xdr:pic>
    <xdr:clientData/>
  </xdr:twoCellAnchor>
  <xdr:twoCellAnchor editAs="oneCell">
    <xdr:from>
      <xdr:col>7</xdr:col>
      <xdr:colOff>181030</xdr:colOff>
      <xdr:row>61</xdr:row>
      <xdr:rowOff>148119</xdr:rowOff>
    </xdr:from>
    <xdr:to>
      <xdr:col>8</xdr:col>
      <xdr:colOff>739423</xdr:colOff>
      <xdr:row>68</xdr:row>
      <xdr:rowOff>37637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A9366B-2C36-3E66-95DA-FC5A2BD8D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3086" y="11867397"/>
          <a:ext cx="1268534" cy="1223018"/>
        </a:xfrm>
        <a:prstGeom prst="rect">
          <a:avLst/>
        </a:prstGeom>
      </xdr:spPr>
    </xdr:pic>
    <xdr:clientData/>
  </xdr:twoCellAnchor>
  <xdr:twoCellAnchor editAs="oneCell">
    <xdr:from>
      <xdr:col>8</xdr:col>
      <xdr:colOff>818445</xdr:colOff>
      <xdr:row>71</xdr:row>
      <xdr:rowOff>152826</xdr:rowOff>
    </xdr:from>
    <xdr:to>
      <xdr:col>11</xdr:col>
      <xdr:colOff>225777</xdr:colOff>
      <xdr:row>77</xdr:row>
      <xdr:rowOff>98908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2DAA48-339F-8F4E-3C74-440394E5B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30167" y="13777104"/>
          <a:ext cx="1481666" cy="1089082"/>
        </a:xfrm>
        <a:prstGeom prst="rect">
          <a:avLst/>
        </a:prstGeom>
      </xdr:spPr>
    </xdr:pic>
    <xdr:clientData/>
  </xdr:twoCellAnchor>
  <xdr:twoCellAnchor editAs="oneCell">
    <xdr:from>
      <xdr:col>7</xdr:col>
      <xdr:colOff>105834</xdr:colOff>
      <xdr:row>71</xdr:row>
      <xdr:rowOff>143840</xdr:rowOff>
    </xdr:from>
    <xdr:to>
      <xdr:col>8</xdr:col>
      <xdr:colOff>662516</xdr:colOff>
      <xdr:row>77</xdr:row>
      <xdr:rowOff>73496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3BBA7B-E740-FD24-A373-2CBF61F5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97890" y="13768118"/>
          <a:ext cx="1269998" cy="1066306"/>
        </a:xfrm>
        <a:prstGeom prst="rect">
          <a:avLst/>
        </a:prstGeom>
      </xdr:spPr>
    </xdr:pic>
    <xdr:clientData/>
  </xdr:twoCellAnchor>
  <xdr:twoCellAnchor editAs="oneCell">
    <xdr:from>
      <xdr:col>8</xdr:col>
      <xdr:colOff>807510</xdr:colOff>
      <xdr:row>80</xdr:row>
      <xdr:rowOff>134783</xdr:rowOff>
    </xdr:from>
    <xdr:to>
      <xdr:col>11</xdr:col>
      <xdr:colOff>185927</xdr:colOff>
      <xdr:row>86</xdr:row>
      <xdr:rowOff>20619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5C840F-349E-C893-9386-8FAC7290B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19232" y="15473561"/>
          <a:ext cx="1443226" cy="102883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79</xdr:row>
      <xdr:rowOff>148167</xdr:rowOff>
    </xdr:from>
    <xdr:to>
      <xdr:col>8</xdr:col>
      <xdr:colOff>758641</xdr:colOff>
      <xdr:row>86</xdr:row>
      <xdr:rowOff>35278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837A5E-3EC6-DC22-6A11-0D49AD4F4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19056" y="15296445"/>
          <a:ext cx="1341782" cy="1220611"/>
        </a:xfrm>
        <a:prstGeom prst="rect">
          <a:avLst/>
        </a:prstGeom>
      </xdr:spPr>
    </xdr:pic>
    <xdr:clientData/>
  </xdr:twoCellAnchor>
  <xdr:twoCellAnchor editAs="oneCell">
    <xdr:from>
      <xdr:col>8</xdr:col>
      <xdr:colOff>792830</xdr:colOff>
      <xdr:row>89</xdr:row>
      <xdr:rowOff>43324</xdr:rowOff>
    </xdr:from>
    <xdr:to>
      <xdr:col>11</xdr:col>
      <xdr:colOff>209347</xdr:colOff>
      <xdr:row>94</xdr:row>
      <xdr:rowOff>150635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3A68EB-BA8F-9A7A-DC6D-5A9E6000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04552" y="17096602"/>
          <a:ext cx="1490851" cy="1053461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232833</xdr:colOff>
      <xdr:row>88</xdr:row>
      <xdr:rowOff>21167</xdr:rowOff>
    </xdr:from>
    <xdr:to>
      <xdr:col>8</xdr:col>
      <xdr:colOff>682978</xdr:colOff>
      <xdr:row>94</xdr:row>
      <xdr:rowOff>152695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2472E74-292B-8E8F-13EC-1C5243BFB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24889" y="16883945"/>
          <a:ext cx="1163461" cy="1274528"/>
        </a:xfrm>
        <a:prstGeom prst="rect">
          <a:avLst/>
        </a:prstGeom>
      </xdr:spPr>
    </xdr:pic>
    <xdr:clientData/>
  </xdr:twoCellAnchor>
  <xdr:twoCellAnchor editAs="oneCell">
    <xdr:from>
      <xdr:col>8</xdr:col>
      <xdr:colOff>814467</xdr:colOff>
      <xdr:row>98</xdr:row>
      <xdr:rowOff>78476</xdr:rowOff>
    </xdr:from>
    <xdr:to>
      <xdr:col>11</xdr:col>
      <xdr:colOff>129470</xdr:colOff>
      <xdr:row>103</xdr:row>
      <xdr:rowOff>154516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139C6E-10D5-E138-F093-9FB49DE6F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26189" y="18846254"/>
          <a:ext cx="1382987" cy="1028540"/>
        </a:xfrm>
        <a:prstGeom prst="rect">
          <a:avLst/>
        </a:prstGeom>
      </xdr:spPr>
    </xdr:pic>
    <xdr:clientData/>
  </xdr:twoCellAnchor>
  <xdr:twoCellAnchor editAs="oneCell">
    <xdr:from>
      <xdr:col>7</xdr:col>
      <xdr:colOff>211667</xdr:colOff>
      <xdr:row>96</xdr:row>
      <xdr:rowOff>42335</xdr:rowOff>
    </xdr:from>
    <xdr:to>
      <xdr:col>8</xdr:col>
      <xdr:colOff>758120</xdr:colOff>
      <xdr:row>103</xdr:row>
      <xdr:rowOff>148797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1043B08-6E99-1B82-1441-9BA5669B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3723" y="18429113"/>
          <a:ext cx="1266119" cy="1436787"/>
        </a:xfrm>
        <a:prstGeom prst="rect">
          <a:avLst/>
        </a:prstGeom>
      </xdr:spPr>
    </xdr:pic>
    <xdr:clientData/>
  </xdr:twoCellAnchor>
  <xdr:twoCellAnchor editAs="oneCell">
    <xdr:from>
      <xdr:col>8</xdr:col>
      <xdr:colOff>636307</xdr:colOff>
      <xdr:row>108</xdr:row>
      <xdr:rowOff>21024</xdr:rowOff>
    </xdr:from>
    <xdr:to>
      <xdr:col>11</xdr:col>
      <xdr:colOff>55007</xdr:colOff>
      <xdr:row>113</xdr:row>
      <xdr:rowOff>111223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C50A223-678C-76BB-2D62-FEA423D45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45954" y="21088083"/>
          <a:ext cx="1502994" cy="1058200"/>
        </a:xfrm>
        <a:prstGeom prst="rect">
          <a:avLst/>
        </a:prstGeom>
      </xdr:spPr>
    </xdr:pic>
    <xdr:clientData/>
  </xdr:twoCellAnchor>
  <xdr:twoCellAnchor editAs="oneCell">
    <xdr:from>
      <xdr:col>7</xdr:col>
      <xdr:colOff>160168</xdr:colOff>
      <xdr:row>106</xdr:row>
      <xdr:rowOff>59619</xdr:rowOff>
    </xdr:from>
    <xdr:to>
      <xdr:col>8</xdr:col>
      <xdr:colOff>664381</xdr:colOff>
      <xdr:row>113</xdr:row>
      <xdr:rowOff>54349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602E0CD-82CC-6930-C128-F2D8129A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52639" y="20738207"/>
          <a:ext cx="1221389" cy="1344852"/>
        </a:xfrm>
        <a:prstGeom prst="rect">
          <a:avLst/>
        </a:prstGeom>
      </xdr:spPr>
    </xdr:pic>
    <xdr:clientData/>
  </xdr:twoCellAnchor>
  <xdr:twoCellAnchor editAs="oneCell">
    <xdr:from>
      <xdr:col>8</xdr:col>
      <xdr:colOff>762737</xdr:colOff>
      <xdr:row>116</xdr:row>
      <xdr:rowOff>156883</xdr:rowOff>
    </xdr:from>
    <xdr:to>
      <xdr:col>11</xdr:col>
      <xdr:colOff>92470</xdr:colOff>
      <xdr:row>122</xdr:row>
      <xdr:rowOff>38625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2CD2FD-8C14-16A1-3AB3-D707340A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72384" y="22777824"/>
          <a:ext cx="1410852" cy="1047154"/>
        </a:xfrm>
        <a:prstGeom prst="rect">
          <a:avLst/>
        </a:prstGeom>
      </xdr:spPr>
    </xdr:pic>
    <xdr:clientData/>
  </xdr:twoCellAnchor>
  <xdr:twoCellAnchor editAs="oneCell">
    <xdr:from>
      <xdr:col>7</xdr:col>
      <xdr:colOff>204881</xdr:colOff>
      <xdr:row>114</xdr:row>
      <xdr:rowOff>74705</xdr:rowOff>
    </xdr:from>
    <xdr:to>
      <xdr:col>8</xdr:col>
      <xdr:colOff>700280</xdr:colOff>
      <xdr:row>122</xdr:row>
      <xdr:rowOff>16961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CA8323C-BC73-934F-B53A-5D9DE263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97352" y="22307176"/>
          <a:ext cx="1206225" cy="14961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138240</xdr:colOff>
      <xdr:row>94</xdr:row>
      <xdr:rowOff>158750</xdr:rowOff>
    </xdr:from>
    <xdr:to>
      <xdr:col>4</xdr:col>
      <xdr:colOff>605086</xdr:colOff>
      <xdr:row>96</xdr:row>
      <xdr:rowOff>73397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5801DF-FA61-449B-90E8-AD50437E9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922715" y="1676525"/>
          <a:ext cx="339038" cy="457321"/>
        </a:xfrm>
        <a:prstGeom prst="rect">
          <a:avLst/>
        </a:prstGeom>
      </xdr:spPr>
    </xdr:pic>
    <xdr:clientData/>
  </xdr:twoCellAnchor>
  <xdr:twoCellAnchor editAs="oneCell">
    <xdr:from>
      <xdr:col>4</xdr:col>
      <xdr:colOff>157194</xdr:colOff>
      <xdr:row>96</xdr:row>
      <xdr:rowOff>42335</xdr:rowOff>
    </xdr:from>
    <xdr:to>
      <xdr:col>4</xdr:col>
      <xdr:colOff>670983</xdr:colOff>
      <xdr:row>98</xdr:row>
      <xdr:rowOff>148748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AB5A67-948D-4AC6-1F37-82C6BC333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2527" y="2053168"/>
          <a:ext cx="513789" cy="481063"/>
        </a:xfrm>
        <a:prstGeom prst="rect">
          <a:avLst/>
        </a:prstGeom>
      </xdr:spPr>
    </xdr:pic>
    <xdr:clientData/>
  </xdr:twoCellAnchor>
  <xdr:twoCellAnchor editAs="oneCell">
    <xdr:from>
      <xdr:col>4</xdr:col>
      <xdr:colOff>67809</xdr:colOff>
      <xdr:row>98</xdr:row>
      <xdr:rowOff>126999</xdr:rowOff>
    </xdr:from>
    <xdr:to>
      <xdr:col>4</xdr:col>
      <xdr:colOff>663309</xdr:colOff>
      <xdr:row>100</xdr:row>
      <xdr:rowOff>168437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3BD34D-7C70-C6CD-9869-70B4E6C6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878085" y="2433889"/>
          <a:ext cx="419263" cy="589150"/>
        </a:xfrm>
        <a:prstGeom prst="rect">
          <a:avLst/>
        </a:prstGeom>
      </xdr:spPr>
    </xdr:pic>
    <xdr:clientData/>
  </xdr:twoCellAnchor>
  <xdr:twoCellAnchor editAs="oneCell">
    <xdr:from>
      <xdr:col>4</xdr:col>
      <xdr:colOff>656165</xdr:colOff>
      <xdr:row>98</xdr:row>
      <xdr:rowOff>109086</xdr:rowOff>
    </xdr:from>
    <xdr:to>
      <xdr:col>5</xdr:col>
      <xdr:colOff>52917</xdr:colOff>
      <xdr:row>101</xdr:row>
      <xdr:rowOff>35105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393F6-AF0F-4423-9A4D-58C2B108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498" y="2500919"/>
          <a:ext cx="539752" cy="491169"/>
        </a:xfrm>
        <a:prstGeom prst="rect">
          <a:avLst/>
        </a:prstGeom>
      </xdr:spPr>
    </xdr:pic>
    <xdr:clientData/>
  </xdr:twoCellAnchor>
  <xdr:twoCellAnchor editAs="oneCell">
    <xdr:from>
      <xdr:col>4</xdr:col>
      <xdr:colOff>687890</xdr:colOff>
      <xdr:row>101</xdr:row>
      <xdr:rowOff>52917</xdr:rowOff>
    </xdr:from>
    <xdr:to>
      <xdr:col>5</xdr:col>
      <xdr:colOff>39160</xdr:colOff>
      <xdr:row>103</xdr:row>
      <xdr:rowOff>72205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7A22C1-6493-A9B1-C3E0-6E0A9F31F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3223" y="3016250"/>
          <a:ext cx="494270" cy="397113"/>
        </a:xfrm>
        <a:prstGeom prst="rect">
          <a:avLst/>
        </a:prstGeom>
      </xdr:spPr>
    </xdr:pic>
    <xdr:clientData/>
  </xdr:twoCellAnchor>
  <xdr:twoCellAnchor>
    <xdr:from>
      <xdr:col>7</xdr:col>
      <xdr:colOff>703791</xdr:colOff>
      <xdr:row>83</xdr:row>
      <xdr:rowOff>34925</xdr:rowOff>
    </xdr:from>
    <xdr:to>
      <xdr:col>11</xdr:col>
      <xdr:colOff>401461</xdr:colOff>
      <xdr:row>92</xdr:row>
      <xdr:rowOff>111125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F17EDE5-CF75-74CF-1190-99CACC2D6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130174</xdr:colOff>
      <xdr:row>112</xdr:row>
      <xdr:rowOff>40389</xdr:rowOff>
    </xdr:from>
    <xdr:to>
      <xdr:col>8</xdr:col>
      <xdr:colOff>761998</xdr:colOff>
      <xdr:row>119</xdr:row>
      <xdr:rowOff>188615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068E7-2E8F-A7BC-57ED-FAACC132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5174" y="5099222"/>
          <a:ext cx="1351491" cy="1475376"/>
        </a:xfrm>
        <a:prstGeom prst="rect">
          <a:avLst/>
        </a:prstGeom>
      </xdr:spPr>
    </xdr:pic>
    <xdr:clientData/>
  </xdr:twoCellAnchor>
  <xdr:twoCellAnchor editAs="oneCell">
    <xdr:from>
      <xdr:col>8</xdr:col>
      <xdr:colOff>768349</xdr:colOff>
      <xdr:row>114</xdr:row>
      <xdr:rowOff>95326</xdr:rowOff>
    </xdr:from>
    <xdr:to>
      <xdr:col>11</xdr:col>
      <xdr:colOff>116063</xdr:colOff>
      <xdr:row>119</xdr:row>
      <xdr:rowOff>171609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6204E2-D13B-F1DE-FF1F-CEB53208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0071" y="5528104"/>
          <a:ext cx="1422048" cy="1028783"/>
        </a:xfrm>
        <a:prstGeom prst="rect">
          <a:avLst/>
        </a:prstGeom>
      </xdr:spPr>
    </xdr:pic>
    <xdr:clientData/>
  </xdr:twoCellAnchor>
  <xdr:twoCellAnchor editAs="oneCell">
    <xdr:from>
      <xdr:col>8</xdr:col>
      <xdr:colOff>836083</xdr:colOff>
      <xdr:row>123</xdr:row>
      <xdr:rowOff>107232</xdr:rowOff>
    </xdr:from>
    <xdr:to>
      <xdr:col>11</xdr:col>
      <xdr:colOff>155222</xdr:colOff>
      <xdr:row>128</xdr:row>
      <xdr:rowOff>168540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F991AA-0D5C-8D5E-0C0E-6471AD2DA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0750" y="7261565"/>
          <a:ext cx="1404055" cy="1010633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116417</xdr:colOff>
      <xdr:row>121</xdr:row>
      <xdr:rowOff>92001</xdr:rowOff>
    </xdr:from>
    <xdr:to>
      <xdr:col>8</xdr:col>
      <xdr:colOff>814916</xdr:colOff>
      <xdr:row>129</xdr:row>
      <xdr:rowOff>36219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52968B-D90A-CB3B-911B-07E85BA9C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01417" y="6865334"/>
          <a:ext cx="1418166" cy="1468218"/>
        </a:xfrm>
        <a:prstGeom prst="rect">
          <a:avLst/>
        </a:prstGeom>
      </xdr:spPr>
    </xdr:pic>
    <xdr:clientData/>
  </xdr:twoCellAnchor>
  <xdr:twoCellAnchor editAs="oneCell">
    <xdr:from>
      <xdr:col>8</xdr:col>
      <xdr:colOff>772584</xdr:colOff>
      <xdr:row>132</xdr:row>
      <xdr:rowOff>148166</xdr:rowOff>
    </xdr:from>
    <xdr:to>
      <xdr:col>11</xdr:col>
      <xdr:colOff>110622</xdr:colOff>
      <xdr:row>138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F11992-9D58-0781-0C68-6501F9AE7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84306" y="9009944"/>
          <a:ext cx="1402847" cy="994835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169333</xdr:colOff>
      <xdr:row>130</xdr:row>
      <xdr:rowOff>27051</xdr:rowOff>
    </xdr:from>
    <xdr:to>
      <xdr:col>8</xdr:col>
      <xdr:colOff>835025</xdr:colOff>
      <xdr:row>138</xdr:row>
      <xdr:rowOff>15048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D15724-40B4-999B-2A4D-9F9AFF349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54333" y="8514884"/>
          <a:ext cx="1375834" cy="1511997"/>
        </a:xfrm>
        <a:prstGeom prst="rect">
          <a:avLst/>
        </a:prstGeom>
      </xdr:spPr>
    </xdr:pic>
    <xdr:clientData/>
  </xdr:twoCellAnchor>
  <xdr:twoCellAnchor editAs="oneCell">
    <xdr:from>
      <xdr:col>9</xdr:col>
      <xdr:colOff>23963</xdr:colOff>
      <xdr:row>141</xdr:row>
      <xdr:rowOff>147061</xdr:rowOff>
    </xdr:from>
    <xdr:to>
      <xdr:col>11</xdr:col>
      <xdr:colOff>207080</xdr:colOff>
      <xdr:row>147</xdr:row>
      <xdr:rowOff>16060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BAE698-ADAA-06AF-CBD2-C7677DDB3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85880" y="10730394"/>
          <a:ext cx="1401258" cy="1005649"/>
        </a:xfrm>
        <a:prstGeom prst="rect">
          <a:avLst/>
        </a:prstGeom>
      </xdr:spPr>
    </xdr:pic>
    <xdr:clientData/>
  </xdr:twoCellAnchor>
  <xdr:twoCellAnchor editAs="oneCell">
    <xdr:from>
      <xdr:col>7</xdr:col>
      <xdr:colOff>179917</xdr:colOff>
      <xdr:row>140</xdr:row>
      <xdr:rowOff>95251</xdr:rowOff>
    </xdr:from>
    <xdr:to>
      <xdr:col>8</xdr:col>
      <xdr:colOff>852992</xdr:colOff>
      <xdr:row>147</xdr:row>
      <xdr:rowOff>78525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D817A6-AE86-26BC-E082-AFFDFCFA8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64917" y="10488084"/>
          <a:ext cx="1392742" cy="1316774"/>
        </a:xfrm>
        <a:prstGeom prst="rect">
          <a:avLst/>
        </a:prstGeom>
      </xdr:spPr>
    </xdr:pic>
    <xdr:clientData/>
  </xdr:twoCellAnchor>
  <xdr:twoCellAnchor editAs="oneCell">
    <xdr:from>
      <xdr:col>9</xdr:col>
      <xdr:colOff>55469</xdr:colOff>
      <xdr:row>150</xdr:row>
      <xdr:rowOff>82176</xdr:rowOff>
    </xdr:from>
    <xdr:to>
      <xdr:col>11</xdr:col>
      <xdr:colOff>379537</xdr:colOff>
      <xdr:row>156</xdr:row>
      <xdr:rowOff>14518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CFDB2B-B875-9088-1BE9-D9EF4C849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4234" y="12602882"/>
          <a:ext cx="1549244" cy="1097754"/>
        </a:xfrm>
        <a:prstGeom prst="rect">
          <a:avLst/>
        </a:prstGeom>
      </xdr:spPr>
    </xdr:pic>
    <xdr:clientData/>
  </xdr:twoCellAnchor>
  <xdr:twoCellAnchor editAs="oneCell">
    <xdr:from>
      <xdr:col>7</xdr:col>
      <xdr:colOff>202639</xdr:colOff>
      <xdr:row>149</xdr:row>
      <xdr:rowOff>106197</xdr:rowOff>
    </xdr:from>
    <xdr:to>
      <xdr:col>9</xdr:col>
      <xdr:colOff>14941</xdr:colOff>
      <xdr:row>156</xdr:row>
      <xdr:rowOff>93316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A9A6B3-AC72-3D92-2D3A-D0A88FDC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95110" y="12432668"/>
          <a:ext cx="1388596" cy="1343591"/>
        </a:xfrm>
        <a:prstGeom prst="rect">
          <a:avLst/>
        </a:prstGeom>
      </xdr:spPr>
    </xdr:pic>
    <xdr:clientData/>
  </xdr:twoCellAnchor>
  <xdr:twoCellAnchor editAs="oneCell">
    <xdr:from>
      <xdr:col>9</xdr:col>
      <xdr:colOff>110937</xdr:colOff>
      <xdr:row>159</xdr:row>
      <xdr:rowOff>146098</xdr:rowOff>
    </xdr:from>
    <xdr:to>
      <xdr:col>11</xdr:col>
      <xdr:colOff>378201</xdr:colOff>
      <xdr:row>165</xdr:row>
      <xdr:rowOff>109632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138A22-D44B-8721-76FA-19AACE26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79702" y="14414922"/>
          <a:ext cx="1492440" cy="1122595"/>
        </a:xfrm>
        <a:prstGeom prst="rect">
          <a:avLst/>
        </a:prstGeom>
      </xdr:spPr>
    </xdr:pic>
    <xdr:clientData/>
  </xdr:twoCellAnchor>
  <xdr:twoCellAnchor editAs="oneCell">
    <xdr:from>
      <xdr:col>7</xdr:col>
      <xdr:colOff>201706</xdr:colOff>
      <xdr:row>159</xdr:row>
      <xdr:rowOff>104588</xdr:rowOff>
    </xdr:from>
    <xdr:to>
      <xdr:col>8</xdr:col>
      <xdr:colOff>797112</xdr:colOff>
      <xdr:row>165</xdr:row>
      <xdr:rowOff>93544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A59EA6-89BC-435C-73B5-0B7BD37A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94177" y="14373412"/>
          <a:ext cx="1303057" cy="1151192"/>
        </a:xfrm>
        <a:prstGeom prst="rect">
          <a:avLst/>
        </a:prstGeom>
      </xdr:spPr>
    </xdr:pic>
    <xdr:clientData/>
  </xdr:twoCellAnchor>
  <xdr:twoCellAnchor editAs="oneCell">
    <xdr:from>
      <xdr:col>9</xdr:col>
      <xdr:colOff>58642</xdr:colOff>
      <xdr:row>168</xdr:row>
      <xdr:rowOff>10647</xdr:rowOff>
    </xdr:from>
    <xdr:to>
      <xdr:col>11</xdr:col>
      <xdr:colOff>359838</xdr:colOff>
      <xdr:row>173</xdr:row>
      <xdr:rowOff>150237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46051A-5A9E-225F-E0BF-E9E6A37C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27407" y="16027588"/>
          <a:ext cx="1526372" cy="1101242"/>
        </a:xfrm>
        <a:prstGeom prst="rect">
          <a:avLst/>
        </a:prstGeom>
      </xdr:spPr>
    </xdr:pic>
    <xdr:clientData/>
  </xdr:twoCellAnchor>
  <xdr:twoCellAnchor editAs="oneCell">
    <xdr:from>
      <xdr:col>7</xdr:col>
      <xdr:colOff>134470</xdr:colOff>
      <xdr:row>166</xdr:row>
      <xdr:rowOff>130174</xdr:rowOff>
    </xdr:from>
    <xdr:to>
      <xdr:col>9</xdr:col>
      <xdr:colOff>37792</xdr:colOff>
      <xdr:row>174</xdr:row>
      <xdr:rowOff>16774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FCC47FC-3A24-8D01-3C97-D838AD40C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26941" y="15758645"/>
          <a:ext cx="1479616" cy="1437307"/>
        </a:xfrm>
        <a:prstGeom prst="rect">
          <a:avLst/>
        </a:prstGeom>
      </xdr:spPr>
    </xdr:pic>
    <xdr:clientData/>
  </xdr:twoCellAnchor>
  <xdr:twoCellAnchor editAs="oneCell">
    <xdr:from>
      <xdr:col>9</xdr:col>
      <xdr:colOff>85351</xdr:colOff>
      <xdr:row>177</xdr:row>
      <xdr:rowOff>41013</xdr:rowOff>
    </xdr:from>
    <xdr:to>
      <xdr:col>11</xdr:col>
      <xdr:colOff>454585</xdr:colOff>
      <xdr:row>183</xdr:row>
      <xdr:rowOff>52605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6A2C38-F419-F482-16E4-EFDB7201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54116" y="17806072"/>
          <a:ext cx="1588060" cy="1170654"/>
        </a:xfrm>
        <a:prstGeom prst="rect">
          <a:avLst/>
        </a:prstGeom>
      </xdr:spPr>
    </xdr:pic>
    <xdr:clientData/>
  </xdr:twoCellAnchor>
  <xdr:twoCellAnchor editAs="oneCell">
    <xdr:from>
      <xdr:col>7</xdr:col>
      <xdr:colOff>134471</xdr:colOff>
      <xdr:row>175</xdr:row>
      <xdr:rowOff>10646</xdr:rowOff>
    </xdr:from>
    <xdr:to>
      <xdr:col>8</xdr:col>
      <xdr:colOff>823582</xdr:colOff>
      <xdr:row>183</xdr:row>
      <xdr:rowOff>73322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A5DEED-CA3F-61CC-D7F6-D3FF550D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26942" y="17387234"/>
          <a:ext cx="1406287" cy="1607034"/>
        </a:xfrm>
        <a:prstGeom prst="rect">
          <a:avLst/>
        </a:prstGeom>
      </xdr:spPr>
    </xdr:pic>
    <xdr:clientData/>
  </xdr:twoCellAnchor>
  <xdr:twoCellAnchor editAs="oneCell">
    <xdr:from>
      <xdr:col>9</xdr:col>
      <xdr:colOff>74572</xdr:colOff>
      <xdr:row>186</xdr:row>
      <xdr:rowOff>93789</xdr:rowOff>
    </xdr:from>
    <xdr:to>
      <xdr:col>11</xdr:col>
      <xdr:colOff>440765</xdr:colOff>
      <xdr:row>192</xdr:row>
      <xdr:rowOff>93905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7EC763-389B-0ED1-2B39-07B96BBE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43337" y="19606965"/>
          <a:ext cx="1591369" cy="1165528"/>
        </a:xfrm>
        <a:prstGeom prst="rect">
          <a:avLst/>
        </a:prstGeom>
      </xdr:spPr>
    </xdr:pic>
    <xdr:clientData/>
  </xdr:twoCellAnchor>
  <xdr:twoCellAnchor editAs="oneCell">
    <xdr:from>
      <xdr:col>7</xdr:col>
      <xdr:colOff>185645</xdr:colOff>
      <xdr:row>184</xdr:row>
      <xdr:rowOff>164352</xdr:rowOff>
    </xdr:from>
    <xdr:to>
      <xdr:col>8</xdr:col>
      <xdr:colOff>725028</xdr:colOff>
      <xdr:row>192</xdr:row>
      <xdr:rowOff>41384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0AC6E0-B550-01A7-6C3C-21D8C8CA1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78116" y="19289058"/>
          <a:ext cx="1256559" cy="1430914"/>
        </a:xfrm>
        <a:prstGeom prst="rect">
          <a:avLst/>
        </a:prstGeom>
      </xdr:spPr>
    </xdr:pic>
    <xdr:clientData/>
  </xdr:twoCellAnchor>
  <xdr:twoCellAnchor editAs="oneCell">
    <xdr:from>
      <xdr:col>9</xdr:col>
      <xdr:colOff>103467</xdr:colOff>
      <xdr:row>195</xdr:row>
      <xdr:rowOff>1</xdr:rowOff>
    </xdr:from>
    <xdr:to>
      <xdr:col>11</xdr:col>
      <xdr:colOff>511641</xdr:colOff>
      <xdr:row>201</xdr:row>
      <xdr:rowOff>19201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3B00F4-4272-329E-C43A-83CB97C8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72232" y="21261295"/>
          <a:ext cx="1633350" cy="1184612"/>
        </a:xfrm>
        <a:prstGeom prst="rect">
          <a:avLst/>
        </a:prstGeom>
      </xdr:spPr>
    </xdr:pic>
    <xdr:clientData/>
  </xdr:twoCellAnchor>
  <xdr:twoCellAnchor editAs="oneCell">
    <xdr:from>
      <xdr:col>7</xdr:col>
      <xdr:colOff>212351</xdr:colOff>
      <xdr:row>193</xdr:row>
      <xdr:rowOff>130175</xdr:rowOff>
    </xdr:from>
    <xdr:to>
      <xdr:col>8</xdr:col>
      <xdr:colOff>814774</xdr:colOff>
      <xdr:row>201</xdr:row>
      <xdr:rowOff>54395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499D595-C4DB-8336-6024-44DEA01C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4822" y="21002999"/>
          <a:ext cx="1313249" cy="1478102"/>
        </a:xfrm>
        <a:prstGeom prst="rect">
          <a:avLst/>
        </a:prstGeom>
      </xdr:spPr>
    </xdr:pic>
    <xdr:clientData/>
  </xdr:twoCellAnchor>
  <xdr:twoCellAnchor editAs="oneCell">
    <xdr:from>
      <xdr:col>9</xdr:col>
      <xdr:colOff>93883</xdr:colOff>
      <xdr:row>204</xdr:row>
      <xdr:rowOff>29198</xdr:rowOff>
    </xdr:from>
    <xdr:to>
      <xdr:col>11</xdr:col>
      <xdr:colOff>455707</xdr:colOff>
      <xdr:row>210</xdr:row>
      <xdr:rowOff>92615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D137F0-B6CC-505E-88E9-338A47E8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2648" y="23038610"/>
          <a:ext cx="1587000" cy="1222479"/>
        </a:xfrm>
        <a:prstGeom prst="rect">
          <a:avLst/>
        </a:prstGeom>
      </xdr:spPr>
    </xdr:pic>
    <xdr:clientData/>
  </xdr:twoCellAnchor>
  <xdr:twoCellAnchor editAs="oneCell">
    <xdr:from>
      <xdr:col>7</xdr:col>
      <xdr:colOff>246529</xdr:colOff>
      <xdr:row>202</xdr:row>
      <xdr:rowOff>22412</xdr:rowOff>
    </xdr:from>
    <xdr:to>
      <xdr:col>9</xdr:col>
      <xdr:colOff>225</xdr:colOff>
      <xdr:row>210</xdr:row>
      <xdr:rowOff>36232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A14070D-FE95-488E-F1BF-905650B3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39000" y="22643353"/>
          <a:ext cx="1329990" cy="15645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63</xdr:row>
      <xdr:rowOff>19049</xdr:rowOff>
    </xdr:from>
    <xdr:ext cx="457321" cy="339038"/>
    <xdr:pic>
      <xdr:nvPicPr>
        <xdr:cNvPr id="11" name="Picture 10">
          <a:extLst>
            <a:ext uri="{FF2B5EF4-FFF2-40B4-BE49-F238E27FC236}">
              <a16:creationId xmlns:a16="http://schemas.microsoft.com/office/drawing/2014/main" id="{25BF5AAD-1C8E-4F53-8651-ED4BBD3A9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38048" y="1536824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66</xdr:row>
      <xdr:rowOff>15875</xdr:rowOff>
    </xdr:from>
    <xdr:ext cx="513789" cy="481063"/>
    <xdr:pic>
      <xdr:nvPicPr>
        <xdr:cNvPr id="12" name="Picture 11">
          <a:extLst>
            <a:ext uri="{FF2B5EF4-FFF2-40B4-BE49-F238E27FC236}">
              <a16:creationId xmlns:a16="http://schemas.microsoft.com/office/drawing/2014/main" id="{A7868302-118A-4D44-BB3E-132781D4C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0193" y="2164292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64</xdr:row>
      <xdr:rowOff>131509</xdr:rowOff>
    </xdr:from>
    <xdr:ext cx="589150" cy="419263"/>
    <xdr:pic>
      <xdr:nvPicPr>
        <xdr:cNvPr id="13" name="Picture 12">
          <a:extLst>
            <a:ext uri="{FF2B5EF4-FFF2-40B4-BE49-F238E27FC236}">
              <a16:creationId xmlns:a16="http://schemas.microsoft.com/office/drawing/2014/main" id="{0A6ED92C-E5D3-47F3-BD25-B1ADC0DA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1584" y="1813983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63</xdr:row>
      <xdr:rowOff>57150</xdr:rowOff>
    </xdr:from>
    <xdr:ext cx="624738" cy="568506"/>
    <xdr:pic>
      <xdr:nvPicPr>
        <xdr:cNvPr id="14" name="Picture 13">
          <a:extLst>
            <a:ext uri="{FF2B5EF4-FFF2-40B4-BE49-F238E27FC236}">
              <a16:creationId xmlns:a16="http://schemas.microsoft.com/office/drawing/2014/main" id="{2C13F86D-E3DA-42A6-802F-E27BF544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2583" y="1634067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66</xdr:row>
      <xdr:rowOff>152400</xdr:rowOff>
    </xdr:from>
    <xdr:ext cx="494270" cy="397113"/>
    <xdr:pic>
      <xdr:nvPicPr>
        <xdr:cNvPr id="16" name="Picture 15">
          <a:extLst>
            <a:ext uri="{FF2B5EF4-FFF2-40B4-BE49-F238E27FC236}">
              <a16:creationId xmlns:a16="http://schemas.microsoft.com/office/drawing/2014/main" id="{2EDC63F5-2BA2-4F4D-BF73-89263D77C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1389" y="2300817"/>
          <a:ext cx="494270" cy="397113"/>
        </a:xfrm>
        <a:prstGeom prst="rect">
          <a:avLst/>
        </a:prstGeom>
      </xdr:spPr>
    </xdr:pic>
    <xdr:clientData/>
  </xdr:oneCellAnchor>
  <xdr:oneCellAnchor>
    <xdr:from>
      <xdr:col>7</xdr:col>
      <xdr:colOff>264584</xdr:colOff>
      <xdr:row>88</xdr:row>
      <xdr:rowOff>87960</xdr:rowOff>
    </xdr:from>
    <xdr:ext cx="1456972" cy="1482835"/>
    <xdr:pic>
      <xdr:nvPicPr>
        <xdr:cNvPr id="27" name="Picture 26">
          <a:extLst>
            <a:ext uri="{FF2B5EF4-FFF2-40B4-BE49-F238E27FC236}">
              <a16:creationId xmlns:a16="http://schemas.microsoft.com/office/drawing/2014/main" id="{91F8994D-9CD3-485B-A214-263B471AE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6640" y="6903627"/>
          <a:ext cx="1456972" cy="1482835"/>
        </a:xfrm>
        <a:prstGeom prst="rect">
          <a:avLst/>
        </a:prstGeom>
      </xdr:spPr>
    </xdr:pic>
    <xdr:clientData/>
  </xdr:oneCellAnchor>
  <xdr:oneCellAnchor>
    <xdr:from>
      <xdr:col>9</xdr:col>
      <xdr:colOff>222251</xdr:colOff>
      <xdr:row>90</xdr:row>
      <xdr:rowOff>156920</xdr:rowOff>
    </xdr:from>
    <xdr:ext cx="1456971" cy="1056112"/>
    <xdr:pic>
      <xdr:nvPicPr>
        <xdr:cNvPr id="28" name="Picture 27">
          <a:extLst>
            <a:ext uri="{FF2B5EF4-FFF2-40B4-BE49-F238E27FC236}">
              <a16:creationId xmlns:a16="http://schemas.microsoft.com/office/drawing/2014/main" id="{B81B4C3A-0B4C-4307-9207-342A8EE9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94751" y="7163087"/>
          <a:ext cx="1456971" cy="1056112"/>
        </a:xfrm>
        <a:prstGeom prst="rect">
          <a:avLst/>
        </a:prstGeom>
      </xdr:spPr>
    </xdr:pic>
    <xdr:clientData/>
  </xdr:oneCellAnchor>
  <xdr:oneCellAnchor>
    <xdr:from>
      <xdr:col>9</xdr:col>
      <xdr:colOff>232832</xdr:colOff>
      <xdr:row>99</xdr:row>
      <xdr:rowOff>31773</xdr:rowOff>
    </xdr:from>
    <xdr:ext cx="1488723" cy="1073391"/>
    <xdr:pic>
      <xdr:nvPicPr>
        <xdr:cNvPr id="29" name="Picture 28">
          <a:extLst>
            <a:ext uri="{FF2B5EF4-FFF2-40B4-BE49-F238E27FC236}">
              <a16:creationId xmlns:a16="http://schemas.microsoft.com/office/drawing/2014/main" id="{E21F503E-B7C5-40C3-A2FA-FD8E77E31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05332" y="8942940"/>
          <a:ext cx="1488723" cy="1073391"/>
        </a:xfrm>
        <a:prstGeom prst="rect">
          <a:avLst/>
        </a:prstGeom>
      </xdr:spPr>
    </xdr:pic>
    <xdr:clientData/>
  </xdr:oneCellAnchor>
  <xdr:oneCellAnchor>
    <xdr:from>
      <xdr:col>7</xdr:col>
      <xdr:colOff>249766</xdr:colOff>
      <xdr:row>97</xdr:row>
      <xdr:rowOff>104661</xdr:rowOff>
    </xdr:from>
    <xdr:ext cx="1528233" cy="1476718"/>
    <xdr:pic>
      <xdr:nvPicPr>
        <xdr:cNvPr id="30" name="Picture 29">
          <a:extLst>
            <a:ext uri="{FF2B5EF4-FFF2-40B4-BE49-F238E27FC236}">
              <a16:creationId xmlns:a16="http://schemas.microsoft.com/office/drawing/2014/main" id="{8A4C26F3-8980-482C-B754-6CF1483F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41822" y="8634828"/>
          <a:ext cx="1528233" cy="1476718"/>
        </a:xfrm>
        <a:prstGeom prst="rect">
          <a:avLst/>
        </a:prstGeom>
      </xdr:spPr>
    </xdr:pic>
    <xdr:clientData/>
  </xdr:oneCellAnchor>
  <xdr:oneCellAnchor>
    <xdr:from>
      <xdr:col>9</xdr:col>
      <xdr:colOff>246593</xdr:colOff>
      <xdr:row>108</xdr:row>
      <xdr:rowOff>89325</xdr:rowOff>
    </xdr:from>
    <xdr:ext cx="1456972" cy="1056848"/>
    <xdr:pic>
      <xdr:nvPicPr>
        <xdr:cNvPr id="31" name="Picture 30">
          <a:extLst>
            <a:ext uri="{FF2B5EF4-FFF2-40B4-BE49-F238E27FC236}">
              <a16:creationId xmlns:a16="http://schemas.microsoft.com/office/drawing/2014/main" id="{0DFB533B-48E7-4738-8E99-C55011453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19093" y="10714992"/>
          <a:ext cx="1456972" cy="1056848"/>
        </a:xfrm>
        <a:prstGeom prst="rect">
          <a:avLst/>
        </a:prstGeom>
      </xdr:spPr>
    </xdr:pic>
    <xdr:clientData/>
  </xdr:oneCellAnchor>
  <xdr:oneCellAnchor>
    <xdr:from>
      <xdr:col>7</xdr:col>
      <xdr:colOff>243418</xdr:colOff>
      <xdr:row>106</xdr:row>
      <xdr:rowOff>162277</xdr:rowOff>
    </xdr:from>
    <xdr:ext cx="1469982" cy="1449565"/>
    <xdr:pic>
      <xdr:nvPicPr>
        <xdr:cNvPr id="32" name="Picture 31">
          <a:extLst>
            <a:ext uri="{FF2B5EF4-FFF2-40B4-BE49-F238E27FC236}">
              <a16:creationId xmlns:a16="http://schemas.microsoft.com/office/drawing/2014/main" id="{2406CDC8-C79D-4F24-83D3-C781CF96B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5474" y="10406944"/>
          <a:ext cx="1469982" cy="1449565"/>
        </a:xfrm>
        <a:prstGeom prst="rect">
          <a:avLst/>
        </a:prstGeom>
      </xdr:spPr>
    </xdr:pic>
    <xdr:clientData/>
  </xdr:oneCellAnchor>
  <xdr:twoCellAnchor editAs="oneCell">
    <xdr:from>
      <xdr:col>9</xdr:col>
      <xdr:colOff>300567</xdr:colOff>
      <xdr:row>81</xdr:row>
      <xdr:rowOff>44066</xdr:rowOff>
    </xdr:from>
    <xdr:to>
      <xdr:col>12</xdr:col>
      <xdr:colOff>34574</xdr:colOff>
      <xdr:row>87</xdr:row>
      <xdr:rowOff>19715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38DF3A-4D5C-44AE-5BFA-32323513A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73067" y="5526233"/>
          <a:ext cx="1547990" cy="1118649"/>
        </a:xfrm>
        <a:prstGeom prst="rect">
          <a:avLst/>
        </a:prstGeom>
      </xdr:spPr>
    </xdr:pic>
    <xdr:clientData/>
  </xdr:twoCellAnchor>
  <xdr:twoCellAnchor editAs="oneCell">
    <xdr:from>
      <xdr:col>7</xdr:col>
      <xdr:colOff>230717</xdr:colOff>
      <xdr:row>78</xdr:row>
      <xdr:rowOff>186697</xdr:rowOff>
    </xdr:from>
    <xdr:to>
      <xdr:col>9</xdr:col>
      <xdr:colOff>185914</xdr:colOff>
      <xdr:row>87</xdr:row>
      <xdr:rowOff>53247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0D6B4D-E4F4-854F-9017-71646DEC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22773" y="5097364"/>
          <a:ext cx="1526116" cy="1574700"/>
        </a:xfrm>
        <a:prstGeom prst="rect">
          <a:avLst/>
        </a:prstGeom>
      </xdr:spPr>
    </xdr:pic>
    <xdr:clientData/>
  </xdr:twoCellAnchor>
  <xdr:twoCellAnchor editAs="oneCell">
    <xdr:from>
      <xdr:col>9</xdr:col>
      <xdr:colOff>271121</xdr:colOff>
      <xdr:row>116</xdr:row>
      <xdr:rowOff>182469</xdr:rowOff>
    </xdr:from>
    <xdr:to>
      <xdr:col>12</xdr:col>
      <xdr:colOff>55023</xdr:colOff>
      <xdr:row>123</xdr:row>
      <xdr:rowOff>15436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A7BC9-1BC5-04D6-C2E4-4604D3AA8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39886" y="12553763"/>
          <a:ext cx="1615316" cy="1186264"/>
        </a:xfrm>
        <a:prstGeom prst="rect">
          <a:avLst/>
        </a:prstGeom>
      </xdr:spPr>
    </xdr:pic>
    <xdr:clientData/>
  </xdr:twoCellAnchor>
  <xdr:twoCellAnchor editAs="oneCell">
    <xdr:from>
      <xdr:col>7</xdr:col>
      <xdr:colOff>223482</xdr:colOff>
      <xdr:row>116</xdr:row>
      <xdr:rowOff>70410</xdr:rowOff>
    </xdr:from>
    <xdr:to>
      <xdr:col>9</xdr:col>
      <xdr:colOff>109923</xdr:colOff>
      <xdr:row>123</xdr:row>
      <xdr:rowOff>33660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DFF77F-CFB1-74D4-7AEF-A29B0F4A2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15953" y="12441704"/>
          <a:ext cx="1456385" cy="1316547"/>
        </a:xfrm>
        <a:prstGeom prst="rect">
          <a:avLst/>
        </a:prstGeom>
      </xdr:spPr>
    </xdr:pic>
    <xdr:clientData/>
  </xdr:twoCellAnchor>
  <xdr:twoCellAnchor editAs="oneCell">
    <xdr:from>
      <xdr:col>9</xdr:col>
      <xdr:colOff>343647</xdr:colOff>
      <xdr:row>126</xdr:row>
      <xdr:rowOff>60933</xdr:rowOff>
    </xdr:from>
    <xdr:to>
      <xdr:col>12</xdr:col>
      <xdr:colOff>73803</xdr:colOff>
      <xdr:row>132</xdr:row>
      <xdr:rowOff>52919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39C55C-AA94-33CC-3B51-8FB94D732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2412" y="14374580"/>
          <a:ext cx="1567920" cy="1147873"/>
        </a:xfrm>
        <a:prstGeom prst="rect">
          <a:avLst/>
        </a:prstGeom>
      </xdr:spPr>
    </xdr:pic>
    <xdr:clientData/>
  </xdr:twoCellAnchor>
  <xdr:twoCellAnchor editAs="oneCell">
    <xdr:from>
      <xdr:col>7</xdr:col>
      <xdr:colOff>285029</xdr:colOff>
      <xdr:row>125</xdr:row>
      <xdr:rowOff>160057</xdr:rowOff>
    </xdr:from>
    <xdr:to>
      <xdr:col>9</xdr:col>
      <xdr:colOff>226940</xdr:colOff>
      <xdr:row>132</xdr:row>
      <xdr:rowOff>41006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7B64B9-E328-882A-CA88-CEBC67CB1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7500" y="14279469"/>
          <a:ext cx="1511855" cy="1240596"/>
        </a:xfrm>
        <a:prstGeom prst="rect">
          <a:avLst/>
        </a:prstGeom>
      </xdr:spPr>
    </xdr:pic>
    <xdr:clientData/>
  </xdr:twoCellAnchor>
  <xdr:twoCellAnchor editAs="oneCell">
    <xdr:from>
      <xdr:col>9</xdr:col>
      <xdr:colOff>309472</xdr:colOff>
      <xdr:row>135</xdr:row>
      <xdr:rowOff>40142</xdr:rowOff>
    </xdr:from>
    <xdr:to>
      <xdr:col>12</xdr:col>
      <xdr:colOff>189940</xdr:colOff>
      <xdr:row>141</xdr:row>
      <xdr:rowOff>71954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98D252-51FA-1844-F8D3-5D48F4332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78237" y="16101907"/>
          <a:ext cx="1718232" cy="1187698"/>
        </a:xfrm>
        <a:prstGeom prst="rect">
          <a:avLst/>
        </a:prstGeom>
      </xdr:spPr>
    </xdr:pic>
    <xdr:clientData/>
  </xdr:twoCellAnchor>
  <xdr:twoCellAnchor editAs="oneCell">
    <xdr:from>
      <xdr:col>7</xdr:col>
      <xdr:colOff>294528</xdr:colOff>
      <xdr:row>134</xdr:row>
      <xdr:rowOff>50760</xdr:rowOff>
    </xdr:from>
    <xdr:to>
      <xdr:col>9</xdr:col>
      <xdr:colOff>244287</xdr:colOff>
      <xdr:row>141</xdr:row>
      <xdr:rowOff>73901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DF0A35-4585-F253-6BF4-927514A9B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86999" y="15918289"/>
          <a:ext cx="1516528" cy="1373263"/>
        </a:xfrm>
        <a:prstGeom prst="rect">
          <a:avLst/>
        </a:prstGeom>
      </xdr:spPr>
    </xdr:pic>
    <xdr:clientData/>
  </xdr:twoCellAnchor>
  <xdr:twoCellAnchor editAs="oneCell">
    <xdr:from>
      <xdr:col>9</xdr:col>
      <xdr:colOff>207279</xdr:colOff>
      <xdr:row>144</xdr:row>
      <xdr:rowOff>102233</xdr:rowOff>
    </xdr:from>
    <xdr:to>
      <xdr:col>11</xdr:col>
      <xdr:colOff>567765</xdr:colOff>
      <xdr:row>150</xdr:row>
      <xdr:rowOff>109997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F1DCDF-C0A3-8918-5CC2-05383735D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6044" y="17912115"/>
          <a:ext cx="1585662" cy="1163651"/>
        </a:xfrm>
        <a:prstGeom prst="rect">
          <a:avLst/>
        </a:prstGeom>
      </xdr:spPr>
    </xdr:pic>
    <xdr:clientData/>
  </xdr:twoCellAnchor>
  <xdr:twoCellAnchor editAs="oneCell">
    <xdr:from>
      <xdr:col>7</xdr:col>
      <xdr:colOff>276777</xdr:colOff>
      <xdr:row>142</xdr:row>
      <xdr:rowOff>99171</xdr:rowOff>
    </xdr:from>
    <xdr:to>
      <xdr:col>9</xdr:col>
      <xdr:colOff>99172</xdr:colOff>
      <xdr:row>150</xdr:row>
      <xdr:rowOff>76759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533E0-5800-E40F-DBEF-8A68626CD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69248" y="17520583"/>
          <a:ext cx="1398689" cy="1531470"/>
        </a:xfrm>
        <a:prstGeom prst="rect">
          <a:avLst/>
        </a:prstGeom>
      </xdr:spPr>
    </xdr:pic>
    <xdr:clientData/>
  </xdr:twoCellAnchor>
  <xdr:twoCellAnchor editAs="oneCell">
    <xdr:from>
      <xdr:col>9</xdr:col>
      <xdr:colOff>223070</xdr:colOff>
      <xdr:row>153</xdr:row>
      <xdr:rowOff>119889</xdr:rowOff>
    </xdr:from>
    <xdr:to>
      <xdr:col>11</xdr:col>
      <xdr:colOff>531174</xdr:colOff>
      <xdr:row>159</xdr:row>
      <xdr:rowOff>92821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9229A07-190B-A86C-0B83-AF214BC31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95570" y="19304360"/>
          <a:ext cx="1518339" cy="1112757"/>
        </a:xfrm>
        <a:prstGeom prst="rect">
          <a:avLst/>
        </a:prstGeom>
      </xdr:spPr>
    </xdr:pic>
    <xdr:clientData/>
  </xdr:twoCellAnchor>
  <xdr:twoCellAnchor editAs="oneCell">
    <xdr:from>
      <xdr:col>7</xdr:col>
      <xdr:colOff>246530</xdr:colOff>
      <xdr:row>152</xdr:row>
      <xdr:rowOff>89647</xdr:rowOff>
    </xdr:from>
    <xdr:to>
      <xdr:col>8</xdr:col>
      <xdr:colOff>854823</xdr:colOff>
      <xdr:row>159</xdr:row>
      <xdr:rowOff>92170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C5AB9D-516F-1EC6-F89D-13D10476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1" y="19453412"/>
          <a:ext cx="1325469" cy="1358995"/>
        </a:xfrm>
        <a:prstGeom prst="rect">
          <a:avLst/>
        </a:prstGeom>
      </xdr:spPr>
    </xdr:pic>
    <xdr:clientData/>
  </xdr:twoCellAnchor>
  <xdr:twoCellAnchor editAs="oneCell">
    <xdr:from>
      <xdr:col>9</xdr:col>
      <xdr:colOff>186459</xdr:colOff>
      <xdr:row>162</xdr:row>
      <xdr:rowOff>115236</xdr:rowOff>
    </xdr:from>
    <xdr:to>
      <xdr:col>11</xdr:col>
      <xdr:colOff>529099</xdr:colOff>
      <xdr:row>168</xdr:row>
      <xdr:rowOff>78442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DA6FC0-9E89-E239-D87E-6CE2773B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58959" y="21014207"/>
          <a:ext cx="1543350" cy="1106206"/>
        </a:xfrm>
        <a:prstGeom prst="rect">
          <a:avLst/>
        </a:prstGeom>
      </xdr:spPr>
    </xdr:pic>
    <xdr:clientData/>
  </xdr:twoCellAnchor>
  <xdr:twoCellAnchor editAs="oneCell">
    <xdr:from>
      <xdr:col>7</xdr:col>
      <xdr:colOff>237937</xdr:colOff>
      <xdr:row>160</xdr:row>
      <xdr:rowOff>191066</xdr:rowOff>
    </xdr:from>
    <xdr:to>
      <xdr:col>8</xdr:col>
      <xdr:colOff>798231</xdr:colOff>
      <xdr:row>168</xdr:row>
      <xdr:rowOff>34927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637372-14EC-4A99-B8A2-A8C20EF8A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0408" y="21108713"/>
          <a:ext cx="1274295" cy="139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152587</xdr:colOff>
      <xdr:row>170</xdr:row>
      <xdr:rowOff>190071</xdr:rowOff>
    </xdr:from>
    <xdr:to>
      <xdr:col>11</xdr:col>
      <xdr:colOff>515471</xdr:colOff>
      <xdr:row>177</xdr:row>
      <xdr:rowOff>14504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81604DA-0C4C-0AAD-F876-29F440CEC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21352" y="23050071"/>
          <a:ext cx="1588060" cy="1184080"/>
        </a:xfrm>
        <a:prstGeom prst="rect">
          <a:avLst/>
        </a:prstGeom>
      </xdr:spPr>
    </xdr:pic>
    <xdr:clientData/>
  </xdr:twoCellAnchor>
  <xdr:twoCellAnchor editAs="oneCell">
    <xdr:from>
      <xdr:col>7</xdr:col>
      <xdr:colOff>246529</xdr:colOff>
      <xdr:row>169</xdr:row>
      <xdr:rowOff>74705</xdr:rowOff>
    </xdr:from>
    <xdr:to>
      <xdr:col>8</xdr:col>
      <xdr:colOff>820784</xdr:colOff>
      <xdr:row>177</xdr:row>
      <xdr:rowOff>16995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B1DE31-A42E-FA7E-BAB5-F8CE93335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22740470"/>
          <a:ext cx="1291431" cy="14898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8</xdr:row>
      <xdr:rowOff>19049</xdr:rowOff>
    </xdr:from>
    <xdr:ext cx="457321" cy="339038"/>
    <xdr:pic>
      <xdr:nvPicPr>
        <xdr:cNvPr id="2" name="Picture 1">
          <a:extLst>
            <a:ext uri="{FF2B5EF4-FFF2-40B4-BE49-F238E27FC236}">
              <a16:creationId xmlns:a16="http://schemas.microsoft.com/office/drawing/2014/main" id="{74086C7E-8A0D-4BA8-AA4A-ADDA1A66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40165" y="1534707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11</xdr:row>
      <xdr:rowOff>15875</xdr:rowOff>
    </xdr:from>
    <xdr:ext cx="513789" cy="481063"/>
    <xdr:pic>
      <xdr:nvPicPr>
        <xdr:cNvPr id="3" name="Picture 2">
          <a:extLst>
            <a:ext uri="{FF2B5EF4-FFF2-40B4-BE49-F238E27FC236}">
              <a16:creationId xmlns:a16="http://schemas.microsoft.com/office/drawing/2014/main" id="{81683403-F026-45F9-B950-14A8FA2A6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310" y="2162175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9</xdr:row>
      <xdr:rowOff>131509</xdr:rowOff>
    </xdr:from>
    <xdr:ext cx="589150" cy="419263"/>
    <xdr:pic>
      <xdr:nvPicPr>
        <xdr:cNvPr id="4" name="Picture 3">
          <a:extLst>
            <a:ext uri="{FF2B5EF4-FFF2-40B4-BE49-F238E27FC236}">
              <a16:creationId xmlns:a16="http://schemas.microsoft.com/office/drawing/2014/main" id="{9C5A7851-0D82-4E41-9C33-6F40F8582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3701" y="1811866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8</xdr:row>
      <xdr:rowOff>57150</xdr:rowOff>
    </xdr:from>
    <xdr:ext cx="624738" cy="568506"/>
    <xdr:pic>
      <xdr:nvPicPr>
        <xdr:cNvPr id="5" name="Picture 4">
          <a:extLst>
            <a:ext uri="{FF2B5EF4-FFF2-40B4-BE49-F238E27FC236}">
              <a16:creationId xmlns:a16="http://schemas.microsoft.com/office/drawing/2014/main" id="{C3ACE5EC-19D5-4705-9D6A-09FC45C14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4700" y="1631950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11</xdr:row>
      <xdr:rowOff>152400</xdr:rowOff>
    </xdr:from>
    <xdr:ext cx="494270" cy="397113"/>
    <xdr:pic>
      <xdr:nvPicPr>
        <xdr:cNvPr id="6" name="Picture 5">
          <a:extLst>
            <a:ext uri="{FF2B5EF4-FFF2-40B4-BE49-F238E27FC236}">
              <a16:creationId xmlns:a16="http://schemas.microsoft.com/office/drawing/2014/main" id="{9A2E41F4-E0B6-41AC-8E53-A12C67D5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3506" y="2298700"/>
          <a:ext cx="494270" cy="397113"/>
        </a:xfrm>
        <a:prstGeom prst="rect">
          <a:avLst/>
        </a:prstGeom>
      </xdr:spPr>
    </xdr:pic>
    <xdr:clientData/>
  </xdr:oneCellAnchor>
  <xdr:twoCellAnchor editAs="oneCell">
    <xdr:from>
      <xdr:col>7</xdr:col>
      <xdr:colOff>148166</xdr:colOff>
      <xdr:row>24</xdr:row>
      <xdr:rowOff>27356</xdr:rowOff>
    </xdr:from>
    <xdr:to>
      <xdr:col>8</xdr:col>
      <xdr:colOff>818445</xdr:colOff>
      <xdr:row>32</xdr:row>
      <xdr:rowOff>35459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54E54C-305A-883B-4A9F-4D0AF520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0222" y="4698134"/>
          <a:ext cx="1389945" cy="1522578"/>
        </a:xfrm>
        <a:prstGeom prst="rect">
          <a:avLst/>
        </a:prstGeom>
      </xdr:spPr>
    </xdr:pic>
    <xdr:clientData/>
  </xdr:twoCellAnchor>
  <xdr:twoCellAnchor editAs="oneCell">
    <xdr:from>
      <xdr:col>9</xdr:col>
      <xdr:colOff>207785</xdr:colOff>
      <xdr:row>25</xdr:row>
      <xdr:rowOff>184544</xdr:rowOff>
    </xdr:from>
    <xdr:to>
      <xdr:col>11</xdr:col>
      <xdr:colOff>458611</xdr:colOff>
      <xdr:row>31</xdr:row>
      <xdr:rowOff>131579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6FCE6B-C73B-81B8-7CD1-7BB3722A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80285" y="5045822"/>
          <a:ext cx="1464382" cy="1090035"/>
        </a:xfrm>
        <a:prstGeom prst="rect">
          <a:avLst/>
        </a:prstGeom>
      </xdr:spPr>
    </xdr:pic>
    <xdr:clientData/>
  </xdr:twoCellAnchor>
  <xdr:twoCellAnchor editAs="oneCell">
    <xdr:from>
      <xdr:col>9</xdr:col>
      <xdr:colOff>94191</xdr:colOff>
      <xdr:row>35</xdr:row>
      <xdr:rowOff>77457</xdr:rowOff>
    </xdr:from>
    <xdr:to>
      <xdr:col>11</xdr:col>
      <xdr:colOff>377119</xdr:colOff>
      <xdr:row>40</xdr:row>
      <xdr:rowOff>169755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92C34B-63CD-DFED-030B-04F2A4A0F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6691" y="6843735"/>
          <a:ext cx="1496484" cy="1041623"/>
        </a:xfrm>
        <a:prstGeom prst="rect">
          <a:avLst/>
        </a:prstGeom>
      </xdr:spPr>
    </xdr:pic>
    <xdr:clientData/>
  </xdr:twoCellAnchor>
  <xdr:twoCellAnchor editAs="oneCell">
    <xdr:from>
      <xdr:col>7</xdr:col>
      <xdr:colOff>148167</xdr:colOff>
      <xdr:row>33</xdr:row>
      <xdr:rowOff>94896</xdr:rowOff>
    </xdr:from>
    <xdr:to>
      <xdr:col>9</xdr:col>
      <xdr:colOff>16394</xdr:colOff>
      <xdr:row>41</xdr:row>
      <xdr:rowOff>39687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31616D-4BA4-00B1-B4A6-52BF11190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0223" y="6480174"/>
          <a:ext cx="1445496" cy="1468791"/>
        </a:xfrm>
        <a:prstGeom prst="rect">
          <a:avLst/>
        </a:prstGeom>
      </xdr:spPr>
    </xdr:pic>
    <xdr:clientData/>
  </xdr:twoCellAnchor>
  <xdr:twoCellAnchor editAs="oneCell">
    <xdr:from>
      <xdr:col>7</xdr:col>
      <xdr:colOff>175683</xdr:colOff>
      <xdr:row>42</xdr:row>
      <xdr:rowOff>46946</xdr:rowOff>
    </xdr:from>
    <xdr:to>
      <xdr:col>8</xdr:col>
      <xdr:colOff>835731</xdr:colOff>
      <xdr:row>50</xdr:row>
      <xdr:rowOff>92608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E5B770-894F-3171-A964-DEBD046B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7739" y="8146724"/>
          <a:ext cx="1379714" cy="1560137"/>
        </a:xfrm>
        <a:prstGeom prst="rect">
          <a:avLst/>
        </a:prstGeom>
      </xdr:spPr>
    </xdr:pic>
    <xdr:clientData/>
  </xdr:twoCellAnchor>
  <xdr:twoCellAnchor editAs="oneCell">
    <xdr:from>
      <xdr:col>8</xdr:col>
      <xdr:colOff>856905</xdr:colOff>
      <xdr:row>44</xdr:row>
      <xdr:rowOff>96055</xdr:rowOff>
    </xdr:from>
    <xdr:to>
      <xdr:col>11</xdr:col>
      <xdr:colOff>225071</xdr:colOff>
      <xdr:row>50</xdr:row>
      <xdr:rowOff>16229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B0993B-14B8-A2AC-1158-CF280C0D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68627" y="8576833"/>
          <a:ext cx="1439325" cy="1056824"/>
        </a:xfrm>
        <a:prstGeom prst="rect">
          <a:avLst/>
        </a:prstGeom>
      </xdr:spPr>
    </xdr:pic>
    <xdr:clientData/>
  </xdr:twoCellAnchor>
  <xdr:twoCellAnchor editAs="oneCell">
    <xdr:from>
      <xdr:col>9</xdr:col>
      <xdr:colOff>21167</xdr:colOff>
      <xdr:row>53</xdr:row>
      <xdr:rowOff>124906</xdr:rowOff>
    </xdr:from>
    <xdr:to>
      <xdr:col>11</xdr:col>
      <xdr:colOff>210961</xdr:colOff>
      <xdr:row>58</xdr:row>
      <xdr:rowOff>157128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930C13-AC1B-792F-0903-E1ED364E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93667" y="10320184"/>
          <a:ext cx="1403350" cy="984722"/>
        </a:xfrm>
        <a:prstGeom prst="rect">
          <a:avLst/>
        </a:prstGeom>
      </xdr:spPr>
    </xdr:pic>
    <xdr:clientData/>
  </xdr:twoCellAnchor>
  <xdr:twoCellAnchor editAs="oneCell">
    <xdr:from>
      <xdr:col>7</xdr:col>
      <xdr:colOff>144285</xdr:colOff>
      <xdr:row>51</xdr:row>
      <xdr:rowOff>134056</xdr:rowOff>
    </xdr:from>
    <xdr:to>
      <xdr:col>8</xdr:col>
      <xdr:colOff>853010</xdr:colOff>
      <xdr:row>59</xdr:row>
      <xdr:rowOff>566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1A3BB9-1A85-6FE0-63AD-18E27808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36341" y="9948334"/>
          <a:ext cx="1428391" cy="1390510"/>
        </a:xfrm>
        <a:prstGeom prst="rect">
          <a:avLst/>
        </a:prstGeom>
      </xdr:spPr>
    </xdr:pic>
    <xdr:clientData/>
  </xdr:twoCellAnchor>
  <xdr:twoCellAnchor editAs="oneCell">
    <xdr:from>
      <xdr:col>9</xdr:col>
      <xdr:colOff>67236</xdr:colOff>
      <xdr:row>62</xdr:row>
      <xdr:rowOff>127747</xdr:rowOff>
    </xdr:from>
    <xdr:to>
      <xdr:col>11</xdr:col>
      <xdr:colOff>283908</xdr:colOff>
      <xdr:row>68</xdr:row>
      <xdr:rowOff>52424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A9EA61-E494-E412-EB20-377D392AD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39736" y="12028394"/>
          <a:ext cx="1423732" cy="1061327"/>
        </a:xfrm>
        <a:prstGeom prst="rect">
          <a:avLst/>
        </a:prstGeom>
      </xdr:spPr>
    </xdr:pic>
    <xdr:clientData/>
  </xdr:twoCellAnchor>
  <xdr:twoCellAnchor editAs="oneCell">
    <xdr:from>
      <xdr:col>7</xdr:col>
      <xdr:colOff>156882</xdr:colOff>
      <xdr:row>61</xdr:row>
      <xdr:rowOff>94820</xdr:rowOff>
    </xdr:from>
    <xdr:to>
      <xdr:col>9</xdr:col>
      <xdr:colOff>0</xdr:colOff>
      <xdr:row>68</xdr:row>
      <xdr:rowOff>14310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73A137-1828-E796-5EA3-84EAFA487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9353" y="11804967"/>
          <a:ext cx="1423147" cy="1249815"/>
        </a:xfrm>
        <a:prstGeom prst="rect">
          <a:avLst/>
        </a:prstGeom>
      </xdr:spPr>
    </xdr:pic>
    <xdr:clientData/>
  </xdr:twoCellAnchor>
  <xdr:twoCellAnchor editAs="oneCell">
    <xdr:from>
      <xdr:col>9</xdr:col>
      <xdr:colOff>192433</xdr:colOff>
      <xdr:row>71</xdr:row>
      <xdr:rowOff>89646</xdr:rowOff>
    </xdr:from>
    <xdr:to>
      <xdr:col>11</xdr:col>
      <xdr:colOff>472009</xdr:colOff>
      <xdr:row>77</xdr:row>
      <xdr:rowOff>53721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82B45A-FE37-F9AC-2469-EC0529052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4933" y="13704793"/>
          <a:ext cx="1480286" cy="1100725"/>
        </a:xfrm>
        <a:prstGeom prst="rect">
          <a:avLst/>
        </a:prstGeom>
      </xdr:spPr>
    </xdr:pic>
    <xdr:clientData/>
  </xdr:twoCellAnchor>
  <xdr:twoCellAnchor editAs="oneCell">
    <xdr:from>
      <xdr:col>7</xdr:col>
      <xdr:colOff>179294</xdr:colOff>
      <xdr:row>71</xdr:row>
      <xdr:rowOff>22413</xdr:rowOff>
    </xdr:from>
    <xdr:to>
      <xdr:col>9</xdr:col>
      <xdr:colOff>54348</xdr:colOff>
      <xdr:row>77</xdr:row>
      <xdr:rowOff>94996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CD81D2-75AD-ED75-6EAE-59754D14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65" y="13637560"/>
          <a:ext cx="1445558" cy="1215583"/>
        </a:xfrm>
        <a:prstGeom prst="rect">
          <a:avLst/>
        </a:prstGeom>
      </xdr:spPr>
    </xdr:pic>
    <xdr:clientData/>
  </xdr:twoCellAnchor>
  <xdr:twoCellAnchor editAs="oneCell">
    <xdr:from>
      <xdr:col>9</xdr:col>
      <xdr:colOff>125083</xdr:colOff>
      <xdr:row>80</xdr:row>
      <xdr:rowOff>67235</xdr:rowOff>
    </xdr:from>
    <xdr:to>
      <xdr:col>11</xdr:col>
      <xdr:colOff>490700</xdr:colOff>
      <xdr:row>86</xdr:row>
      <xdr:rowOff>21602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7C271D-3280-46CD-436F-DE2D1CAD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97583" y="15396882"/>
          <a:ext cx="1566327" cy="1097367"/>
        </a:xfrm>
        <a:prstGeom prst="rect">
          <a:avLst/>
        </a:prstGeom>
      </xdr:spPr>
    </xdr:pic>
    <xdr:clientData/>
  </xdr:twoCellAnchor>
  <xdr:twoCellAnchor editAs="oneCell">
    <xdr:from>
      <xdr:col>7</xdr:col>
      <xdr:colOff>245428</xdr:colOff>
      <xdr:row>79</xdr:row>
      <xdr:rowOff>123264</xdr:rowOff>
    </xdr:from>
    <xdr:to>
      <xdr:col>9</xdr:col>
      <xdr:colOff>73014</xdr:colOff>
      <xdr:row>86</xdr:row>
      <xdr:rowOff>52804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3A448A-D94E-871C-99F3-CD0AFACE2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7899" y="15262411"/>
          <a:ext cx="1404440" cy="1259865"/>
        </a:xfrm>
        <a:prstGeom prst="rect">
          <a:avLst/>
        </a:prstGeom>
      </xdr:spPr>
    </xdr:pic>
    <xdr:clientData/>
  </xdr:twoCellAnchor>
  <xdr:twoCellAnchor editAs="oneCell">
    <xdr:from>
      <xdr:col>9</xdr:col>
      <xdr:colOff>192697</xdr:colOff>
      <xdr:row>89</xdr:row>
      <xdr:rowOff>26116</xdr:rowOff>
    </xdr:from>
    <xdr:to>
      <xdr:col>11</xdr:col>
      <xdr:colOff>593912</xdr:colOff>
      <xdr:row>95</xdr:row>
      <xdr:rowOff>79969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2D3CC7-37C0-81FF-7937-D1D173EED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5197" y="17070263"/>
          <a:ext cx="1611450" cy="1196853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313763</xdr:colOff>
      <xdr:row>87</xdr:row>
      <xdr:rowOff>78442</xdr:rowOff>
    </xdr:from>
    <xdr:to>
      <xdr:col>9</xdr:col>
      <xdr:colOff>148850</xdr:colOff>
      <xdr:row>95</xdr:row>
      <xdr:rowOff>54020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A9EF17-2C36-2437-3B53-89C82CB81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06234" y="16741589"/>
          <a:ext cx="1411941" cy="1499578"/>
        </a:xfrm>
        <a:prstGeom prst="rect">
          <a:avLst/>
        </a:prstGeom>
      </xdr:spPr>
    </xdr:pic>
    <xdr:clientData/>
  </xdr:twoCellAnchor>
  <xdr:twoCellAnchor editAs="oneCell">
    <xdr:from>
      <xdr:col>9</xdr:col>
      <xdr:colOff>217395</xdr:colOff>
      <xdr:row>98</xdr:row>
      <xdr:rowOff>67236</xdr:rowOff>
    </xdr:from>
    <xdr:to>
      <xdr:col>11</xdr:col>
      <xdr:colOff>550616</xdr:colOff>
      <xdr:row>104</xdr:row>
      <xdr:rowOff>33910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3F601-91CB-3335-0793-96158551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89895" y="18825883"/>
          <a:ext cx="1543456" cy="1109674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313766</xdr:colOff>
      <xdr:row>96</xdr:row>
      <xdr:rowOff>111185</xdr:rowOff>
    </xdr:from>
    <xdr:to>
      <xdr:col>9</xdr:col>
      <xdr:colOff>56031</xdr:colOff>
      <xdr:row>104</xdr:row>
      <xdr:rowOff>56400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98FA95-B39D-B03A-6900-D73D250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06237" y="18488832"/>
          <a:ext cx="1322294" cy="1469215"/>
        </a:xfrm>
        <a:prstGeom prst="rect">
          <a:avLst/>
        </a:prstGeom>
      </xdr:spPr>
    </xdr:pic>
    <xdr:clientData/>
  </xdr:twoCellAnchor>
  <xdr:twoCellAnchor editAs="oneCell">
    <xdr:from>
      <xdr:col>9</xdr:col>
      <xdr:colOff>212911</xdr:colOff>
      <xdr:row>107</xdr:row>
      <xdr:rowOff>98904</xdr:rowOff>
    </xdr:from>
    <xdr:to>
      <xdr:col>11</xdr:col>
      <xdr:colOff>568067</xdr:colOff>
      <xdr:row>113</xdr:row>
      <xdr:rowOff>72069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AB9239A-DA43-F901-CD21-7C78FED96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85411" y="20572051"/>
          <a:ext cx="1555866" cy="1116165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291351</xdr:colOff>
      <xdr:row>105</xdr:row>
      <xdr:rowOff>33040</xdr:rowOff>
    </xdr:from>
    <xdr:to>
      <xdr:col>9</xdr:col>
      <xdr:colOff>168087</xdr:colOff>
      <xdr:row>113</xdr:row>
      <xdr:rowOff>93405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7303FF8-4A2D-3E61-C6D4-208981BF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3822" y="20125187"/>
          <a:ext cx="1456765" cy="1584365"/>
        </a:xfrm>
        <a:prstGeom prst="rect">
          <a:avLst/>
        </a:prstGeom>
      </xdr:spPr>
    </xdr:pic>
    <xdr:clientData/>
  </xdr:twoCellAnchor>
  <xdr:twoCellAnchor editAs="oneCell">
    <xdr:from>
      <xdr:col>9</xdr:col>
      <xdr:colOff>172011</xdr:colOff>
      <xdr:row>116</xdr:row>
      <xdr:rowOff>46800</xdr:rowOff>
    </xdr:from>
    <xdr:to>
      <xdr:col>11</xdr:col>
      <xdr:colOff>592111</xdr:colOff>
      <xdr:row>122</xdr:row>
      <xdr:rowOff>109818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4B76CD4-4B57-ADEB-BD66-804C1270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40776" y="22667741"/>
          <a:ext cx="1645276" cy="1218905"/>
        </a:xfrm>
        <a:prstGeom prst="rect">
          <a:avLst/>
        </a:prstGeom>
      </xdr:spPr>
    </xdr:pic>
    <xdr:clientData/>
  </xdr:twoCellAnchor>
  <xdr:twoCellAnchor editAs="oneCell">
    <xdr:from>
      <xdr:col>7</xdr:col>
      <xdr:colOff>268942</xdr:colOff>
      <xdr:row>113</xdr:row>
      <xdr:rowOff>186287</xdr:rowOff>
    </xdr:from>
    <xdr:to>
      <xdr:col>9</xdr:col>
      <xdr:colOff>91701</xdr:colOff>
      <xdr:row>122</xdr:row>
      <xdr:rowOff>55470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C077D02-C50D-DAE3-EFE1-C7F50C8E1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61413" y="22224522"/>
          <a:ext cx="1389528" cy="16141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8</xdr:row>
      <xdr:rowOff>19049</xdr:rowOff>
    </xdr:from>
    <xdr:ext cx="457321" cy="339038"/>
    <xdr:pic>
      <xdr:nvPicPr>
        <xdr:cNvPr id="2" name="Picture 1">
          <a:extLst>
            <a:ext uri="{FF2B5EF4-FFF2-40B4-BE49-F238E27FC236}">
              <a16:creationId xmlns:a16="http://schemas.microsoft.com/office/drawing/2014/main" id="{6D7FD252-7578-4ED4-87C8-A77E5DEAB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40165" y="1534707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11</xdr:row>
      <xdr:rowOff>15875</xdr:rowOff>
    </xdr:from>
    <xdr:ext cx="513789" cy="481063"/>
    <xdr:pic>
      <xdr:nvPicPr>
        <xdr:cNvPr id="3" name="Picture 2">
          <a:extLst>
            <a:ext uri="{FF2B5EF4-FFF2-40B4-BE49-F238E27FC236}">
              <a16:creationId xmlns:a16="http://schemas.microsoft.com/office/drawing/2014/main" id="{96ACEF8E-EEF5-4120-BE91-6AB56B07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310" y="2162175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9</xdr:row>
      <xdr:rowOff>131509</xdr:rowOff>
    </xdr:from>
    <xdr:ext cx="589150" cy="419263"/>
    <xdr:pic>
      <xdr:nvPicPr>
        <xdr:cNvPr id="4" name="Picture 3">
          <a:extLst>
            <a:ext uri="{FF2B5EF4-FFF2-40B4-BE49-F238E27FC236}">
              <a16:creationId xmlns:a16="http://schemas.microsoft.com/office/drawing/2014/main" id="{94A14B54-4E79-43A9-9CDE-B2ECF190E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3701" y="1811866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8</xdr:row>
      <xdr:rowOff>57150</xdr:rowOff>
    </xdr:from>
    <xdr:ext cx="624738" cy="568506"/>
    <xdr:pic>
      <xdr:nvPicPr>
        <xdr:cNvPr id="5" name="Picture 4">
          <a:extLst>
            <a:ext uri="{FF2B5EF4-FFF2-40B4-BE49-F238E27FC236}">
              <a16:creationId xmlns:a16="http://schemas.microsoft.com/office/drawing/2014/main" id="{44E5EB0A-ADFC-48C0-A9D6-BC0F62FE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4700" y="1631950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11</xdr:row>
      <xdr:rowOff>152400</xdr:rowOff>
    </xdr:from>
    <xdr:ext cx="494270" cy="397113"/>
    <xdr:pic>
      <xdr:nvPicPr>
        <xdr:cNvPr id="6" name="Picture 5">
          <a:extLst>
            <a:ext uri="{FF2B5EF4-FFF2-40B4-BE49-F238E27FC236}">
              <a16:creationId xmlns:a16="http://schemas.microsoft.com/office/drawing/2014/main" id="{A66C8AC5-B06F-42C0-B21E-9CA7401D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3506" y="2298700"/>
          <a:ext cx="494270" cy="397113"/>
        </a:xfrm>
        <a:prstGeom prst="rect">
          <a:avLst/>
        </a:prstGeom>
      </xdr:spPr>
    </xdr:pic>
    <xdr:clientData/>
  </xdr:oneCellAnchor>
  <xdr:twoCellAnchor editAs="oneCell">
    <xdr:from>
      <xdr:col>7</xdr:col>
      <xdr:colOff>232833</xdr:colOff>
      <xdr:row>24</xdr:row>
      <xdr:rowOff>186739</xdr:rowOff>
    </xdr:from>
    <xdr:to>
      <xdr:col>8</xdr:col>
      <xdr:colOff>800453</xdr:colOff>
      <xdr:row>32</xdr:row>
      <xdr:rowOff>38768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8E4616-A3FD-2ED5-1813-C454DDCC6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24889" y="4857517"/>
          <a:ext cx="1287286" cy="1376029"/>
        </a:xfrm>
        <a:prstGeom prst="rect">
          <a:avLst/>
        </a:prstGeom>
      </xdr:spPr>
    </xdr:pic>
    <xdr:clientData/>
  </xdr:twoCellAnchor>
  <xdr:twoCellAnchor editAs="oneCell">
    <xdr:from>
      <xdr:col>9</xdr:col>
      <xdr:colOff>174980</xdr:colOff>
      <xdr:row>26</xdr:row>
      <xdr:rowOff>162278</xdr:rowOff>
    </xdr:from>
    <xdr:to>
      <xdr:col>11</xdr:col>
      <xdr:colOff>365418</xdr:colOff>
      <xdr:row>32</xdr:row>
      <xdr:rowOff>34318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B49C93-4A50-9898-BE74-86CCD4272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7480" y="5214056"/>
          <a:ext cx="1403994" cy="1008690"/>
        </a:xfrm>
        <a:prstGeom prst="rect">
          <a:avLst/>
        </a:prstGeom>
      </xdr:spPr>
    </xdr:pic>
    <xdr:clientData/>
  </xdr:twoCellAnchor>
  <xdr:twoCellAnchor editAs="oneCell">
    <xdr:from>
      <xdr:col>9</xdr:col>
      <xdr:colOff>100542</xdr:colOff>
      <xdr:row>36</xdr:row>
      <xdr:rowOff>4076</xdr:rowOff>
    </xdr:from>
    <xdr:to>
      <xdr:col>11</xdr:col>
      <xdr:colOff>262818</xdr:colOff>
      <xdr:row>41</xdr:row>
      <xdr:rowOff>57688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690496-5D94-51AE-3FA0-B624A949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3042" y="6960854"/>
          <a:ext cx="1366307" cy="100611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33</xdr:row>
      <xdr:rowOff>176389</xdr:rowOff>
    </xdr:from>
    <xdr:to>
      <xdr:col>8</xdr:col>
      <xdr:colOff>816738</xdr:colOff>
      <xdr:row>41</xdr:row>
      <xdr:rowOff>59620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20078E-DB5A-BEAE-81CC-19B8C29D8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82557" y="6561667"/>
          <a:ext cx="1345903" cy="1407231"/>
        </a:xfrm>
        <a:prstGeom prst="rect">
          <a:avLst/>
        </a:prstGeom>
      </xdr:spPr>
    </xdr:pic>
    <xdr:clientData/>
  </xdr:twoCellAnchor>
  <xdr:twoCellAnchor editAs="oneCell">
    <xdr:from>
      <xdr:col>9</xdr:col>
      <xdr:colOff>186620</xdr:colOff>
      <xdr:row>44</xdr:row>
      <xdr:rowOff>154517</xdr:rowOff>
    </xdr:from>
    <xdr:to>
      <xdr:col>11</xdr:col>
      <xdr:colOff>397580</xdr:colOff>
      <xdr:row>50</xdr:row>
      <xdr:rowOff>34620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42A5DA-4C55-C788-D86B-F0F9A290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59120" y="8635295"/>
          <a:ext cx="1414991" cy="1013578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257174</xdr:colOff>
      <xdr:row>42</xdr:row>
      <xdr:rowOff>105833</xdr:rowOff>
    </xdr:from>
    <xdr:to>
      <xdr:col>8</xdr:col>
      <xdr:colOff>856897</xdr:colOff>
      <xdr:row>50</xdr:row>
      <xdr:rowOff>34481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775E44E-63E8-167D-D7D2-2F4023C5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49230" y="8205611"/>
          <a:ext cx="1319389" cy="1443123"/>
        </a:xfrm>
        <a:prstGeom prst="rect">
          <a:avLst/>
        </a:prstGeom>
      </xdr:spPr>
    </xdr:pic>
    <xdr:clientData/>
  </xdr:twoCellAnchor>
  <xdr:twoCellAnchor editAs="oneCell">
    <xdr:from>
      <xdr:col>9</xdr:col>
      <xdr:colOff>49166</xdr:colOff>
      <xdr:row>53</xdr:row>
      <xdr:rowOff>157691</xdr:rowOff>
    </xdr:from>
    <xdr:to>
      <xdr:col>11</xdr:col>
      <xdr:colOff>264162</xdr:colOff>
      <xdr:row>59</xdr:row>
      <xdr:rowOff>33866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9FAD49-F0C7-DD32-F0A3-0D4061AF7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21666" y="10352969"/>
          <a:ext cx="1422202" cy="1009650"/>
        </a:xfrm>
        <a:prstGeom prst="rect">
          <a:avLst/>
        </a:prstGeom>
      </xdr:spPr>
    </xdr:pic>
    <xdr:clientData/>
  </xdr:twoCellAnchor>
  <xdr:twoCellAnchor editAs="oneCell">
    <xdr:from>
      <xdr:col>7</xdr:col>
      <xdr:colOff>221191</xdr:colOff>
      <xdr:row>52</xdr:row>
      <xdr:rowOff>21165</xdr:rowOff>
    </xdr:from>
    <xdr:to>
      <xdr:col>8</xdr:col>
      <xdr:colOff>837904</xdr:colOff>
      <xdr:row>59</xdr:row>
      <xdr:rowOff>16388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3459C7-921B-6E7B-4F04-99A915BBB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13247" y="10025943"/>
          <a:ext cx="1336379" cy="1328723"/>
        </a:xfrm>
        <a:prstGeom prst="rect">
          <a:avLst/>
        </a:prstGeom>
      </xdr:spPr>
    </xdr:pic>
    <xdr:clientData/>
  </xdr:twoCellAnchor>
  <xdr:twoCellAnchor editAs="oneCell">
    <xdr:from>
      <xdr:col>9</xdr:col>
      <xdr:colOff>92263</xdr:colOff>
      <xdr:row>62</xdr:row>
      <xdr:rowOff>185644</xdr:rowOff>
    </xdr:from>
    <xdr:to>
      <xdr:col>11</xdr:col>
      <xdr:colOff>264251</xdr:colOff>
      <xdr:row>68</xdr:row>
      <xdr:rowOff>16024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3917B5-F8C4-40AD-DE58-F2C5FCCE9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1028" y="12317879"/>
          <a:ext cx="1390814" cy="995792"/>
        </a:xfrm>
        <a:prstGeom prst="rect">
          <a:avLst/>
        </a:prstGeom>
      </xdr:spPr>
    </xdr:pic>
    <xdr:clientData/>
  </xdr:twoCellAnchor>
  <xdr:twoCellAnchor editAs="oneCell">
    <xdr:from>
      <xdr:col>7</xdr:col>
      <xdr:colOff>272116</xdr:colOff>
      <xdr:row>61</xdr:row>
      <xdr:rowOff>115235</xdr:rowOff>
    </xdr:from>
    <xdr:to>
      <xdr:col>9</xdr:col>
      <xdr:colOff>109818</xdr:colOff>
      <xdr:row>68</xdr:row>
      <xdr:rowOff>91067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978E860-F28A-B9E8-786B-F0079B99D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64587" y="12053235"/>
          <a:ext cx="1410821" cy="1325954"/>
        </a:xfrm>
        <a:prstGeom prst="rect">
          <a:avLst/>
        </a:prstGeom>
      </xdr:spPr>
    </xdr:pic>
    <xdr:clientData/>
  </xdr:twoCellAnchor>
  <xdr:twoCellAnchor editAs="oneCell">
    <xdr:from>
      <xdr:col>9</xdr:col>
      <xdr:colOff>137644</xdr:colOff>
      <xdr:row>71</xdr:row>
      <xdr:rowOff>163010</xdr:rowOff>
    </xdr:from>
    <xdr:to>
      <xdr:col>11</xdr:col>
      <xdr:colOff>395941</xdr:colOff>
      <xdr:row>77</xdr:row>
      <xdr:rowOff>80449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2A9AE7-F730-2C2C-1D81-126375901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06409" y="14043363"/>
          <a:ext cx="1483473" cy="1082851"/>
        </a:xfrm>
        <a:prstGeom prst="rect">
          <a:avLst/>
        </a:prstGeom>
      </xdr:spPr>
    </xdr:pic>
    <xdr:clientData/>
  </xdr:twoCellAnchor>
  <xdr:twoCellAnchor editAs="oneCell">
    <xdr:from>
      <xdr:col>7</xdr:col>
      <xdr:colOff>275292</xdr:colOff>
      <xdr:row>71</xdr:row>
      <xdr:rowOff>129675</xdr:rowOff>
    </xdr:from>
    <xdr:to>
      <xdr:col>9</xdr:col>
      <xdr:colOff>54348</xdr:colOff>
      <xdr:row>77</xdr:row>
      <xdr:rowOff>71550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75D7F68-52F5-C1B2-0FAB-DEBD9FD3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7763" y="14010028"/>
          <a:ext cx="1349000" cy="1100937"/>
        </a:xfrm>
        <a:prstGeom prst="rect">
          <a:avLst/>
        </a:prstGeom>
      </xdr:spPr>
    </xdr:pic>
    <xdr:clientData/>
  </xdr:twoCellAnchor>
  <xdr:twoCellAnchor editAs="oneCell">
    <xdr:from>
      <xdr:col>9</xdr:col>
      <xdr:colOff>114916</xdr:colOff>
      <xdr:row>80</xdr:row>
      <xdr:rowOff>163231</xdr:rowOff>
    </xdr:from>
    <xdr:to>
      <xdr:col>11</xdr:col>
      <xdr:colOff>268421</xdr:colOff>
      <xdr:row>86</xdr:row>
      <xdr:rowOff>52753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54B0F1E-8417-C765-22A0-67BC6EF70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83681" y="15791702"/>
          <a:ext cx="1378681" cy="1054933"/>
        </a:xfrm>
        <a:prstGeom prst="rect">
          <a:avLst/>
        </a:prstGeom>
      </xdr:spPr>
    </xdr:pic>
    <xdr:clientData/>
  </xdr:twoCellAnchor>
  <xdr:twoCellAnchor editAs="oneCell">
    <xdr:from>
      <xdr:col>7</xdr:col>
      <xdr:colOff>342092</xdr:colOff>
      <xdr:row>80</xdr:row>
      <xdr:rowOff>22411</xdr:rowOff>
    </xdr:from>
    <xdr:to>
      <xdr:col>9</xdr:col>
      <xdr:colOff>15918</xdr:colOff>
      <xdr:row>86</xdr:row>
      <xdr:rowOff>35112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9F0A5C-EEE9-0C25-B08B-7F27513B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34563" y="15650882"/>
          <a:ext cx="1250120" cy="1178112"/>
        </a:xfrm>
        <a:prstGeom prst="rect">
          <a:avLst/>
        </a:prstGeom>
      </xdr:spPr>
    </xdr:pic>
    <xdr:clientData/>
  </xdr:twoCellAnchor>
  <xdr:twoCellAnchor editAs="oneCell">
    <xdr:from>
      <xdr:col>9</xdr:col>
      <xdr:colOff>91702</xdr:colOff>
      <xdr:row>89</xdr:row>
      <xdr:rowOff>191717</xdr:rowOff>
    </xdr:from>
    <xdr:to>
      <xdr:col>11</xdr:col>
      <xdr:colOff>342528</xdr:colOff>
      <xdr:row>95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5E80E1-11BC-6F08-3975-305091E4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0467" y="17568305"/>
          <a:ext cx="1476002" cy="1107045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313764</xdr:colOff>
      <xdr:row>88</xdr:row>
      <xdr:rowOff>74706</xdr:rowOff>
    </xdr:from>
    <xdr:to>
      <xdr:col>8</xdr:col>
      <xdr:colOff>783479</xdr:colOff>
      <xdr:row>95</xdr:row>
      <xdr:rowOff>33731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360140C-2FB5-7DD9-9B5F-37F6F0CF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06235" y="17257059"/>
          <a:ext cx="1186891" cy="1318672"/>
        </a:xfrm>
        <a:prstGeom prst="rect">
          <a:avLst/>
        </a:prstGeom>
      </xdr:spPr>
    </xdr:pic>
    <xdr:clientData/>
  </xdr:twoCellAnchor>
  <xdr:twoCellAnchor editAs="oneCell">
    <xdr:from>
      <xdr:col>9</xdr:col>
      <xdr:colOff>147837</xdr:colOff>
      <xdr:row>99</xdr:row>
      <xdr:rowOff>52294</xdr:rowOff>
    </xdr:from>
    <xdr:to>
      <xdr:col>11</xdr:col>
      <xdr:colOff>270357</xdr:colOff>
      <xdr:row>104</xdr:row>
      <xdr:rowOff>92747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A7A70BC-BBDB-0A5F-4865-99CFBA512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16602" y="19371235"/>
          <a:ext cx="1347696" cy="1008455"/>
        </a:xfrm>
        <a:prstGeom prst="rect">
          <a:avLst/>
        </a:prstGeom>
      </xdr:spPr>
    </xdr:pic>
    <xdr:clientData/>
  </xdr:twoCellAnchor>
  <xdr:twoCellAnchor editAs="oneCell">
    <xdr:from>
      <xdr:col>7</xdr:col>
      <xdr:colOff>309469</xdr:colOff>
      <xdr:row>97</xdr:row>
      <xdr:rowOff>110937</xdr:rowOff>
    </xdr:from>
    <xdr:to>
      <xdr:col>8</xdr:col>
      <xdr:colOff>841035</xdr:colOff>
      <xdr:row>104</xdr:row>
      <xdr:rowOff>80644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69FF1F6-AD93-1C09-78EF-DADEF8344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01940" y="19041408"/>
          <a:ext cx="1248742" cy="1329354"/>
        </a:xfrm>
        <a:prstGeom prst="rect">
          <a:avLst/>
        </a:prstGeom>
      </xdr:spPr>
    </xdr:pic>
    <xdr:clientData/>
  </xdr:twoCellAnchor>
  <xdr:twoCellAnchor editAs="oneCell">
    <xdr:from>
      <xdr:col>9</xdr:col>
      <xdr:colOff>90958</xdr:colOff>
      <xdr:row>107</xdr:row>
      <xdr:rowOff>127000</xdr:rowOff>
    </xdr:from>
    <xdr:to>
      <xdr:col>11</xdr:col>
      <xdr:colOff>301465</xdr:colOff>
      <xdr:row>113</xdr:row>
      <xdr:rowOff>42275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E59565C-35BA-7AB7-88D3-F4784306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9723" y="20999824"/>
          <a:ext cx="1435683" cy="1080686"/>
        </a:xfrm>
        <a:prstGeom prst="rect">
          <a:avLst/>
        </a:prstGeom>
      </xdr:spPr>
    </xdr:pic>
    <xdr:clientData/>
  </xdr:twoCellAnchor>
  <xdr:twoCellAnchor editAs="oneCell">
    <xdr:from>
      <xdr:col>7</xdr:col>
      <xdr:colOff>342526</xdr:colOff>
      <xdr:row>105</xdr:row>
      <xdr:rowOff>182012</xdr:rowOff>
    </xdr:from>
    <xdr:to>
      <xdr:col>8</xdr:col>
      <xdr:colOff>835586</xdr:colOff>
      <xdr:row>113</xdr:row>
      <xdr:rowOff>35567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2DF3044-8FB3-0E07-53E7-C6481E1E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997" y="20666365"/>
          <a:ext cx="1207061" cy="1401087"/>
        </a:xfrm>
        <a:prstGeom prst="rect">
          <a:avLst/>
        </a:prstGeom>
      </xdr:spPr>
    </xdr:pic>
    <xdr:clientData/>
  </xdr:twoCellAnchor>
  <xdr:twoCellAnchor editAs="oneCell">
    <xdr:from>
      <xdr:col>9</xdr:col>
      <xdr:colOff>58645</xdr:colOff>
      <xdr:row>116</xdr:row>
      <xdr:rowOff>80299</xdr:rowOff>
    </xdr:from>
    <xdr:to>
      <xdr:col>11</xdr:col>
      <xdr:colOff>341934</xdr:colOff>
      <xdr:row>122</xdr:row>
      <xdr:rowOff>23494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70C723-AD68-07D2-6ED1-74ECF363B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27410" y="22701240"/>
          <a:ext cx="1508465" cy="1108607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313765</xdr:colOff>
      <xdr:row>114</xdr:row>
      <xdr:rowOff>164353</xdr:rowOff>
    </xdr:from>
    <xdr:to>
      <xdr:col>8</xdr:col>
      <xdr:colOff>802528</xdr:colOff>
      <xdr:row>122</xdr:row>
      <xdr:rowOff>17762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C135A9B-FD28-2EB6-F9CA-B99D02FC5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06236" y="22396824"/>
          <a:ext cx="1205939" cy="140729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8</xdr:row>
      <xdr:rowOff>19049</xdr:rowOff>
    </xdr:from>
    <xdr:ext cx="457321" cy="339038"/>
    <xdr:pic>
      <xdr:nvPicPr>
        <xdr:cNvPr id="2" name="Picture 1">
          <a:extLst>
            <a:ext uri="{FF2B5EF4-FFF2-40B4-BE49-F238E27FC236}">
              <a16:creationId xmlns:a16="http://schemas.microsoft.com/office/drawing/2014/main" id="{D6D27103-9BD2-4D53-AFD0-438228C0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40165" y="1966507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11</xdr:row>
      <xdr:rowOff>15875</xdr:rowOff>
    </xdr:from>
    <xdr:ext cx="513789" cy="481063"/>
    <xdr:pic>
      <xdr:nvPicPr>
        <xdr:cNvPr id="3" name="Picture 2">
          <a:extLst>
            <a:ext uri="{FF2B5EF4-FFF2-40B4-BE49-F238E27FC236}">
              <a16:creationId xmlns:a16="http://schemas.microsoft.com/office/drawing/2014/main" id="{F0BE3DB7-FF37-4562-AAFD-3F7B63AC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310" y="2593975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9</xdr:row>
      <xdr:rowOff>131509</xdr:rowOff>
    </xdr:from>
    <xdr:ext cx="589150" cy="419263"/>
    <xdr:pic>
      <xdr:nvPicPr>
        <xdr:cNvPr id="4" name="Picture 3">
          <a:extLst>
            <a:ext uri="{FF2B5EF4-FFF2-40B4-BE49-F238E27FC236}">
              <a16:creationId xmlns:a16="http://schemas.microsoft.com/office/drawing/2014/main" id="{2428E4BE-E20F-425A-AC2E-FDCBB76C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3701" y="2243666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8</xdr:row>
      <xdr:rowOff>57150</xdr:rowOff>
    </xdr:from>
    <xdr:ext cx="624738" cy="568506"/>
    <xdr:pic>
      <xdr:nvPicPr>
        <xdr:cNvPr id="5" name="Picture 4">
          <a:extLst>
            <a:ext uri="{FF2B5EF4-FFF2-40B4-BE49-F238E27FC236}">
              <a16:creationId xmlns:a16="http://schemas.microsoft.com/office/drawing/2014/main" id="{AB50BFD3-8AA7-4E35-AB31-170CA323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4700" y="2063750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11</xdr:row>
      <xdr:rowOff>152400</xdr:rowOff>
    </xdr:from>
    <xdr:ext cx="494270" cy="397113"/>
    <xdr:pic>
      <xdr:nvPicPr>
        <xdr:cNvPr id="6" name="Picture 5">
          <a:extLst>
            <a:ext uri="{FF2B5EF4-FFF2-40B4-BE49-F238E27FC236}">
              <a16:creationId xmlns:a16="http://schemas.microsoft.com/office/drawing/2014/main" id="{E8CE4A44-32CE-4EAC-BC51-DDD467F7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3506" y="2730500"/>
          <a:ext cx="494270" cy="397113"/>
        </a:xfrm>
        <a:prstGeom prst="rect">
          <a:avLst/>
        </a:prstGeom>
      </xdr:spPr>
    </xdr:pic>
    <xdr:clientData/>
  </xdr:oneCellAnchor>
  <xdr:twoCellAnchor editAs="oneCell">
    <xdr:from>
      <xdr:col>9</xdr:col>
      <xdr:colOff>225072</xdr:colOff>
      <xdr:row>26</xdr:row>
      <xdr:rowOff>119943</xdr:rowOff>
    </xdr:from>
    <xdr:to>
      <xdr:col>11</xdr:col>
      <xdr:colOff>531309</xdr:colOff>
      <xdr:row>32</xdr:row>
      <xdr:rowOff>57652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701872-8123-4A94-D69A-F449546D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97572" y="5171721"/>
          <a:ext cx="1513443" cy="1080709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169336</xdr:colOff>
      <xdr:row>24</xdr:row>
      <xdr:rowOff>26986</xdr:rowOff>
    </xdr:from>
    <xdr:to>
      <xdr:col>9</xdr:col>
      <xdr:colOff>91018</xdr:colOff>
      <xdr:row>32</xdr:row>
      <xdr:rowOff>54512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7D5EA8-C75E-8473-B66D-28F47156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1392" y="4697764"/>
          <a:ext cx="1495776" cy="1551526"/>
        </a:xfrm>
        <a:prstGeom prst="rect">
          <a:avLst/>
        </a:prstGeom>
      </xdr:spPr>
    </xdr:pic>
    <xdr:clientData/>
  </xdr:twoCellAnchor>
  <xdr:twoCellAnchor editAs="oneCell">
    <xdr:from>
      <xdr:col>9</xdr:col>
      <xdr:colOff>241653</xdr:colOff>
      <xdr:row>35</xdr:row>
      <xdr:rowOff>41628</xdr:rowOff>
    </xdr:from>
    <xdr:to>
      <xdr:col>12</xdr:col>
      <xdr:colOff>954</xdr:colOff>
      <xdr:row>41</xdr:row>
      <xdr:rowOff>55530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6E46B5-63D4-A4C1-ED9F-B140E974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14153" y="6807906"/>
          <a:ext cx="1574800" cy="1147377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169333</xdr:colOff>
      <xdr:row>33</xdr:row>
      <xdr:rowOff>55304</xdr:rowOff>
    </xdr:from>
    <xdr:to>
      <xdr:col>9</xdr:col>
      <xdr:colOff>91017</xdr:colOff>
      <xdr:row>41</xdr:row>
      <xdr:rowOff>93273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850C79-A012-539D-BDB7-F6F05616E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1389" y="6440582"/>
          <a:ext cx="1498953" cy="1552444"/>
        </a:xfrm>
        <a:prstGeom prst="rect">
          <a:avLst/>
        </a:prstGeom>
      </xdr:spPr>
    </xdr:pic>
    <xdr:clientData/>
  </xdr:twoCellAnchor>
  <xdr:twoCellAnchor editAs="oneCell">
    <xdr:from>
      <xdr:col>9</xdr:col>
      <xdr:colOff>210258</xdr:colOff>
      <xdr:row>44</xdr:row>
      <xdr:rowOff>84666</xdr:rowOff>
    </xdr:from>
    <xdr:to>
      <xdr:col>12</xdr:col>
      <xdr:colOff>16582</xdr:colOff>
      <xdr:row>50</xdr:row>
      <xdr:rowOff>114666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F2B0B6-FC59-CA21-FDE4-CBF5762E6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82758" y="8565444"/>
          <a:ext cx="1617132" cy="1173000"/>
        </a:xfrm>
        <a:prstGeom prst="rect">
          <a:avLst/>
        </a:prstGeom>
      </xdr:spPr>
    </xdr:pic>
    <xdr:clientData/>
  </xdr:twoCellAnchor>
  <xdr:twoCellAnchor editAs="oneCell">
    <xdr:from>
      <xdr:col>7</xdr:col>
      <xdr:colOff>214843</xdr:colOff>
      <xdr:row>42</xdr:row>
      <xdr:rowOff>121539</xdr:rowOff>
    </xdr:from>
    <xdr:to>
      <xdr:col>9</xdr:col>
      <xdr:colOff>73732</xdr:colOff>
      <xdr:row>50</xdr:row>
      <xdr:rowOff>129634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1A945A-4213-7E87-FB94-34D3ED3C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6899" y="8221317"/>
          <a:ext cx="1439333" cy="1525745"/>
        </a:xfrm>
        <a:prstGeom prst="rect">
          <a:avLst/>
        </a:prstGeom>
      </xdr:spPr>
    </xdr:pic>
    <xdr:clientData/>
  </xdr:twoCellAnchor>
  <xdr:twoCellAnchor editAs="oneCell">
    <xdr:from>
      <xdr:col>9</xdr:col>
      <xdr:colOff>281516</xdr:colOff>
      <xdr:row>53</xdr:row>
      <xdr:rowOff>139614</xdr:rowOff>
    </xdr:from>
    <xdr:to>
      <xdr:col>12</xdr:col>
      <xdr:colOff>94898</xdr:colOff>
      <xdr:row>59</xdr:row>
      <xdr:rowOff>128613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59FF2D-A2BB-AC51-D8C0-2DF1AEAB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4016" y="10334892"/>
          <a:ext cx="1633715" cy="1125649"/>
        </a:xfrm>
        <a:prstGeom prst="rect">
          <a:avLst/>
        </a:prstGeom>
      </xdr:spPr>
    </xdr:pic>
    <xdr:clientData/>
  </xdr:twoCellAnchor>
  <xdr:twoCellAnchor editAs="oneCell">
    <xdr:from>
      <xdr:col>7</xdr:col>
      <xdr:colOff>154519</xdr:colOff>
      <xdr:row>52</xdr:row>
      <xdr:rowOff>31398</xdr:rowOff>
    </xdr:from>
    <xdr:to>
      <xdr:col>9</xdr:col>
      <xdr:colOff>74801</xdr:colOff>
      <xdr:row>59</xdr:row>
      <xdr:rowOff>80084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570068-6606-11F5-B722-9CEEA573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6575" y="10036176"/>
          <a:ext cx="1500726" cy="1382186"/>
        </a:xfrm>
        <a:prstGeom prst="rect">
          <a:avLst/>
        </a:prstGeom>
      </xdr:spPr>
    </xdr:pic>
    <xdr:clientData/>
  </xdr:twoCellAnchor>
  <xdr:twoCellAnchor editAs="oneCell">
    <xdr:from>
      <xdr:col>9</xdr:col>
      <xdr:colOff>401997</xdr:colOff>
      <xdr:row>62</xdr:row>
      <xdr:rowOff>89484</xdr:rowOff>
    </xdr:from>
    <xdr:to>
      <xdr:col>12</xdr:col>
      <xdr:colOff>35113</xdr:colOff>
      <xdr:row>68</xdr:row>
      <xdr:rowOff>16996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B3C7BF-038D-0378-B29B-5E2C8AD72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70762" y="12221719"/>
          <a:ext cx="1470880" cy="1083399"/>
        </a:xfrm>
        <a:prstGeom prst="rect">
          <a:avLst/>
        </a:prstGeom>
      </xdr:spPr>
    </xdr:pic>
    <xdr:clientData/>
  </xdr:twoCellAnchor>
  <xdr:twoCellAnchor editAs="oneCell">
    <xdr:from>
      <xdr:col>7</xdr:col>
      <xdr:colOff>186764</xdr:colOff>
      <xdr:row>60</xdr:row>
      <xdr:rowOff>152589</xdr:rowOff>
    </xdr:from>
    <xdr:to>
      <xdr:col>9</xdr:col>
      <xdr:colOff>166894</xdr:colOff>
      <xdr:row>68</xdr:row>
      <xdr:rowOff>99409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955C17-2210-422F-18BB-D7905DA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9235" y="11896354"/>
          <a:ext cx="1556424" cy="1500702"/>
        </a:xfrm>
        <a:prstGeom prst="rect">
          <a:avLst/>
        </a:prstGeom>
      </xdr:spPr>
    </xdr:pic>
    <xdr:clientData/>
  </xdr:twoCellAnchor>
  <xdr:twoCellAnchor editAs="oneCell">
    <xdr:from>
      <xdr:col>9</xdr:col>
      <xdr:colOff>335216</xdr:colOff>
      <xdr:row>71</xdr:row>
      <xdr:rowOff>13821</xdr:rowOff>
    </xdr:from>
    <xdr:to>
      <xdr:col>12</xdr:col>
      <xdr:colOff>185897</xdr:colOff>
      <xdr:row>77</xdr:row>
      <xdr:rowOff>74414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159BEFF-458C-9B46-8EB6-96D399C9D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03981" y="13894174"/>
          <a:ext cx="1685270" cy="1222830"/>
        </a:xfrm>
        <a:prstGeom prst="rect">
          <a:avLst/>
        </a:prstGeom>
      </xdr:spPr>
    </xdr:pic>
    <xdr:clientData/>
  </xdr:twoCellAnchor>
  <xdr:twoCellAnchor editAs="oneCell">
    <xdr:from>
      <xdr:col>7</xdr:col>
      <xdr:colOff>260372</xdr:colOff>
      <xdr:row>70</xdr:row>
      <xdr:rowOff>147172</xdr:rowOff>
    </xdr:from>
    <xdr:to>
      <xdr:col>9</xdr:col>
      <xdr:colOff>207870</xdr:colOff>
      <xdr:row>77</xdr:row>
      <xdr:rowOff>72466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75C0A62-AF75-8318-7BA9-85C7B7CB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52843" y="13833290"/>
          <a:ext cx="1517442" cy="1278591"/>
        </a:xfrm>
        <a:prstGeom prst="rect">
          <a:avLst/>
        </a:prstGeom>
      </xdr:spPr>
    </xdr:pic>
    <xdr:clientData/>
  </xdr:twoCellAnchor>
  <xdr:twoCellAnchor editAs="oneCell">
    <xdr:from>
      <xdr:col>9</xdr:col>
      <xdr:colOff>396314</xdr:colOff>
      <xdr:row>80</xdr:row>
      <xdr:rowOff>47999</xdr:rowOff>
    </xdr:from>
    <xdr:to>
      <xdr:col>12</xdr:col>
      <xdr:colOff>90635</xdr:colOff>
      <xdr:row>85</xdr:row>
      <xdr:rowOff>190201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A2ECD7-378B-6FE0-E5CA-F1127060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65079" y="15676470"/>
          <a:ext cx="1532085" cy="1113378"/>
        </a:xfrm>
        <a:prstGeom prst="rect">
          <a:avLst/>
        </a:prstGeom>
      </xdr:spPr>
    </xdr:pic>
    <xdr:clientData/>
  </xdr:twoCellAnchor>
  <xdr:twoCellAnchor editAs="oneCell">
    <xdr:from>
      <xdr:col>7</xdr:col>
      <xdr:colOff>272116</xdr:colOff>
      <xdr:row>79</xdr:row>
      <xdr:rowOff>57968</xdr:rowOff>
    </xdr:from>
    <xdr:to>
      <xdr:col>9</xdr:col>
      <xdr:colOff>188819</xdr:colOff>
      <xdr:row>86</xdr:row>
      <xdr:rowOff>22412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929655-B8D9-97C3-70D3-FFBCEB29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64587" y="15492203"/>
          <a:ext cx="1483472" cy="1324091"/>
        </a:xfrm>
        <a:prstGeom prst="rect">
          <a:avLst/>
        </a:prstGeom>
      </xdr:spPr>
    </xdr:pic>
    <xdr:clientData/>
  </xdr:twoCellAnchor>
  <xdr:twoCellAnchor editAs="oneCell">
    <xdr:from>
      <xdr:col>9</xdr:col>
      <xdr:colOff>376704</xdr:colOff>
      <xdr:row>89</xdr:row>
      <xdr:rowOff>1117</xdr:rowOff>
    </xdr:from>
    <xdr:to>
      <xdr:col>12</xdr:col>
      <xdr:colOff>149498</xdr:colOff>
      <xdr:row>94</xdr:row>
      <xdr:rowOff>186857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CA7E5F-6A96-B7E9-A453-EA621F43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45469" y="17377705"/>
          <a:ext cx="1607383" cy="1153742"/>
        </a:xfrm>
        <a:prstGeom prst="rect">
          <a:avLst/>
        </a:prstGeom>
      </xdr:spPr>
    </xdr:pic>
    <xdr:clientData/>
  </xdr:twoCellAnchor>
  <xdr:twoCellAnchor editAs="oneCell">
    <xdr:from>
      <xdr:col>7</xdr:col>
      <xdr:colOff>297703</xdr:colOff>
      <xdr:row>87</xdr:row>
      <xdr:rowOff>83135</xdr:rowOff>
    </xdr:from>
    <xdr:to>
      <xdr:col>9</xdr:col>
      <xdr:colOff>206935</xdr:colOff>
      <xdr:row>95</xdr:row>
      <xdr:rowOff>35969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B6FA66D-2F21-4DF7-5FA0-08A59F2A4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90174" y="17071253"/>
          <a:ext cx="1476001" cy="1503541"/>
        </a:xfrm>
        <a:prstGeom prst="rect">
          <a:avLst/>
        </a:prstGeom>
      </xdr:spPr>
    </xdr:pic>
    <xdr:clientData/>
  </xdr:twoCellAnchor>
  <xdr:twoCellAnchor editAs="oneCell">
    <xdr:from>
      <xdr:col>9</xdr:col>
      <xdr:colOff>415914</xdr:colOff>
      <xdr:row>98</xdr:row>
      <xdr:rowOff>77880</xdr:rowOff>
    </xdr:from>
    <xdr:to>
      <xdr:col>12</xdr:col>
      <xdr:colOff>111759</xdr:colOff>
      <xdr:row>104</xdr:row>
      <xdr:rowOff>23808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28DA7EA-8228-CCF4-1805-CB6040D1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84679" y="19202586"/>
          <a:ext cx="1527259" cy="1111340"/>
        </a:xfrm>
        <a:prstGeom prst="rect">
          <a:avLst/>
        </a:prstGeom>
      </xdr:spPr>
    </xdr:pic>
    <xdr:clientData/>
  </xdr:twoCellAnchor>
  <xdr:twoCellAnchor editAs="oneCell">
    <xdr:from>
      <xdr:col>7</xdr:col>
      <xdr:colOff>358589</xdr:colOff>
      <xdr:row>96</xdr:row>
      <xdr:rowOff>37352</xdr:rowOff>
    </xdr:from>
    <xdr:to>
      <xdr:col>9</xdr:col>
      <xdr:colOff>242992</xdr:colOff>
      <xdr:row>103</xdr:row>
      <xdr:rowOff>188819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26D5EF1-6F67-9214-1B2E-CEB7332C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51060" y="18773587"/>
          <a:ext cx="1451172" cy="1504764"/>
        </a:xfrm>
        <a:prstGeom prst="rect">
          <a:avLst/>
        </a:prstGeom>
      </xdr:spPr>
    </xdr:pic>
    <xdr:clientData/>
  </xdr:twoCellAnchor>
  <xdr:twoCellAnchor editAs="oneCell">
    <xdr:from>
      <xdr:col>9</xdr:col>
      <xdr:colOff>397293</xdr:colOff>
      <xdr:row>107</xdr:row>
      <xdr:rowOff>66114</xdr:rowOff>
    </xdr:from>
    <xdr:to>
      <xdr:col>12</xdr:col>
      <xdr:colOff>131179</xdr:colOff>
      <xdr:row>113</xdr:row>
      <xdr:rowOff>72375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B6C78E-6586-6A71-C5BF-579924126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66058" y="20938938"/>
          <a:ext cx="1562125" cy="1165322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291353</xdr:colOff>
      <xdr:row>105</xdr:row>
      <xdr:rowOff>40900</xdr:rowOff>
    </xdr:from>
    <xdr:to>
      <xdr:col>9</xdr:col>
      <xdr:colOff>189939</xdr:colOff>
      <xdr:row>113</xdr:row>
      <xdr:rowOff>92959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C4AC5D6-AC2B-DC6F-838A-0E92A38A0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3824" y="20525253"/>
          <a:ext cx="1474880" cy="1596416"/>
        </a:xfrm>
        <a:prstGeom prst="rect">
          <a:avLst/>
        </a:prstGeom>
      </xdr:spPr>
    </xdr:pic>
    <xdr:clientData/>
  </xdr:twoCellAnchor>
  <xdr:twoCellAnchor editAs="oneCell">
    <xdr:from>
      <xdr:col>9</xdr:col>
      <xdr:colOff>293686</xdr:colOff>
      <xdr:row>116</xdr:row>
      <xdr:rowOff>103468</xdr:rowOff>
    </xdr:from>
    <xdr:to>
      <xdr:col>11</xdr:col>
      <xdr:colOff>606359</xdr:colOff>
      <xdr:row>122</xdr:row>
      <xdr:rowOff>80065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EB64A8-D910-5F9F-8140-92421C79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62451" y="22724409"/>
          <a:ext cx="1537849" cy="1142009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313765</xdr:colOff>
      <xdr:row>113</xdr:row>
      <xdr:rowOff>171824</xdr:rowOff>
    </xdr:from>
    <xdr:to>
      <xdr:col>9</xdr:col>
      <xdr:colOff>59765</xdr:colOff>
      <xdr:row>122</xdr:row>
      <xdr:rowOff>55384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2E679AE-118B-8913-5204-B87EFA5C8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06236" y="22210059"/>
          <a:ext cx="1322294" cy="16253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266823</xdr:colOff>
      <xdr:row>198</xdr:row>
      <xdr:rowOff>161610</xdr:rowOff>
    </xdr:from>
    <xdr:to>
      <xdr:col>8</xdr:col>
      <xdr:colOff>681877</xdr:colOff>
      <xdr:row>206</xdr:row>
      <xdr:rowOff>117289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2C19C5F-D719-14F0-65B7-26436C048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3617" y="15480051"/>
          <a:ext cx="1358029" cy="1479679"/>
        </a:xfrm>
        <a:prstGeom prst="rect">
          <a:avLst/>
        </a:prstGeom>
      </xdr:spPr>
    </xdr:pic>
    <xdr:clientData/>
  </xdr:twoCellAnchor>
  <xdr:twoCellAnchor editAs="oneCell">
    <xdr:from>
      <xdr:col>8</xdr:col>
      <xdr:colOff>941653</xdr:colOff>
      <xdr:row>201</xdr:row>
      <xdr:rowOff>45509</xdr:rowOff>
    </xdr:from>
    <xdr:to>
      <xdr:col>10</xdr:col>
      <xdr:colOff>283819</xdr:colOff>
      <xdr:row>206</xdr:row>
      <xdr:rowOff>54681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C902E5-4715-C3C9-22EF-5D2930A9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7542" y="15370176"/>
          <a:ext cx="1352646" cy="955322"/>
        </a:xfrm>
        <a:prstGeom prst="rect">
          <a:avLst/>
        </a:prstGeom>
      </xdr:spPr>
    </xdr:pic>
    <xdr:clientData/>
  </xdr:twoCellAnchor>
  <xdr:twoCellAnchor editAs="oneCell">
    <xdr:from>
      <xdr:col>8</xdr:col>
      <xdr:colOff>963085</xdr:colOff>
      <xdr:row>210</xdr:row>
      <xdr:rowOff>77258</xdr:rowOff>
    </xdr:from>
    <xdr:to>
      <xdr:col>10</xdr:col>
      <xdr:colOff>244478</xdr:colOff>
      <xdr:row>215</xdr:row>
      <xdr:rowOff>91703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7E17D5-0FD4-043A-53F3-10126B350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8974" y="17116425"/>
          <a:ext cx="1307748" cy="957421"/>
        </a:xfrm>
        <a:prstGeom prst="rect">
          <a:avLst/>
        </a:prstGeom>
      </xdr:spPr>
    </xdr:pic>
    <xdr:clientData/>
  </xdr:twoCellAnchor>
  <xdr:twoCellAnchor editAs="oneCell">
    <xdr:from>
      <xdr:col>4</xdr:col>
      <xdr:colOff>344645</xdr:colOff>
      <xdr:row>130</xdr:row>
      <xdr:rowOff>220554</xdr:rowOff>
    </xdr:from>
    <xdr:to>
      <xdr:col>4</xdr:col>
      <xdr:colOff>801966</xdr:colOff>
      <xdr:row>132</xdr:row>
      <xdr:rowOff>129204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4017BB4-7011-4409-943E-3E2A9E85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4093388">
          <a:off x="3988009" y="2482690"/>
          <a:ext cx="339038" cy="457321"/>
        </a:xfrm>
        <a:prstGeom prst="rect">
          <a:avLst/>
        </a:prstGeom>
      </xdr:spPr>
    </xdr:pic>
    <xdr:clientData/>
  </xdr:twoCellAnchor>
  <xdr:twoCellAnchor editAs="oneCell">
    <xdr:from>
      <xdr:col>4</xdr:col>
      <xdr:colOff>802805</xdr:colOff>
      <xdr:row>132</xdr:row>
      <xdr:rowOff>10584</xdr:rowOff>
    </xdr:from>
    <xdr:to>
      <xdr:col>5</xdr:col>
      <xdr:colOff>97243</xdr:colOff>
      <xdr:row>134</xdr:row>
      <xdr:rowOff>55033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C9C6F02-5DD3-4835-8A1D-5D289F2F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69388" y="3534834"/>
          <a:ext cx="437438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157232</xdr:colOff>
      <xdr:row>132</xdr:row>
      <xdr:rowOff>52917</xdr:rowOff>
    </xdr:from>
    <xdr:to>
      <xdr:col>4</xdr:col>
      <xdr:colOff>633135</xdr:colOff>
      <xdr:row>134</xdr:row>
      <xdr:rowOff>16022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F70F868-F1F3-40C7-B0D9-A3D3CA4B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819016">
          <a:off x="3789714" y="3511268"/>
          <a:ext cx="344106" cy="475903"/>
        </a:xfrm>
        <a:prstGeom prst="rect">
          <a:avLst/>
        </a:prstGeom>
      </xdr:spPr>
    </xdr:pic>
    <xdr:clientData/>
  </xdr:twoCellAnchor>
  <xdr:twoCellAnchor editAs="oneCell">
    <xdr:from>
      <xdr:col>4</xdr:col>
      <xdr:colOff>124909</xdr:colOff>
      <xdr:row>134</xdr:row>
      <xdr:rowOff>24344</xdr:rowOff>
    </xdr:from>
    <xdr:to>
      <xdr:col>4</xdr:col>
      <xdr:colOff>588459</xdr:colOff>
      <xdr:row>136</xdr:row>
      <xdr:rowOff>72664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76CF853-832B-4362-8AE7-98EDD0B8A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9131" y="3157011"/>
          <a:ext cx="457200" cy="419794"/>
        </a:xfrm>
        <a:prstGeom prst="rect">
          <a:avLst/>
        </a:prstGeom>
      </xdr:spPr>
    </xdr:pic>
    <xdr:clientData/>
  </xdr:twoCellAnchor>
  <xdr:twoCellAnchor editAs="oneCell">
    <xdr:from>
      <xdr:col>4</xdr:col>
      <xdr:colOff>719667</xdr:colOff>
      <xdr:row>134</xdr:row>
      <xdr:rowOff>116418</xdr:rowOff>
    </xdr:from>
    <xdr:to>
      <xdr:col>5</xdr:col>
      <xdr:colOff>14539</xdr:colOff>
      <xdr:row>136</xdr:row>
      <xdr:rowOff>94194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E6C659-502A-4025-A46A-FD35C6F2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4021668"/>
          <a:ext cx="437872" cy="358775"/>
        </a:xfrm>
        <a:prstGeom prst="rect">
          <a:avLst/>
        </a:prstGeom>
      </xdr:spPr>
    </xdr:pic>
    <xdr:clientData/>
  </xdr:twoCellAnchor>
  <xdr:twoCellAnchor editAs="oneCell">
    <xdr:from>
      <xdr:col>4</xdr:col>
      <xdr:colOff>625567</xdr:colOff>
      <xdr:row>136</xdr:row>
      <xdr:rowOff>93299</xdr:rowOff>
    </xdr:from>
    <xdr:to>
      <xdr:col>4</xdr:col>
      <xdr:colOff>1139916</xdr:colOff>
      <xdr:row>138</xdr:row>
      <xdr:rowOff>129482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D248792-429A-418F-A0DE-30F1EA5D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03979" y="3671711"/>
          <a:ext cx="514349" cy="421479"/>
        </a:xfrm>
        <a:prstGeom prst="rect">
          <a:avLst/>
        </a:prstGeom>
      </xdr:spPr>
    </xdr:pic>
    <xdr:clientData/>
  </xdr:twoCellAnchor>
  <xdr:twoCellAnchor editAs="oneCell">
    <xdr:from>
      <xdr:col>4</xdr:col>
      <xdr:colOff>138670</xdr:colOff>
      <xdr:row>137</xdr:row>
      <xdr:rowOff>66678</xdr:rowOff>
    </xdr:from>
    <xdr:to>
      <xdr:col>4</xdr:col>
      <xdr:colOff>624445</xdr:colOff>
      <xdr:row>139</xdr:row>
      <xdr:rowOff>35543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F1A2A3-9C99-4DB5-A4D3-28185F63A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22892" y="3770845"/>
          <a:ext cx="479425" cy="349864"/>
        </a:xfrm>
        <a:prstGeom prst="rect">
          <a:avLst/>
        </a:prstGeom>
      </xdr:spPr>
    </xdr:pic>
    <xdr:clientData/>
  </xdr:twoCellAnchor>
  <xdr:twoCellAnchor editAs="oneCell">
    <xdr:from>
      <xdr:col>4</xdr:col>
      <xdr:colOff>144399</xdr:colOff>
      <xdr:row>139</xdr:row>
      <xdr:rowOff>152586</xdr:rowOff>
    </xdr:from>
    <xdr:to>
      <xdr:col>4</xdr:col>
      <xdr:colOff>703198</xdr:colOff>
      <xdr:row>142</xdr:row>
      <xdr:rowOff>17334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65193DF-2BB5-4E34-9C7F-A0E361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22811" y="4313704"/>
          <a:ext cx="549274" cy="441104"/>
        </a:xfrm>
        <a:prstGeom prst="rect">
          <a:avLst/>
        </a:prstGeom>
      </xdr:spPr>
    </xdr:pic>
    <xdr:clientData/>
  </xdr:twoCellAnchor>
  <xdr:twoCellAnchor editAs="oneCell">
    <xdr:from>
      <xdr:col>7</xdr:col>
      <xdr:colOff>313067</xdr:colOff>
      <xdr:row>207</xdr:row>
      <xdr:rowOff>120715</xdr:rowOff>
    </xdr:from>
    <xdr:to>
      <xdr:col>8</xdr:col>
      <xdr:colOff>627530</xdr:colOff>
      <xdr:row>215</xdr:row>
      <xdr:rowOff>116622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5F9E54-653C-45B7-A3D6-7220CF4B8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59861" y="17153656"/>
          <a:ext cx="1266963" cy="1519908"/>
        </a:xfrm>
        <a:prstGeom prst="rect">
          <a:avLst/>
        </a:prstGeom>
      </xdr:spPr>
    </xdr:pic>
    <xdr:clientData/>
  </xdr:twoCellAnchor>
  <xdr:twoCellAnchor editAs="oneCell">
    <xdr:from>
      <xdr:col>7</xdr:col>
      <xdr:colOff>286435</xdr:colOff>
      <xdr:row>225</xdr:row>
      <xdr:rowOff>122334</xdr:rowOff>
    </xdr:from>
    <xdr:to>
      <xdr:col>8</xdr:col>
      <xdr:colOff>681879</xdr:colOff>
      <xdr:row>233</xdr:row>
      <xdr:rowOff>78228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869052C-0576-4D03-AC9D-C9979F499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33229" y="20584275"/>
          <a:ext cx="1338419" cy="1479894"/>
        </a:xfrm>
        <a:prstGeom prst="rect">
          <a:avLst/>
        </a:prstGeom>
      </xdr:spPr>
    </xdr:pic>
    <xdr:clientData/>
  </xdr:twoCellAnchor>
  <xdr:twoCellAnchor editAs="oneCell">
    <xdr:from>
      <xdr:col>8</xdr:col>
      <xdr:colOff>696385</xdr:colOff>
      <xdr:row>228</xdr:row>
      <xdr:rowOff>20291</xdr:rowOff>
    </xdr:from>
    <xdr:to>
      <xdr:col>10</xdr:col>
      <xdr:colOff>347382</xdr:colOff>
      <xdr:row>233</xdr:row>
      <xdr:rowOff>110845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2280B3A-1110-4CDD-A115-D54A4A093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95679" y="21053732"/>
          <a:ext cx="1499968" cy="1043054"/>
        </a:xfrm>
        <a:prstGeom prst="rect">
          <a:avLst/>
        </a:prstGeom>
      </xdr:spPr>
    </xdr:pic>
    <xdr:clientData/>
  </xdr:twoCellAnchor>
  <xdr:twoCellAnchor editAs="oneCell">
    <xdr:from>
      <xdr:col>7</xdr:col>
      <xdr:colOff>300692</xdr:colOff>
      <xdr:row>262</xdr:row>
      <xdr:rowOff>126999</xdr:rowOff>
    </xdr:from>
    <xdr:to>
      <xdr:col>8</xdr:col>
      <xdr:colOff>475317</xdr:colOff>
      <xdr:row>269</xdr:row>
      <xdr:rowOff>53153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55C38B-53AF-4A27-BBCD-7F767F8D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7486" y="27637440"/>
          <a:ext cx="1127125" cy="1259654"/>
        </a:xfrm>
        <a:prstGeom prst="rect">
          <a:avLst/>
        </a:prstGeom>
      </xdr:spPr>
    </xdr:pic>
    <xdr:clientData/>
  </xdr:twoCellAnchor>
  <xdr:twoCellAnchor editAs="oneCell">
    <xdr:from>
      <xdr:col>8</xdr:col>
      <xdr:colOff>695637</xdr:colOff>
      <xdr:row>264</xdr:row>
      <xdr:rowOff>17847</xdr:rowOff>
    </xdr:from>
    <xdr:to>
      <xdr:col>10</xdr:col>
      <xdr:colOff>212123</xdr:colOff>
      <xdr:row>269</xdr:row>
      <xdr:rowOff>92763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BE25897-1666-460E-86E5-E8EEEB75B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94931" y="27909288"/>
          <a:ext cx="1365457" cy="1017891"/>
        </a:xfrm>
        <a:prstGeom prst="rect">
          <a:avLst/>
        </a:prstGeom>
      </xdr:spPr>
    </xdr:pic>
    <xdr:clientData/>
  </xdr:twoCellAnchor>
  <xdr:twoCellAnchor editAs="oneCell">
    <xdr:from>
      <xdr:col>7</xdr:col>
      <xdr:colOff>338666</xdr:colOff>
      <xdr:row>156</xdr:row>
      <xdr:rowOff>87843</xdr:rowOff>
    </xdr:from>
    <xdr:to>
      <xdr:col>8</xdr:col>
      <xdr:colOff>627591</xdr:colOff>
      <xdr:row>163</xdr:row>
      <xdr:rowOff>75143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7ABC9D2-935A-4DA9-8ADE-3F27ED579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82555" y="6840010"/>
          <a:ext cx="1238250" cy="1320800"/>
        </a:xfrm>
        <a:prstGeom prst="rect">
          <a:avLst/>
        </a:prstGeom>
      </xdr:spPr>
    </xdr:pic>
    <xdr:clientData/>
  </xdr:twoCellAnchor>
  <xdr:twoCellAnchor editAs="oneCell">
    <xdr:from>
      <xdr:col>8</xdr:col>
      <xdr:colOff>1001183</xdr:colOff>
      <xdr:row>158</xdr:row>
      <xdr:rowOff>13758</xdr:rowOff>
    </xdr:from>
    <xdr:to>
      <xdr:col>10</xdr:col>
      <xdr:colOff>319615</xdr:colOff>
      <xdr:row>163</xdr:row>
      <xdr:rowOff>35638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AE875E-F103-448F-B7B0-873D60006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7072" y="7146925"/>
          <a:ext cx="1379712" cy="971204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317500</xdr:colOff>
      <xdr:row>165</xdr:row>
      <xdr:rowOff>66676</xdr:rowOff>
    </xdr:from>
    <xdr:to>
      <xdr:col>8</xdr:col>
      <xdr:colOff>647700</xdr:colOff>
      <xdr:row>172</xdr:row>
      <xdr:rowOff>15781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34D8F4C-09F6-489C-89DD-87D8326C0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61389" y="8533343"/>
          <a:ext cx="1276350" cy="1279430"/>
        </a:xfrm>
        <a:prstGeom prst="rect">
          <a:avLst/>
        </a:prstGeom>
      </xdr:spPr>
    </xdr:pic>
    <xdr:clientData/>
  </xdr:twoCellAnchor>
  <xdr:twoCellAnchor editAs="oneCell">
    <xdr:from>
      <xdr:col>8</xdr:col>
      <xdr:colOff>945092</xdr:colOff>
      <xdr:row>166</xdr:row>
      <xdr:rowOff>116416</xdr:rowOff>
    </xdr:from>
    <xdr:to>
      <xdr:col>10</xdr:col>
      <xdr:colOff>285399</xdr:colOff>
      <xdr:row>171</xdr:row>
      <xdr:rowOff>169963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46CF2DE-265E-4D9C-984C-8D1C4D1F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50981" y="8773583"/>
          <a:ext cx="1353962" cy="1006048"/>
        </a:xfrm>
        <a:prstGeom prst="rect">
          <a:avLst/>
        </a:prstGeom>
      </xdr:spPr>
    </xdr:pic>
    <xdr:clientData/>
  </xdr:twoCellAnchor>
  <xdr:twoCellAnchor editAs="oneCell">
    <xdr:from>
      <xdr:col>7</xdr:col>
      <xdr:colOff>313266</xdr:colOff>
      <xdr:row>173</xdr:row>
      <xdr:rowOff>165099</xdr:rowOff>
    </xdr:from>
    <xdr:to>
      <xdr:col>8</xdr:col>
      <xdr:colOff>683683</xdr:colOff>
      <xdr:row>180</xdr:row>
      <xdr:rowOff>169046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1FA4D7F-3704-456F-975A-9F3625913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57155" y="10536766"/>
          <a:ext cx="1313392" cy="1334272"/>
        </a:xfrm>
        <a:prstGeom prst="rect">
          <a:avLst/>
        </a:prstGeom>
      </xdr:spPr>
    </xdr:pic>
    <xdr:clientData/>
  </xdr:twoCellAnchor>
  <xdr:twoCellAnchor editAs="oneCell">
    <xdr:from>
      <xdr:col>8</xdr:col>
      <xdr:colOff>998007</xdr:colOff>
      <xdr:row>175</xdr:row>
      <xdr:rowOff>130174</xdr:rowOff>
    </xdr:from>
    <xdr:to>
      <xdr:col>10</xdr:col>
      <xdr:colOff>302765</xdr:colOff>
      <xdr:row>180</xdr:row>
      <xdr:rowOff>169652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5DAD267-A3EA-4A64-B3F2-85771EB2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03896" y="10882841"/>
          <a:ext cx="1366038" cy="991977"/>
        </a:xfrm>
        <a:prstGeom prst="rect">
          <a:avLst/>
        </a:prstGeom>
      </xdr:spPr>
    </xdr:pic>
    <xdr:clientData/>
  </xdr:twoCellAnchor>
  <xdr:twoCellAnchor editAs="oneCell">
    <xdr:from>
      <xdr:col>7</xdr:col>
      <xdr:colOff>328084</xdr:colOff>
      <xdr:row>182</xdr:row>
      <xdr:rowOff>158748</xdr:rowOff>
    </xdr:from>
    <xdr:to>
      <xdr:col>8</xdr:col>
      <xdr:colOff>665844</xdr:colOff>
      <xdr:row>189</xdr:row>
      <xdr:rowOff>95319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83B7A6E-4DFA-4CA9-AFE1-8B9373D4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54334" y="17589498"/>
          <a:ext cx="1280735" cy="1270071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1016000</xdr:colOff>
      <xdr:row>184</xdr:row>
      <xdr:rowOff>31750</xdr:rowOff>
    </xdr:from>
    <xdr:to>
      <xdr:col>10</xdr:col>
      <xdr:colOff>246258</xdr:colOff>
      <xdr:row>189</xdr:row>
      <xdr:rowOff>19150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DC6237F-8E04-4019-9446-F15E15937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04250" y="18224500"/>
          <a:ext cx="1320113" cy="939900"/>
        </a:xfrm>
        <a:prstGeom prst="rect">
          <a:avLst/>
        </a:prstGeom>
      </xdr:spPr>
    </xdr:pic>
    <xdr:clientData/>
  </xdr:twoCellAnchor>
  <xdr:twoCellAnchor editAs="oneCell">
    <xdr:from>
      <xdr:col>7</xdr:col>
      <xdr:colOff>267407</xdr:colOff>
      <xdr:row>189</xdr:row>
      <xdr:rowOff>165453</xdr:rowOff>
    </xdr:from>
    <xdr:to>
      <xdr:col>8</xdr:col>
      <xdr:colOff>741783</xdr:colOff>
      <xdr:row>197</xdr:row>
      <xdr:rowOff>75638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EA9FD7-AFF6-02A4-11AE-2FC44A2E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11296" y="20252620"/>
          <a:ext cx="1414176" cy="1434184"/>
        </a:xfrm>
        <a:prstGeom prst="rect">
          <a:avLst/>
        </a:prstGeom>
      </xdr:spPr>
    </xdr:pic>
    <xdr:clientData/>
  </xdr:twoCellAnchor>
  <xdr:twoCellAnchor editAs="oneCell">
    <xdr:from>
      <xdr:col>8</xdr:col>
      <xdr:colOff>931333</xdr:colOff>
      <xdr:row>191</xdr:row>
      <xdr:rowOff>104319</xdr:rowOff>
    </xdr:from>
    <xdr:to>
      <xdr:col>10</xdr:col>
      <xdr:colOff>358070</xdr:colOff>
      <xdr:row>197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C0C882-2F2D-8C5F-332C-D8B07FBA6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37222" y="20572486"/>
          <a:ext cx="1418167" cy="107608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190625</xdr:colOff>
      <xdr:row>135</xdr:row>
      <xdr:rowOff>10234</xdr:rowOff>
    </xdr:from>
    <xdr:to>
      <xdr:col>10</xdr:col>
      <xdr:colOff>643008</xdr:colOff>
      <xdr:row>136</xdr:row>
      <xdr:rowOff>136106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5F1E01-1B5E-8C8D-7D8E-9D1CEC09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4147407">
          <a:off x="9901292" y="3328272"/>
          <a:ext cx="320107" cy="452383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291354</xdr:colOff>
      <xdr:row>290</xdr:row>
      <xdr:rowOff>39219</xdr:rowOff>
    </xdr:from>
    <xdr:to>
      <xdr:col>8</xdr:col>
      <xdr:colOff>554878</xdr:colOff>
      <xdr:row>296</xdr:row>
      <xdr:rowOff>54238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294401-83F3-32C6-E64F-79BC8540E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38148" y="32883660"/>
          <a:ext cx="1216024" cy="1158019"/>
        </a:xfrm>
        <a:prstGeom prst="rect">
          <a:avLst/>
        </a:prstGeom>
      </xdr:spPr>
    </xdr:pic>
    <xdr:clientData/>
  </xdr:twoCellAnchor>
  <xdr:twoCellAnchor editAs="oneCell">
    <xdr:from>
      <xdr:col>8</xdr:col>
      <xdr:colOff>671106</xdr:colOff>
      <xdr:row>291</xdr:row>
      <xdr:rowOff>50634</xdr:rowOff>
    </xdr:from>
    <xdr:to>
      <xdr:col>10</xdr:col>
      <xdr:colOff>228287</xdr:colOff>
      <xdr:row>296</xdr:row>
      <xdr:rowOff>76593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78B954-3ED5-F2C8-22F4-FCCEECEE6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0400" y="33085575"/>
          <a:ext cx="1406152" cy="978459"/>
        </a:xfrm>
        <a:prstGeom prst="rect">
          <a:avLst/>
        </a:prstGeom>
      </xdr:spPr>
    </xdr:pic>
    <xdr:clientData/>
  </xdr:twoCellAnchor>
  <xdr:twoCellAnchor editAs="oneCell">
    <xdr:from>
      <xdr:col>8</xdr:col>
      <xdr:colOff>714685</xdr:colOff>
      <xdr:row>300</xdr:row>
      <xdr:rowOff>22412</xdr:rowOff>
    </xdr:from>
    <xdr:to>
      <xdr:col>10</xdr:col>
      <xdr:colOff>195141</xdr:colOff>
      <xdr:row>305</xdr:row>
      <xdr:rowOff>35744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031B8C-B33A-16EA-12E5-8A395F3C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3979" y="34771853"/>
          <a:ext cx="1329427" cy="956307"/>
        </a:xfrm>
        <a:prstGeom prst="rect">
          <a:avLst/>
        </a:prstGeom>
      </xdr:spPr>
    </xdr:pic>
    <xdr:clientData/>
  </xdr:twoCellAnchor>
  <xdr:twoCellAnchor editAs="oneCell">
    <xdr:from>
      <xdr:col>7</xdr:col>
      <xdr:colOff>306917</xdr:colOff>
      <xdr:row>299</xdr:row>
      <xdr:rowOff>79999</xdr:rowOff>
    </xdr:from>
    <xdr:to>
      <xdr:col>8</xdr:col>
      <xdr:colOff>492125</xdr:colOff>
      <xdr:row>304</xdr:row>
      <xdr:rowOff>168593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CB76E5-5AAD-FA34-E891-67BA08F0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3167" y="24368749"/>
          <a:ext cx="1131358" cy="1041095"/>
        </a:xfrm>
        <a:prstGeom prst="rect">
          <a:avLst/>
        </a:prstGeom>
      </xdr:spPr>
    </xdr:pic>
    <xdr:clientData/>
  </xdr:twoCellAnchor>
  <xdr:twoCellAnchor editAs="oneCell">
    <xdr:from>
      <xdr:col>8</xdr:col>
      <xdr:colOff>730250</xdr:colOff>
      <xdr:row>318</xdr:row>
      <xdr:rowOff>63498</xdr:rowOff>
    </xdr:from>
    <xdr:to>
      <xdr:col>10</xdr:col>
      <xdr:colOff>171019</xdr:colOff>
      <xdr:row>323</xdr:row>
      <xdr:rowOff>53564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643EA7-EEBC-3625-D6EF-FFC895E92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09000" y="26257248"/>
          <a:ext cx="1292852" cy="933040"/>
        </a:xfrm>
        <a:prstGeom prst="rect">
          <a:avLst/>
        </a:prstGeom>
      </xdr:spPr>
    </xdr:pic>
    <xdr:clientData/>
  </xdr:twoCellAnchor>
  <xdr:twoCellAnchor editAs="oneCell">
    <xdr:from>
      <xdr:col>7</xdr:col>
      <xdr:colOff>243419</xdr:colOff>
      <xdr:row>317</xdr:row>
      <xdr:rowOff>6350</xdr:rowOff>
    </xdr:from>
    <xdr:to>
      <xdr:col>8</xdr:col>
      <xdr:colOff>497417</xdr:colOff>
      <xdr:row>323</xdr:row>
      <xdr:rowOff>54037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DB3E14-C19D-A2E1-B711-85E7AE98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69669" y="26009600"/>
          <a:ext cx="1206498" cy="1187511"/>
        </a:xfrm>
        <a:prstGeom prst="rect">
          <a:avLst/>
        </a:prstGeom>
      </xdr:spPr>
    </xdr:pic>
    <xdr:clientData/>
  </xdr:twoCellAnchor>
  <xdr:twoCellAnchor editAs="oneCell">
    <xdr:from>
      <xdr:col>10</xdr:col>
      <xdr:colOff>55034</xdr:colOff>
      <xdr:row>136</xdr:row>
      <xdr:rowOff>129053</xdr:rowOff>
    </xdr:from>
    <xdr:to>
      <xdr:col>10</xdr:col>
      <xdr:colOff>778582</xdr:colOff>
      <xdr:row>139</xdr:row>
      <xdr:rowOff>136824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1503A3-07DC-6782-FA93-733783A8B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99563" y="3707465"/>
          <a:ext cx="723548" cy="590477"/>
        </a:xfrm>
        <a:prstGeom prst="rect">
          <a:avLst/>
        </a:prstGeom>
      </xdr:spPr>
    </xdr:pic>
    <xdr:clientData/>
  </xdr:twoCellAnchor>
  <xdr:twoCellAnchor editAs="oneCell">
    <xdr:from>
      <xdr:col>10</xdr:col>
      <xdr:colOff>950965</xdr:colOff>
      <xdr:row>137</xdr:row>
      <xdr:rowOff>82177</xdr:rowOff>
    </xdr:from>
    <xdr:to>
      <xdr:col>11</xdr:col>
      <xdr:colOff>225778</xdr:colOff>
      <xdr:row>139</xdr:row>
      <xdr:rowOff>129851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49270D-449E-41C8-B24A-ECC0523BC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95494" y="3854824"/>
          <a:ext cx="529872" cy="426619"/>
        </a:xfrm>
        <a:prstGeom prst="rect">
          <a:avLst/>
        </a:prstGeom>
      </xdr:spPr>
    </xdr:pic>
    <xdr:clientData/>
  </xdr:twoCellAnchor>
  <xdr:twoCellAnchor editAs="oneCell">
    <xdr:from>
      <xdr:col>7</xdr:col>
      <xdr:colOff>275166</xdr:colOff>
      <xdr:row>280</xdr:row>
      <xdr:rowOff>56610</xdr:rowOff>
    </xdr:from>
    <xdr:to>
      <xdr:col>8</xdr:col>
      <xdr:colOff>472017</xdr:colOff>
      <xdr:row>287</xdr:row>
      <xdr:rowOff>40615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B3C414-DD69-F351-41A3-906E697FD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01416" y="29298360"/>
          <a:ext cx="1143001" cy="1317505"/>
        </a:xfrm>
        <a:prstGeom prst="rect">
          <a:avLst/>
        </a:prstGeom>
      </xdr:spPr>
    </xdr:pic>
    <xdr:clientData/>
  </xdr:twoCellAnchor>
  <xdr:twoCellAnchor editAs="oneCell">
    <xdr:from>
      <xdr:col>8</xdr:col>
      <xdr:colOff>677957</xdr:colOff>
      <xdr:row>282</xdr:row>
      <xdr:rowOff>66722</xdr:rowOff>
    </xdr:from>
    <xdr:to>
      <xdr:col>10</xdr:col>
      <xdr:colOff>110503</xdr:colOff>
      <xdr:row>287</xdr:row>
      <xdr:rowOff>14504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87879C-60F6-5C06-315E-CE3CBE0C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1" y="31387163"/>
          <a:ext cx="1271992" cy="890758"/>
        </a:xfrm>
        <a:prstGeom prst="rect">
          <a:avLst/>
        </a:prstGeom>
      </xdr:spPr>
    </xdr:pic>
    <xdr:clientData/>
  </xdr:twoCellAnchor>
  <xdr:twoCellAnchor editAs="oneCell">
    <xdr:from>
      <xdr:col>8</xdr:col>
      <xdr:colOff>622903</xdr:colOff>
      <xdr:row>273</xdr:row>
      <xdr:rowOff>96587</xdr:rowOff>
    </xdr:from>
    <xdr:to>
      <xdr:col>10</xdr:col>
      <xdr:colOff>0</xdr:colOff>
      <xdr:row>278</xdr:row>
      <xdr:rowOff>42335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DBC0CB-5F6A-3B40-6AC9-5F48E53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01653" y="28004837"/>
          <a:ext cx="1229180" cy="89824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271</xdr:row>
      <xdr:rowOff>46115</xdr:rowOff>
    </xdr:from>
    <xdr:to>
      <xdr:col>8</xdr:col>
      <xdr:colOff>415926</xdr:colOff>
      <xdr:row>278</xdr:row>
      <xdr:rowOff>72328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2A2CD2-1413-46FB-A451-D614B677A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16751" y="27573365"/>
          <a:ext cx="1174750" cy="1359712"/>
        </a:xfrm>
        <a:prstGeom prst="rect">
          <a:avLst/>
        </a:prstGeom>
      </xdr:spPr>
    </xdr:pic>
    <xdr:clientData/>
  </xdr:twoCellAnchor>
  <xdr:twoCellAnchor editAs="oneCell">
    <xdr:from>
      <xdr:col>7</xdr:col>
      <xdr:colOff>232832</xdr:colOff>
      <xdr:row>244</xdr:row>
      <xdr:rowOff>0</xdr:rowOff>
    </xdr:from>
    <xdr:to>
      <xdr:col>8</xdr:col>
      <xdr:colOff>536222</xdr:colOff>
      <xdr:row>251</xdr:row>
      <xdr:rowOff>34028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7C6913C-425A-17BD-DCD7-21B6EE5B4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76721" y="37798791"/>
          <a:ext cx="1255890" cy="1358003"/>
        </a:xfrm>
        <a:prstGeom prst="rect">
          <a:avLst/>
        </a:prstGeom>
      </xdr:spPr>
    </xdr:pic>
    <xdr:clientData/>
  </xdr:twoCellAnchor>
  <xdr:twoCellAnchor editAs="oneCell">
    <xdr:from>
      <xdr:col>8</xdr:col>
      <xdr:colOff>704851</xdr:colOff>
      <xdr:row>245</xdr:row>
      <xdr:rowOff>157045</xdr:rowOff>
    </xdr:from>
    <xdr:to>
      <xdr:col>10</xdr:col>
      <xdr:colOff>148167</xdr:colOff>
      <xdr:row>251</xdr:row>
      <xdr:rowOff>54408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55766D0-7BEA-EA68-DFB8-878262D68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01240" y="38151212"/>
          <a:ext cx="1291871" cy="1030837"/>
        </a:xfrm>
        <a:prstGeom prst="rect">
          <a:avLst/>
        </a:prstGeom>
      </xdr:spPr>
    </xdr:pic>
    <xdr:clientData/>
  </xdr:twoCellAnchor>
  <xdr:twoCellAnchor editAs="oneCell">
    <xdr:from>
      <xdr:col>8</xdr:col>
      <xdr:colOff>719668</xdr:colOff>
      <xdr:row>255</xdr:row>
      <xdr:rowOff>7054</xdr:rowOff>
    </xdr:from>
    <xdr:to>
      <xdr:col>10</xdr:col>
      <xdr:colOff>148185</xdr:colOff>
      <xdr:row>259</xdr:row>
      <xdr:rowOff>149694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EA6B10-94C8-ACD8-A118-46DC5F63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516057" y="39906221"/>
          <a:ext cx="1273897" cy="895116"/>
        </a:xfrm>
        <a:prstGeom prst="rect">
          <a:avLst/>
        </a:prstGeom>
      </xdr:spPr>
    </xdr:pic>
    <xdr:clientData/>
  </xdr:twoCellAnchor>
  <xdr:twoCellAnchor editAs="oneCell">
    <xdr:from>
      <xdr:col>7</xdr:col>
      <xdr:colOff>220608</xdr:colOff>
      <xdr:row>252</xdr:row>
      <xdr:rowOff>52303</xdr:rowOff>
    </xdr:from>
    <xdr:to>
      <xdr:col>8</xdr:col>
      <xdr:colOff>652286</xdr:colOff>
      <xdr:row>260</xdr:row>
      <xdr:rowOff>34496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482F0C-F96E-282C-4726-DDD3E9E72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64497" y="39379970"/>
          <a:ext cx="1384178" cy="1506193"/>
        </a:xfrm>
        <a:prstGeom prst="rect">
          <a:avLst/>
        </a:prstGeom>
      </xdr:spPr>
    </xdr:pic>
    <xdr:clientData/>
  </xdr:twoCellAnchor>
  <xdr:twoCellAnchor editAs="oneCell">
    <xdr:from>
      <xdr:col>9</xdr:col>
      <xdr:colOff>3175</xdr:colOff>
      <xdr:row>219</xdr:row>
      <xdr:rowOff>140891</xdr:rowOff>
    </xdr:from>
    <xdr:to>
      <xdr:col>10</xdr:col>
      <xdr:colOff>211666</xdr:colOff>
      <xdr:row>224</xdr:row>
      <xdr:rowOff>91540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3628C67-A698-7E16-35FA-6615ACD9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82731" y="34896558"/>
          <a:ext cx="1273879" cy="896798"/>
        </a:xfrm>
        <a:prstGeom prst="rect">
          <a:avLst/>
        </a:prstGeom>
      </xdr:spPr>
    </xdr:pic>
    <xdr:clientData/>
  </xdr:twoCellAnchor>
  <xdr:twoCellAnchor editAs="oneCell">
    <xdr:from>
      <xdr:col>7</xdr:col>
      <xdr:colOff>299508</xdr:colOff>
      <xdr:row>216</xdr:row>
      <xdr:rowOff>161163</xdr:rowOff>
    </xdr:from>
    <xdr:to>
      <xdr:col>8</xdr:col>
      <xdr:colOff>566914</xdr:colOff>
      <xdr:row>224</xdr:row>
      <xdr:rowOff>52565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C995C7C-91C9-230C-DB91-D3D41D3E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43397" y="34345330"/>
          <a:ext cx="1210381" cy="1415401"/>
        </a:xfrm>
        <a:prstGeom prst="rect">
          <a:avLst/>
        </a:prstGeom>
      </xdr:spPr>
    </xdr:pic>
    <xdr:clientData/>
  </xdr:twoCellAnchor>
  <xdr:twoCellAnchor editAs="oneCell">
    <xdr:from>
      <xdr:col>8</xdr:col>
      <xdr:colOff>668868</xdr:colOff>
      <xdr:row>237</xdr:row>
      <xdr:rowOff>20474</xdr:rowOff>
    </xdr:from>
    <xdr:to>
      <xdr:col>10</xdr:col>
      <xdr:colOff>155222</xdr:colOff>
      <xdr:row>242</xdr:row>
      <xdr:rowOff>55685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537D048-D9EE-A6D0-7BDB-D265B2EF2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465257" y="36490641"/>
          <a:ext cx="1334909" cy="987711"/>
        </a:xfrm>
        <a:prstGeom prst="rect">
          <a:avLst/>
        </a:prstGeom>
      </xdr:spPr>
    </xdr:pic>
    <xdr:clientData/>
  </xdr:twoCellAnchor>
  <xdr:twoCellAnchor editAs="oneCell">
    <xdr:from>
      <xdr:col>7</xdr:col>
      <xdr:colOff>307812</xdr:colOff>
      <xdr:row>234</xdr:row>
      <xdr:rowOff>113384</xdr:rowOff>
    </xdr:from>
    <xdr:to>
      <xdr:col>8</xdr:col>
      <xdr:colOff>572746</xdr:colOff>
      <xdr:row>242</xdr:row>
      <xdr:rowOff>55120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A48F95-1010-1E6C-2561-5521CAA71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54606" y="22289825"/>
          <a:ext cx="1217434" cy="1456212"/>
        </a:xfrm>
        <a:prstGeom prst="rect">
          <a:avLst/>
        </a:prstGeom>
      </xdr:spPr>
    </xdr:pic>
    <xdr:clientData/>
  </xdr:twoCellAnchor>
  <xdr:twoCellAnchor editAs="oneCell">
    <xdr:from>
      <xdr:col>9</xdr:col>
      <xdr:colOff>100541</xdr:colOff>
      <xdr:row>336</xdr:row>
      <xdr:rowOff>2215</xdr:rowOff>
    </xdr:from>
    <xdr:to>
      <xdr:col>10</xdr:col>
      <xdr:colOff>358422</xdr:colOff>
      <xdr:row>341</xdr:row>
      <xdr:rowOff>23750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74894BF-4202-201F-EB29-54342A9C2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80097" y="33043382"/>
          <a:ext cx="1313744" cy="974036"/>
        </a:xfrm>
        <a:prstGeom prst="rect">
          <a:avLst/>
        </a:prstGeom>
      </xdr:spPr>
    </xdr:pic>
    <xdr:clientData/>
  </xdr:twoCellAnchor>
  <xdr:twoCellAnchor editAs="oneCell">
    <xdr:from>
      <xdr:col>7</xdr:col>
      <xdr:colOff>338666</xdr:colOff>
      <xdr:row>334</xdr:row>
      <xdr:rowOff>40652</xdr:rowOff>
    </xdr:from>
    <xdr:to>
      <xdr:col>8</xdr:col>
      <xdr:colOff>682977</xdr:colOff>
      <xdr:row>341</xdr:row>
      <xdr:rowOff>35566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B8D2F9-CAA3-33DB-5823-F336D194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182555" y="32700819"/>
          <a:ext cx="1287286" cy="1328414"/>
        </a:xfrm>
        <a:prstGeom prst="rect">
          <a:avLst/>
        </a:prstGeom>
      </xdr:spPr>
    </xdr:pic>
    <xdr:clientData/>
  </xdr:twoCellAnchor>
  <xdr:twoCellAnchor editAs="oneCell">
    <xdr:from>
      <xdr:col>9</xdr:col>
      <xdr:colOff>33160</xdr:colOff>
      <xdr:row>327</xdr:row>
      <xdr:rowOff>73731</xdr:rowOff>
    </xdr:from>
    <xdr:to>
      <xdr:col>10</xdr:col>
      <xdr:colOff>246071</xdr:colOff>
      <xdr:row>332</xdr:row>
      <xdr:rowOff>77791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60A34D2-F0A8-8147-2F7E-8E75D36F7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12716" y="31400398"/>
          <a:ext cx="1278299" cy="956560"/>
        </a:xfrm>
        <a:prstGeom prst="rect">
          <a:avLst/>
        </a:prstGeom>
      </xdr:spPr>
    </xdr:pic>
    <xdr:clientData/>
  </xdr:twoCellAnchor>
  <xdr:twoCellAnchor editAs="oneCell">
    <xdr:from>
      <xdr:col>7</xdr:col>
      <xdr:colOff>298098</xdr:colOff>
      <xdr:row>326</xdr:row>
      <xdr:rowOff>7055</xdr:rowOff>
    </xdr:from>
    <xdr:to>
      <xdr:col>8</xdr:col>
      <xdr:colOff>605723</xdr:colOff>
      <xdr:row>332</xdr:row>
      <xdr:rowOff>54634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C703C3-E017-7984-0DB4-A739B375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41987" y="31143222"/>
          <a:ext cx="1250600" cy="1190580"/>
        </a:xfrm>
        <a:prstGeom prst="rect">
          <a:avLst/>
        </a:prstGeom>
      </xdr:spPr>
    </xdr:pic>
    <xdr:clientData/>
  </xdr:twoCellAnchor>
  <xdr:twoCellAnchor editAs="oneCell">
    <xdr:from>
      <xdr:col>10</xdr:col>
      <xdr:colOff>48123</xdr:colOff>
      <xdr:row>131</xdr:row>
      <xdr:rowOff>102824</xdr:rowOff>
    </xdr:from>
    <xdr:to>
      <xdr:col>10</xdr:col>
      <xdr:colOff>644670</xdr:colOff>
      <xdr:row>133</xdr:row>
      <xdr:rowOff>188023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20E4A50-9535-0773-6141-7F11D5186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692652" y="2710059"/>
          <a:ext cx="590197" cy="46414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762002</xdr:colOff>
      <xdr:row>308</xdr:row>
      <xdr:rowOff>63500</xdr:rowOff>
    </xdr:from>
    <xdr:to>
      <xdr:col>10</xdr:col>
      <xdr:colOff>324503</xdr:colOff>
      <xdr:row>313</xdr:row>
      <xdr:rowOff>130175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9230975-8475-14E5-59B9-01F725821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540752" y="26066750"/>
          <a:ext cx="1414584" cy="10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296334</xdr:colOff>
      <xdr:row>307</xdr:row>
      <xdr:rowOff>169333</xdr:rowOff>
    </xdr:from>
    <xdr:to>
      <xdr:col>8</xdr:col>
      <xdr:colOff>586154</xdr:colOff>
      <xdr:row>314</xdr:row>
      <xdr:rowOff>17552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FD957F-1FAB-390B-0C0B-79A4C10D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122584" y="25982083"/>
          <a:ext cx="1242320" cy="1181719"/>
        </a:xfrm>
        <a:prstGeom prst="rect">
          <a:avLst/>
        </a:prstGeom>
      </xdr:spPr>
    </xdr:pic>
    <xdr:clientData/>
  </xdr:twoCellAnchor>
  <xdr:twoCellAnchor editAs="oneCell">
    <xdr:from>
      <xdr:col>9</xdr:col>
      <xdr:colOff>32016</xdr:colOff>
      <xdr:row>345</xdr:row>
      <xdr:rowOff>0</xdr:rowOff>
    </xdr:from>
    <xdr:to>
      <xdr:col>10</xdr:col>
      <xdr:colOff>321588</xdr:colOff>
      <xdr:row>350</xdr:row>
      <xdr:rowOff>40603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8DB34C9-2DEA-BE1D-C013-403D1FF8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15722" y="43321941"/>
          <a:ext cx="1347781" cy="993102"/>
        </a:xfrm>
        <a:prstGeom prst="rect">
          <a:avLst/>
        </a:prstGeom>
      </xdr:spPr>
    </xdr:pic>
    <xdr:clientData/>
  </xdr:twoCellAnchor>
  <xdr:twoCellAnchor editAs="oneCell">
    <xdr:from>
      <xdr:col>7</xdr:col>
      <xdr:colOff>336177</xdr:colOff>
      <xdr:row>343</xdr:row>
      <xdr:rowOff>5174</xdr:rowOff>
    </xdr:from>
    <xdr:to>
      <xdr:col>8</xdr:col>
      <xdr:colOff>627530</xdr:colOff>
      <xdr:row>350</xdr:row>
      <xdr:rowOff>57529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1684043-0A11-AFD1-42F9-A381492D0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182971" y="42946115"/>
          <a:ext cx="1243853" cy="1385855"/>
        </a:xfrm>
        <a:prstGeom prst="rect">
          <a:avLst/>
        </a:prstGeom>
      </xdr:spPr>
    </xdr:pic>
    <xdr:clientData/>
  </xdr:twoCellAnchor>
  <xdr:twoCellAnchor editAs="oneCell">
    <xdr:from>
      <xdr:col>9</xdr:col>
      <xdr:colOff>7526</xdr:colOff>
      <xdr:row>354</xdr:row>
      <xdr:rowOff>45336</xdr:rowOff>
    </xdr:from>
    <xdr:to>
      <xdr:col>10</xdr:col>
      <xdr:colOff>300595</xdr:colOff>
      <xdr:row>359</xdr:row>
      <xdr:rowOff>54348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E959790-554B-AFD1-2AD8-973F0C9D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91232" y="45081777"/>
          <a:ext cx="1357628" cy="951987"/>
        </a:xfrm>
        <a:prstGeom prst="rect">
          <a:avLst/>
        </a:prstGeom>
      </xdr:spPr>
    </xdr:pic>
    <xdr:clientData/>
  </xdr:twoCellAnchor>
  <xdr:twoCellAnchor editAs="oneCell">
    <xdr:from>
      <xdr:col>7</xdr:col>
      <xdr:colOff>306563</xdr:colOff>
      <xdr:row>351</xdr:row>
      <xdr:rowOff>90160</xdr:rowOff>
    </xdr:from>
    <xdr:to>
      <xdr:col>8</xdr:col>
      <xdr:colOff>705971</xdr:colOff>
      <xdr:row>359</xdr:row>
      <xdr:rowOff>35112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8DB66EE-20F4-4B8B-C973-C7E2F025D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153357" y="44555101"/>
          <a:ext cx="1351908" cy="1459427"/>
        </a:xfrm>
        <a:prstGeom prst="rect">
          <a:avLst/>
        </a:prstGeom>
      </xdr:spPr>
    </xdr:pic>
    <xdr:clientData/>
  </xdr:twoCellAnchor>
  <xdr:twoCellAnchor editAs="oneCell">
    <xdr:from>
      <xdr:col>7</xdr:col>
      <xdr:colOff>246530</xdr:colOff>
      <xdr:row>360</xdr:row>
      <xdr:rowOff>145675</xdr:rowOff>
    </xdr:from>
    <xdr:to>
      <xdr:col>8</xdr:col>
      <xdr:colOff>643386</xdr:colOff>
      <xdr:row>367</xdr:row>
      <xdr:rowOff>167881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EB0E3D6-7526-3BD1-7C44-27D67150A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093324" y="46325116"/>
          <a:ext cx="1346181" cy="1346181"/>
        </a:xfrm>
        <a:prstGeom prst="rect">
          <a:avLst/>
        </a:prstGeom>
      </xdr:spPr>
    </xdr:pic>
    <xdr:clientData/>
  </xdr:twoCellAnchor>
  <xdr:twoCellAnchor editAs="oneCell">
    <xdr:from>
      <xdr:col>9</xdr:col>
      <xdr:colOff>33079</xdr:colOff>
      <xdr:row>362</xdr:row>
      <xdr:rowOff>173009</xdr:rowOff>
    </xdr:from>
    <xdr:to>
      <xdr:col>10</xdr:col>
      <xdr:colOff>347381</xdr:colOff>
      <xdr:row>368</xdr:row>
      <xdr:rowOff>36480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D3C765A-7028-4FE8-2513-5C03D7EF0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16785" y="46733450"/>
          <a:ext cx="1378861" cy="1003296"/>
        </a:xfrm>
        <a:prstGeom prst="rect">
          <a:avLst/>
        </a:prstGeom>
      </xdr:spPr>
    </xdr:pic>
    <xdr:clientData/>
  </xdr:twoCellAnchor>
  <xdr:twoCellAnchor editAs="oneCell">
    <xdr:from>
      <xdr:col>9</xdr:col>
      <xdr:colOff>31057</xdr:colOff>
      <xdr:row>371</xdr:row>
      <xdr:rowOff>128563</xdr:rowOff>
    </xdr:from>
    <xdr:to>
      <xdr:col>10</xdr:col>
      <xdr:colOff>457688</xdr:colOff>
      <xdr:row>377</xdr:row>
      <xdr:rowOff>112061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9B033C6-AD84-7943-482C-66BC5B4B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14763" y="48403504"/>
          <a:ext cx="1491190" cy="1126497"/>
        </a:xfrm>
        <a:prstGeom prst="rect">
          <a:avLst/>
        </a:prstGeom>
      </xdr:spPr>
    </xdr:pic>
    <xdr:clientData/>
  </xdr:twoCellAnchor>
  <xdr:twoCellAnchor editAs="oneCell">
    <xdr:from>
      <xdr:col>7</xdr:col>
      <xdr:colOff>268940</xdr:colOff>
      <xdr:row>369</xdr:row>
      <xdr:rowOff>68055</xdr:rowOff>
    </xdr:from>
    <xdr:to>
      <xdr:col>8</xdr:col>
      <xdr:colOff>683582</xdr:colOff>
      <xdr:row>377</xdr:row>
      <xdr:rowOff>73586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136629-7029-61F9-06E9-D40BF9EC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115734" y="47961996"/>
          <a:ext cx="1357617" cy="1523180"/>
        </a:xfrm>
        <a:prstGeom prst="rect">
          <a:avLst/>
        </a:prstGeom>
      </xdr:spPr>
    </xdr:pic>
    <xdr:clientData/>
  </xdr:twoCellAnchor>
  <xdr:twoCellAnchor editAs="oneCell">
    <xdr:from>
      <xdr:col>9</xdr:col>
      <xdr:colOff>1274</xdr:colOff>
      <xdr:row>380</xdr:row>
      <xdr:rowOff>39541</xdr:rowOff>
    </xdr:from>
    <xdr:to>
      <xdr:col>10</xdr:col>
      <xdr:colOff>491278</xdr:colOff>
      <xdr:row>385</xdr:row>
      <xdr:rowOff>168087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F45908B-C60C-C1CE-02C4-B2C01A66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584980" y="50028982"/>
          <a:ext cx="1554563" cy="1081047"/>
        </a:xfrm>
        <a:prstGeom prst="rect">
          <a:avLst/>
        </a:prstGeom>
      </xdr:spPr>
    </xdr:pic>
    <xdr:clientData/>
  </xdr:twoCellAnchor>
  <xdr:twoCellAnchor editAs="oneCell">
    <xdr:from>
      <xdr:col>7</xdr:col>
      <xdr:colOff>360829</xdr:colOff>
      <xdr:row>378</xdr:row>
      <xdr:rowOff>100852</xdr:rowOff>
    </xdr:from>
    <xdr:to>
      <xdr:col>9</xdr:col>
      <xdr:colOff>922</xdr:colOff>
      <xdr:row>386</xdr:row>
      <xdr:rowOff>39605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22A293C-F3A8-1699-DA62-7449559F9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207623" y="49709293"/>
          <a:ext cx="1377005" cy="1462753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313764</xdr:colOff>
      <xdr:row>388</xdr:row>
      <xdr:rowOff>89733</xdr:rowOff>
    </xdr:from>
    <xdr:to>
      <xdr:col>8</xdr:col>
      <xdr:colOff>759757</xdr:colOff>
      <xdr:row>395</xdr:row>
      <xdr:rowOff>34931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729C2F0-0D16-0CFF-B3DB-94BC4C63C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160558" y="74082174"/>
          <a:ext cx="1398493" cy="1278698"/>
        </a:xfrm>
        <a:prstGeom prst="rect">
          <a:avLst/>
        </a:prstGeom>
      </xdr:spPr>
    </xdr:pic>
    <xdr:clientData/>
  </xdr:twoCellAnchor>
  <xdr:twoCellAnchor editAs="oneCell">
    <xdr:from>
      <xdr:col>9</xdr:col>
      <xdr:colOff>59766</xdr:colOff>
      <xdr:row>389</xdr:row>
      <xdr:rowOff>90056</xdr:rowOff>
    </xdr:from>
    <xdr:to>
      <xdr:col>10</xdr:col>
      <xdr:colOff>550584</xdr:colOff>
      <xdr:row>395</xdr:row>
      <xdr:rowOff>15241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8D68087-423F-76F7-D95B-E5C716D0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636001" y="52809997"/>
          <a:ext cx="1549587" cy="1084247"/>
        </a:xfrm>
        <a:prstGeom prst="rect">
          <a:avLst/>
        </a:prstGeom>
      </xdr:spPr>
    </xdr:pic>
    <xdr:clientData/>
  </xdr:twoCellAnchor>
  <xdr:twoCellAnchor editAs="oneCell">
    <xdr:from>
      <xdr:col>9</xdr:col>
      <xdr:colOff>67236</xdr:colOff>
      <xdr:row>398</xdr:row>
      <xdr:rowOff>22412</xdr:rowOff>
    </xdr:from>
    <xdr:to>
      <xdr:col>10</xdr:col>
      <xdr:colOff>491217</xdr:colOff>
      <xdr:row>403</xdr:row>
      <xdr:rowOff>156882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00CFF2C-38A8-5338-D63D-1E2A0341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643471" y="54490471"/>
          <a:ext cx="1485925" cy="1105647"/>
        </a:xfrm>
        <a:prstGeom prst="rect">
          <a:avLst/>
        </a:prstGeom>
      </xdr:spPr>
    </xdr:pic>
    <xdr:clientData/>
  </xdr:twoCellAnchor>
  <xdr:twoCellAnchor editAs="oneCell">
    <xdr:from>
      <xdr:col>7</xdr:col>
      <xdr:colOff>313765</xdr:colOff>
      <xdr:row>397</xdr:row>
      <xdr:rowOff>179294</xdr:rowOff>
    </xdr:from>
    <xdr:to>
      <xdr:col>8</xdr:col>
      <xdr:colOff>739588</xdr:colOff>
      <xdr:row>403</xdr:row>
      <xdr:rowOff>171148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28C501C-AE92-E3A0-2B3A-C8EBC16A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149353" y="54453118"/>
          <a:ext cx="1382059" cy="1157266"/>
        </a:xfrm>
        <a:prstGeom prst="rect">
          <a:avLst/>
        </a:prstGeom>
      </xdr:spPr>
    </xdr:pic>
    <xdr:clientData/>
  </xdr:twoCellAnchor>
  <xdr:twoCellAnchor editAs="oneCell">
    <xdr:from>
      <xdr:col>7</xdr:col>
      <xdr:colOff>424704</xdr:colOff>
      <xdr:row>406</xdr:row>
      <xdr:rowOff>85351</xdr:rowOff>
    </xdr:from>
    <xdr:to>
      <xdr:col>8</xdr:col>
      <xdr:colOff>662640</xdr:colOff>
      <xdr:row>413</xdr:row>
      <xdr:rowOff>18335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0C193B6-4F01-5FCC-53ED-658935C6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260292" y="56107292"/>
          <a:ext cx="1187822" cy="1292632"/>
        </a:xfrm>
        <a:prstGeom prst="rect">
          <a:avLst/>
        </a:prstGeom>
      </xdr:spPr>
    </xdr:pic>
    <xdr:clientData/>
  </xdr:twoCellAnchor>
  <xdr:twoCellAnchor editAs="oneCell">
    <xdr:from>
      <xdr:col>9</xdr:col>
      <xdr:colOff>92821</xdr:colOff>
      <xdr:row>407</xdr:row>
      <xdr:rowOff>186614</xdr:rowOff>
    </xdr:from>
    <xdr:to>
      <xdr:col>10</xdr:col>
      <xdr:colOff>361762</xdr:colOff>
      <xdr:row>412</xdr:row>
      <xdr:rowOff>186766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0794D6F-F7C9-D3CB-8518-51316C32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669056" y="56402790"/>
          <a:ext cx="1337235" cy="971328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160057</xdr:colOff>
      <xdr:row>139</xdr:row>
      <xdr:rowOff>178173</xdr:rowOff>
    </xdr:from>
    <xdr:to>
      <xdr:col>10</xdr:col>
      <xdr:colOff>702272</xdr:colOff>
      <xdr:row>142</xdr:row>
      <xdr:rowOff>111044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9F039B9-DFAA-D6B2-3BFB-831653C8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804586" y="4339291"/>
          <a:ext cx="535865" cy="515577"/>
        </a:xfrm>
        <a:prstGeom prst="rect">
          <a:avLst/>
        </a:prstGeom>
      </xdr:spPr>
    </xdr:pic>
    <xdr:clientData/>
  </xdr:twoCellAnchor>
  <xdr:twoCellAnchor editAs="oneCell">
    <xdr:from>
      <xdr:col>7</xdr:col>
      <xdr:colOff>219262</xdr:colOff>
      <xdr:row>414</xdr:row>
      <xdr:rowOff>190037</xdr:rowOff>
    </xdr:from>
    <xdr:to>
      <xdr:col>8</xdr:col>
      <xdr:colOff>569819</xdr:colOff>
      <xdr:row>422</xdr:row>
      <xdr:rowOff>20500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6A45DC2-51BB-91A0-2C71-C696CCA1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054850" y="57765861"/>
          <a:ext cx="1297268" cy="1384345"/>
        </a:xfrm>
        <a:prstGeom prst="rect">
          <a:avLst/>
        </a:prstGeom>
      </xdr:spPr>
    </xdr:pic>
    <xdr:clientData/>
  </xdr:twoCellAnchor>
  <xdr:twoCellAnchor editAs="oneCell">
    <xdr:from>
      <xdr:col>8</xdr:col>
      <xdr:colOff>627528</xdr:colOff>
      <xdr:row>416</xdr:row>
      <xdr:rowOff>107521</xdr:rowOff>
    </xdr:from>
    <xdr:to>
      <xdr:col>10</xdr:col>
      <xdr:colOff>212911</xdr:colOff>
      <xdr:row>422</xdr:row>
      <xdr:rowOff>22651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C2B890E-CBA1-6DC7-10C9-A13568CF4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426822" y="56954962"/>
          <a:ext cx="1434354" cy="1058130"/>
        </a:xfrm>
        <a:prstGeom prst="rect">
          <a:avLst/>
        </a:prstGeom>
      </xdr:spPr>
    </xdr:pic>
    <xdr:clientData/>
  </xdr:twoCellAnchor>
  <xdr:twoCellAnchor editAs="oneCell">
    <xdr:from>
      <xdr:col>7</xdr:col>
      <xdr:colOff>155153</xdr:colOff>
      <xdr:row>424</xdr:row>
      <xdr:rowOff>185325</xdr:rowOff>
    </xdr:from>
    <xdr:to>
      <xdr:col>8</xdr:col>
      <xdr:colOff>473821</xdr:colOff>
      <xdr:row>431</xdr:row>
      <xdr:rowOff>74706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BE0CA40-1773-EDF4-EE56-1A56C16A6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990741" y="59703501"/>
          <a:ext cx="1274904" cy="1249028"/>
        </a:xfrm>
        <a:prstGeom prst="rect">
          <a:avLst/>
        </a:prstGeom>
      </xdr:spPr>
    </xdr:pic>
    <xdr:clientData/>
  </xdr:twoCellAnchor>
  <xdr:twoCellAnchor editAs="oneCell">
    <xdr:from>
      <xdr:col>8</xdr:col>
      <xdr:colOff>550583</xdr:colOff>
      <xdr:row>425</xdr:row>
      <xdr:rowOff>52293</xdr:rowOff>
    </xdr:from>
    <xdr:to>
      <xdr:col>10</xdr:col>
      <xdr:colOff>245775</xdr:colOff>
      <xdr:row>431</xdr:row>
      <xdr:rowOff>16002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58D95B2-4063-146E-DA27-252B8D682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342407" y="59764705"/>
          <a:ext cx="1547897" cy="1122771"/>
        </a:xfrm>
        <a:prstGeom prst="rect">
          <a:avLst/>
        </a:prstGeom>
      </xdr:spPr>
    </xdr:pic>
    <xdr:clientData/>
  </xdr:twoCellAnchor>
  <xdr:twoCellAnchor editAs="oneCell">
    <xdr:from>
      <xdr:col>40</xdr:col>
      <xdr:colOff>357704</xdr:colOff>
      <xdr:row>396</xdr:row>
      <xdr:rowOff>168088</xdr:rowOff>
    </xdr:from>
    <xdr:to>
      <xdr:col>42</xdr:col>
      <xdr:colOff>396331</xdr:colOff>
      <xdr:row>403</xdr:row>
      <xdr:rowOff>92822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1E3AE52-0628-EF9D-8DD7-066DCAF28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3504704" y="53026235"/>
          <a:ext cx="1671511" cy="1255059"/>
        </a:xfrm>
        <a:prstGeom prst="rect">
          <a:avLst/>
        </a:prstGeom>
      </xdr:spPr>
    </xdr:pic>
    <xdr:clientData/>
  </xdr:twoCellAnchor>
  <xdr:twoCellAnchor editAs="oneCell">
    <xdr:from>
      <xdr:col>38</xdr:col>
      <xdr:colOff>235323</xdr:colOff>
      <xdr:row>395</xdr:row>
      <xdr:rowOff>44824</xdr:rowOff>
    </xdr:from>
    <xdr:to>
      <xdr:col>40</xdr:col>
      <xdr:colOff>302403</xdr:colOff>
      <xdr:row>402</xdr:row>
      <xdr:rowOff>187905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BADBC30-77B6-BF0C-99F5-4B07EBE3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1880735" y="52712471"/>
          <a:ext cx="1562318" cy="1476581"/>
        </a:xfrm>
        <a:prstGeom prst="rect">
          <a:avLst/>
        </a:prstGeom>
      </xdr:spPr>
    </xdr:pic>
    <xdr:clientData/>
  </xdr:twoCellAnchor>
  <xdr:twoCellAnchor editAs="oneCell">
    <xdr:from>
      <xdr:col>32</xdr:col>
      <xdr:colOff>510617</xdr:colOff>
      <xdr:row>396</xdr:row>
      <xdr:rowOff>114989</xdr:rowOff>
    </xdr:from>
    <xdr:to>
      <xdr:col>34</xdr:col>
      <xdr:colOff>418354</xdr:colOff>
      <xdr:row>403</xdr:row>
      <xdr:rowOff>15212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C6A4497-0FCB-7FBC-2F34-12C09A1C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8159264" y="54007813"/>
          <a:ext cx="1670796" cy="1259870"/>
        </a:xfrm>
        <a:prstGeom prst="rect">
          <a:avLst/>
        </a:prstGeom>
      </xdr:spPr>
    </xdr:pic>
    <xdr:clientData/>
  </xdr:twoCellAnchor>
  <xdr:twoCellAnchor editAs="oneCell">
    <xdr:from>
      <xdr:col>30</xdr:col>
      <xdr:colOff>515472</xdr:colOff>
      <xdr:row>396</xdr:row>
      <xdr:rowOff>95998</xdr:rowOff>
    </xdr:from>
    <xdr:to>
      <xdr:col>32</xdr:col>
      <xdr:colOff>379321</xdr:colOff>
      <xdr:row>402</xdr:row>
      <xdr:rowOff>110005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1334E25-2563-7FA0-8AFC-AEC43F70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6684943" y="53988822"/>
          <a:ext cx="1336675" cy="1176243"/>
        </a:xfrm>
        <a:prstGeom prst="rect">
          <a:avLst/>
        </a:prstGeom>
      </xdr:spPr>
    </xdr:pic>
    <xdr:clientData/>
  </xdr:twoCellAnchor>
  <xdr:twoCellAnchor>
    <xdr:from>
      <xdr:col>44</xdr:col>
      <xdr:colOff>337110</xdr:colOff>
      <xdr:row>378</xdr:row>
      <xdr:rowOff>165100</xdr:rowOff>
    </xdr:from>
    <xdr:to>
      <xdr:col>54</xdr:col>
      <xdr:colOff>297703</xdr:colOff>
      <xdr:row>396</xdr:row>
      <xdr:rowOff>134470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4B22E8E-BAB3-7A54-C733-2A7781236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53573</xdr:colOff>
      <xdr:row>63</xdr:row>
      <xdr:rowOff>19049</xdr:rowOff>
    </xdr:from>
    <xdr:ext cx="457321" cy="339038"/>
    <xdr:pic>
      <xdr:nvPicPr>
        <xdr:cNvPr id="15" name="Picture 14">
          <a:extLst>
            <a:ext uri="{FF2B5EF4-FFF2-40B4-BE49-F238E27FC236}">
              <a16:creationId xmlns:a16="http://schemas.microsoft.com/office/drawing/2014/main" id="{3BBC6B24-DA8F-4254-8238-57631B75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4093388">
          <a:off x="3838048" y="1536824"/>
          <a:ext cx="339038" cy="457321"/>
        </a:xfrm>
        <a:prstGeom prst="rect">
          <a:avLst/>
        </a:prstGeom>
      </xdr:spPr>
    </xdr:pic>
    <xdr:clientData/>
  </xdr:oneCellAnchor>
  <xdr:oneCellAnchor>
    <xdr:from>
      <xdr:col>4</xdr:col>
      <xdr:colOff>114860</xdr:colOff>
      <xdr:row>66</xdr:row>
      <xdr:rowOff>15875</xdr:rowOff>
    </xdr:from>
    <xdr:ext cx="513789" cy="481063"/>
    <xdr:pic>
      <xdr:nvPicPr>
        <xdr:cNvPr id="16" name="Picture 15">
          <a:extLst>
            <a:ext uri="{FF2B5EF4-FFF2-40B4-BE49-F238E27FC236}">
              <a16:creationId xmlns:a16="http://schemas.microsoft.com/office/drawing/2014/main" id="{CD76FBAC-EB7F-436F-A56A-8FAF33022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0193" y="2164292"/>
          <a:ext cx="513789" cy="481063"/>
        </a:xfrm>
        <a:prstGeom prst="rect">
          <a:avLst/>
        </a:prstGeom>
      </xdr:spPr>
    </xdr:pic>
    <xdr:clientData/>
  </xdr:oneCellAnchor>
  <xdr:oneCellAnchor>
    <xdr:from>
      <xdr:col>4</xdr:col>
      <xdr:colOff>131308</xdr:colOff>
      <xdr:row>64</xdr:row>
      <xdr:rowOff>131509</xdr:rowOff>
    </xdr:from>
    <xdr:ext cx="589150" cy="419263"/>
    <xdr:pic>
      <xdr:nvPicPr>
        <xdr:cNvPr id="17" name="Picture 16">
          <a:extLst>
            <a:ext uri="{FF2B5EF4-FFF2-40B4-BE49-F238E27FC236}">
              <a16:creationId xmlns:a16="http://schemas.microsoft.com/office/drawing/2014/main" id="{CB9E4554-A415-4ECB-B3A2-79FC0C5A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819016">
          <a:off x="3941584" y="1813983"/>
          <a:ext cx="419263" cy="589150"/>
        </a:xfrm>
        <a:prstGeom prst="rect">
          <a:avLst/>
        </a:prstGeom>
      </xdr:spPr>
    </xdr:pic>
    <xdr:clientData/>
  </xdr:oneCellAnchor>
  <xdr:oneCellAnchor>
    <xdr:from>
      <xdr:col>4</xdr:col>
      <xdr:colOff>857250</xdr:colOff>
      <xdr:row>63</xdr:row>
      <xdr:rowOff>57150</xdr:rowOff>
    </xdr:from>
    <xdr:ext cx="624738" cy="568506"/>
    <xdr:pic>
      <xdr:nvPicPr>
        <xdr:cNvPr id="18" name="Picture 17">
          <a:extLst>
            <a:ext uri="{FF2B5EF4-FFF2-40B4-BE49-F238E27FC236}">
              <a16:creationId xmlns:a16="http://schemas.microsoft.com/office/drawing/2014/main" id="{44962122-508C-4CBA-B9A7-EFCFE89A7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2583" y="1634067"/>
          <a:ext cx="624738" cy="568506"/>
        </a:xfrm>
        <a:prstGeom prst="rect">
          <a:avLst/>
        </a:prstGeom>
      </xdr:spPr>
    </xdr:pic>
    <xdr:clientData/>
  </xdr:oneCellAnchor>
  <xdr:oneCellAnchor>
    <xdr:from>
      <xdr:col>4</xdr:col>
      <xdr:colOff>836056</xdr:colOff>
      <xdr:row>66</xdr:row>
      <xdr:rowOff>152400</xdr:rowOff>
    </xdr:from>
    <xdr:ext cx="494270" cy="397113"/>
    <xdr:pic>
      <xdr:nvPicPr>
        <xdr:cNvPr id="19" name="Picture 18">
          <a:extLst>
            <a:ext uri="{FF2B5EF4-FFF2-40B4-BE49-F238E27FC236}">
              <a16:creationId xmlns:a16="http://schemas.microsoft.com/office/drawing/2014/main" id="{9084DEC2-DC9A-4D1A-8D88-752368603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61389" y="2300817"/>
          <a:ext cx="494270" cy="397113"/>
        </a:xfrm>
        <a:prstGeom prst="rect">
          <a:avLst/>
        </a:prstGeom>
      </xdr:spPr>
    </xdr:pic>
    <xdr:clientData/>
  </xdr:oneCellAnchor>
  <xdr:oneCellAnchor>
    <xdr:from>
      <xdr:col>9</xdr:col>
      <xdr:colOff>81030</xdr:colOff>
      <xdr:row>90</xdr:row>
      <xdr:rowOff>37747</xdr:rowOff>
    </xdr:from>
    <xdr:ext cx="1600660" cy="1145924"/>
    <xdr:pic>
      <xdr:nvPicPr>
        <xdr:cNvPr id="22" name="Picture 21">
          <a:extLst>
            <a:ext uri="{FF2B5EF4-FFF2-40B4-BE49-F238E27FC236}">
              <a16:creationId xmlns:a16="http://schemas.microsoft.com/office/drawing/2014/main" id="{BD9F9496-4A66-468A-A295-94AFF5EAC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2947" y="6811080"/>
          <a:ext cx="1600660" cy="1145924"/>
        </a:xfrm>
        <a:prstGeom prst="rect">
          <a:avLst/>
        </a:prstGeom>
      </xdr:spPr>
    </xdr:pic>
    <xdr:clientData/>
  </xdr:oneCellAnchor>
  <xdr:oneCellAnchor>
    <xdr:from>
      <xdr:col>7</xdr:col>
      <xdr:colOff>239182</xdr:colOff>
      <xdr:row>88</xdr:row>
      <xdr:rowOff>146936</xdr:rowOff>
    </xdr:from>
    <xdr:ext cx="1333502" cy="1430392"/>
    <xdr:pic>
      <xdr:nvPicPr>
        <xdr:cNvPr id="23" name="Picture 22">
          <a:extLst>
            <a:ext uri="{FF2B5EF4-FFF2-40B4-BE49-F238E27FC236}">
              <a16:creationId xmlns:a16="http://schemas.microsoft.com/office/drawing/2014/main" id="{4A4C589B-6A26-4C91-8892-F704E58EE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24182" y="6539269"/>
          <a:ext cx="1333502" cy="1430392"/>
        </a:xfrm>
        <a:prstGeom prst="rect">
          <a:avLst/>
        </a:prstGeom>
      </xdr:spPr>
    </xdr:pic>
    <xdr:clientData/>
  </xdr:oneCellAnchor>
  <xdr:oneCellAnchor>
    <xdr:from>
      <xdr:col>7</xdr:col>
      <xdr:colOff>323850</xdr:colOff>
      <xdr:row>97</xdr:row>
      <xdr:rowOff>136283</xdr:rowOff>
    </xdr:from>
    <xdr:ext cx="1288345" cy="1441554"/>
    <xdr:pic>
      <xdr:nvPicPr>
        <xdr:cNvPr id="24" name="Picture 23">
          <a:extLst>
            <a:ext uri="{FF2B5EF4-FFF2-40B4-BE49-F238E27FC236}">
              <a16:creationId xmlns:a16="http://schemas.microsoft.com/office/drawing/2014/main" id="{ABD518AD-902E-46F5-A340-84997D5FD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8850" y="8243116"/>
          <a:ext cx="1288345" cy="1441554"/>
        </a:xfrm>
        <a:prstGeom prst="rect">
          <a:avLst/>
        </a:prstGeom>
      </xdr:spPr>
    </xdr:pic>
    <xdr:clientData/>
  </xdr:oneCellAnchor>
  <xdr:oneCellAnchor>
    <xdr:from>
      <xdr:col>9</xdr:col>
      <xdr:colOff>76905</xdr:colOff>
      <xdr:row>99</xdr:row>
      <xdr:rowOff>74778</xdr:rowOff>
    </xdr:from>
    <xdr:ext cx="1623482" cy="1125743"/>
    <xdr:pic>
      <xdr:nvPicPr>
        <xdr:cNvPr id="25" name="Picture 24">
          <a:extLst>
            <a:ext uri="{FF2B5EF4-FFF2-40B4-BE49-F238E27FC236}">
              <a16:creationId xmlns:a16="http://schemas.microsoft.com/office/drawing/2014/main" id="{BB2A0BC6-5191-433C-A495-2F1E7FC7D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38822" y="8562611"/>
          <a:ext cx="1623482" cy="1125743"/>
        </a:xfrm>
        <a:prstGeom prst="rect">
          <a:avLst/>
        </a:prstGeom>
      </xdr:spPr>
    </xdr:pic>
    <xdr:clientData/>
  </xdr:oneCellAnchor>
  <xdr:oneCellAnchor>
    <xdr:from>
      <xdr:col>9</xdr:col>
      <xdr:colOff>139701</xdr:colOff>
      <xdr:row>107</xdr:row>
      <xdr:rowOff>177551</xdr:rowOff>
    </xdr:from>
    <xdr:ext cx="1580442" cy="1114037"/>
    <xdr:pic>
      <xdr:nvPicPr>
        <xdr:cNvPr id="26" name="Picture 25">
          <a:extLst>
            <a:ext uri="{FF2B5EF4-FFF2-40B4-BE49-F238E27FC236}">
              <a16:creationId xmlns:a16="http://schemas.microsoft.com/office/drawing/2014/main" id="{560856BC-11FC-44DE-AC6A-21015A1B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01618" y="10189384"/>
          <a:ext cx="1580442" cy="1114037"/>
        </a:xfrm>
        <a:prstGeom prst="rect">
          <a:avLst/>
        </a:prstGeom>
      </xdr:spPr>
    </xdr:pic>
    <xdr:clientData/>
  </xdr:oneCellAnchor>
  <xdr:oneCellAnchor>
    <xdr:from>
      <xdr:col>7</xdr:col>
      <xdr:colOff>317499</xdr:colOff>
      <xdr:row>106</xdr:row>
      <xdr:rowOff>189794</xdr:rowOff>
    </xdr:from>
    <xdr:ext cx="1389593" cy="1357706"/>
    <xdr:pic>
      <xdr:nvPicPr>
        <xdr:cNvPr id="27" name="Picture 26">
          <a:extLst>
            <a:ext uri="{FF2B5EF4-FFF2-40B4-BE49-F238E27FC236}">
              <a16:creationId xmlns:a16="http://schemas.microsoft.com/office/drawing/2014/main" id="{027CA207-F854-410E-923F-4D2E1526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02499" y="10011127"/>
          <a:ext cx="1389593" cy="1357706"/>
        </a:xfrm>
        <a:prstGeom prst="rect">
          <a:avLst/>
        </a:prstGeom>
      </xdr:spPr>
    </xdr:pic>
    <xdr:clientData/>
  </xdr:oneCellAnchor>
  <xdr:twoCellAnchor editAs="oneCell">
    <xdr:from>
      <xdr:col>9</xdr:col>
      <xdr:colOff>169333</xdr:colOff>
      <xdr:row>81</xdr:row>
      <xdr:rowOff>42612</xdr:rowOff>
    </xdr:from>
    <xdr:to>
      <xdr:col>12</xdr:col>
      <xdr:colOff>34573</xdr:colOff>
      <xdr:row>87</xdr:row>
      <xdr:rowOff>34132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4673E3-85FA-8D61-441C-4AA5B8E2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41833" y="5334279"/>
          <a:ext cx="1679223" cy="112499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323851</xdr:colOff>
      <xdr:row>79</xdr:row>
      <xdr:rowOff>186620</xdr:rowOff>
    </xdr:from>
    <xdr:to>
      <xdr:col>9</xdr:col>
      <xdr:colOff>61708</xdr:colOff>
      <xdr:row>87</xdr:row>
      <xdr:rowOff>54371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55172-8549-EE49-798C-66722FB8A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907" y="5097287"/>
          <a:ext cx="1318301" cy="1388576"/>
        </a:xfrm>
        <a:prstGeom prst="rect">
          <a:avLst/>
        </a:prstGeom>
      </xdr:spPr>
    </xdr:pic>
    <xdr:clientData/>
  </xdr:twoCellAnchor>
  <xdr:twoCellAnchor editAs="oneCell">
    <xdr:from>
      <xdr:col>9</xdr:col>
      <xdr:colOff>309844</xdr:colOff>
      <xdr:row>117</xdr:row>
      <xdr:rowOff>193115</xdr:rowOff>
    </xdr:from>
    <xdr:to>
      <xdr:col>11</xdr:col>
      <xdr:colOff>536548</xdr:colOff>
      <xdr:row>123</xdr:row>
      <xdr:rowOff>71594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DBA73C-BEFA-AD08-CE7E-E3192934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78609" y="12758644"/>
          <a:ext cx="1451880" cy="1037541"/>
        </a:xfrm>
        <a:prstGeom prst="rect">
          <a:avLst/>
        </a:prstGeom>
      </xdr:spPr>
    </xdr:pic>
    <xdr:clientData/>
  </xdr:twoCellAnchor>
  <xdr:twoCellAnchor editAs="oneCell">
    <xdr:from>
      <xdr:col>7</xdr:col>
      <xdr:colOff>316939</xdr:colOff>
      <xdr:row>116</xdr:row>
      <xdr:rowOff>52786</xdr:rowOff>
    </xdr:from>
    <xdr:to>
      <xdr:col>9</xdr:col>
      <xdr:colOff>204879</xdr:colOff>
      <xdr:row>123</xdr:row>
      <xdr:rowOff>90582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A28FEF-8BB9-058C-9915-708E1980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9410" y="12424080"/>
          <a:ext cx="1461059" cy="1387918"/>
        </a:xfrm>
        <a:prstGeom prst="rect">
          <a:avLst/>
        </a:prstGeom>
      </xdr:spPr>
    </xdr:pic>
    <xdr:clientData/>
  </xdr:twoCellAnchor>
  <xdr:twoCellAnchor editAs="oneCell">
    <xdr:from>
      <xdr:col>9</xdr:col>
      <xdr:colOff>283397</xdr:colOff>
      <xdr:row>126</xdr:row>
      <xdr:rowOff>190888</xdr:rowOff>
    </xdr:from>
    <xdr:to>
      <xdr:col>11</xdr:col>
      <xdr:colOff>570939</xdr:colOff>
      <xdr:row>132</xdr:row>
      <xdr:rowOff>150246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3E0A63-8623-C66C-E689-DD5516FA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2162" y="14504535"/>
          <a:ext cx="1512718" cy="1124770"/>
        </a:xfrm>
        <a:prstGeom prst="rect">
          <a:avLst/>
        </a:prstGeom>
      </xdr:spPr>
    </xdr:pic>
    <xdr:clientData/>
  </xdr:twoCellAnchor>
  <xdr:twoCellAnchor editAs="oneCell">
    <xdr:from>
      <xdr:col>7</xdr:col>
      <xdr:colOff>278467</xdr:colOff>
      <xdr:row>126</xdr:row>
      <xdr:rowOff>83559</xdr:rowOff>
    </xdr:from>
    <xdr:to>
      <xdr:col>9</xdr:col>
      <xdr:colOff>112059</xdr:colOff>
      <xdr:row>132</xdr:row>
      <xdr:rowOff>110938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90BD08-B504-89D7-854A-DB62C4F74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0938" y="14397206"/>
          <a:ext cx="1409886" cy="1192791"/>
        </a:xfrm>
        <a:prstGeom prst="rect">
          <a:avLst/>
        </a:prstGeom>
      </xdr:spPr>
    </xdr:pic>
    <xdr:clientData/>
  </xdr:twoCellAnchor>
  <xdr:twoCellAnchor editAs="oneCell">
    <xdr:from>
      <xdr:col>9</xdr:col>
      <xdr:colOff>203761</xdr:colOff>
      <xdr:row>135</xdr:row>
      <xdr:rowOff>92530</xdr:rowOff>
    </xdr:from>
    <xdr:to>
      <xdr:col>11</xdr:col>
      <xdr:colOff>590177</xdr:colOff>
      <xdr:row>141</xdr:row>
      <xdr:rowOff>110670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7D9D3-C2AC-558C-62CD-EAAC451EB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2526" y="16154295"/>
          <a:ext cx="1611592" cy="1183551"/>
        </a:xfrm>
        <a:prstGeom prst="rect">
          <a:avLst/>
        </a:prstGeom>
      </xdr:spPr>
    </xdr:pic>
    <xdr:clientData/>
  </xdr:twoCellAnchor>
  <xdr:twoCellAnchor editAs="oneCell">
    <xdr:from>
      <xdr:col>7</xdr:col>
      <xdr:colOff>245409</xdr:colOff>
      <xdr:row>134</xdr:row>
      <xdr:rowOff>48605</xdr:rowOff>
    </xdr:from>
    <xdr:to>
      <xdr:col>9</xdr:col>
      <xdr:colOff>112059</xdr:colOff>
      <xdr:row>141</xdr:row>
      <xdr:rowOff>111512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047AFE-7734-D5F4-F2D0-AA11A2582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7880" y="15916134"/>
          <a:ext cx="1442944" cy="1419379"/>
        </a:xfrm>
        <a:prstGeom prst="rect">
          <a:avLst/>
        </a:prstGeom>
      </xdr:spPr>
    </xdr:pic>
    <xdr:clientData/>
  </xdr:twoCellAnchor>
  <xdr:twoCellAnchor editAs="oneCell">
    <xdr:from>
      <xdr:col>9</xdr:col>
      <xdr:colOff>188055</xdr:colOff>
      <xdr:row>144</xdr:row>
      <xdr:rowOff>67236</xdr:rowOff>
    </xdr:from>
    <xdr:to>
      <xdr:col>11</xdr:col>
      <xdr:colOff>569168</xdr:colOff>
      <xdr:row>150</xdr:row>
      <xdr:rowOff>92823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855CB8-349E-074B-4984-EDB5D2AA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56820" y="17877118"/>
          <a:ext cx="1603114" cy="1190999"/>
        </a:xfrm>
        <a:prstGeom prst="rect">
          <a:avLst/>
        </a:prstGeom>
      </xdr:spPr>
    </xdr:pic>
    <xdr:clientData/>
  </xdr:twoCellAnchor>
  <xdr:twoCellAnchor editAs="oneCell">
    <xdr:from>
      <xdr:col>7</xdr:col>
      <xdr:colOff>261470</xdr:colOff>
      <xdr:row>142</xdr:row>
      <xdr:rowOff>150506</xdr:rowOff>
    </xdr:from>
    <xdr:to>
      <xdr:col>9</xdr:col>
      <xdr:colOff>14941</xdr:colOff>
      <xdr:row>150</xdr:row>
      <xdr:rowOff>76046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1C1A23-0CCC-DD0C-F08C-4A888D398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53941" y="17571918"/>
          <a:ext cx="1329765" cy="1479422"/>
        </a:xfrm>
        <a:prstGeom prst="rect">
          <a:avLst/>
        </a:prstGeom>
      </xdr:spPr>
    </xdr:pic>
    <xdr:clientData/>
  </xdr:twoCellAnchor>
  <xdr:twoCellAnchor editAs="oneCell">
    <xdr:from>
      <xdr:col>9</xdr:col>
      <xdr:colOff>187078</xdr:colOff>
      <xdr:row>153</xdr:row>
      <xdr:rowOff>67236</xdr:rowOff>
    </xdr:from>
    <xdr:to>
      <xdr:col>11</xdr:col>
      <xdr:colOff>548094</xdr:colOff>
      <xdr:row>159</xdr:row>
      <xdr:rowOff>23780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275F62-B2C8-39CF-44C6-CC0E1BBFC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55843" y="19625236"/>
          <a:ext cx="1586192" cy="1121956"/>
        </a:xfrm>
        <a:prstGeom prst="rect">
          <a:avLst/>
        </a:prstGeom>
      </xdr:spPr>
    </xdr:pic>
    <xdr:clientData/>
  </xdr:twoCellAnchor>
  <xdr:twoCellAnchor editAs="oneCell">
    <xdr:from>
      <xdr:col>7</xdr:col>
      <xdr:colOff>158081</xdr:colOff>
      <xdr:row>151</xdr:row>
      <xdr:rowOff>93284</xdr:rowOff>
    </xdr:from>
    <xdr:to>
      <xdr:col>9</xdr:col>
      <xdr:colOff>92821</xdr:colOff>
      <xdr:row>159</xdr:row>
      <xdr:rowOff>93192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C7BE97-88F1-E932-F24F-28373CC4E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50552" y="19262813"/>
          <a:ext cx="1507859" cy="1553791"/>
        </a:xfrm>
        <a:prstGeom prst="rect">
          <a:avLst/>
        </a:prstGeom>
      </xdr:spPr>
    </xdr:pic>
    <xdr:clientData/>
  </xdr:twoCellAnchor>
  <xdr:twoCellAnchor editAs="oneCell">
    <xdr:from>
      <xdr:col>9</xdr:col>
      <xdr:colOff>137335</xdr:colOff>
      <xdr:row>162</xdr:row>
      <xdr:rowOff>82176</xdr:rowOff>
    </xdr:from>
    <xdr:to>
      <xdr:col>11</xdr:col>
      <xdr:colOff>415308</xdr:colOff>
      <xdr:row>168</xdr:row>
      <xdr:rowOff>61754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930E69-2307-AFB0-1B17-814E4F0B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6100" y="21388294"/>
          <a:ext cx="1499974" cy="1144989"/>
        </a:xfrm>
        <a:prstGeom prst="rect">
          <a:avLst/>
        </a:prstGeom>
      </xdr:spPr>
    </xdr:pic>
    <xdr:clientData/>
  </xdr:twoCellAnchor>
  <xdr:twoCellAnchor editAs="oneCell">
    <xdr:from>
      <xdr:col>7</xdr:col>
      <xdr:colOff>248297</xdr:colOff>
      <xdr:row>160</xdr:row>
      <xdr:rowOff>58709</xdr:rowOff>
    </xdr:from>
    <xdr:to>
      <xdr:col>9</xdr:col>
      <xdr:colOff>22411</xdr:colOff>
      <xdr:row>168</xdr:row>
      <xdr:rowOff>56481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28B1E4-2656-26AE-9C69-2A40F08CE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40768" y="20976356"/>
          <a:ext cx="1350408" cy="1551654"/>
        </a:xfrm>
        <a:prstGeom prst="rect">
          <a:avLst/>
        </a:prstGeom>
      </xdr:spPr>
    </xdr:pic>
    <xdr:clientData/>
  </xdr:twoCellAnchor>
  <xdr:twoCellAnchor editAs="oneCell">
    <xdr:from>
      <xdr:col>9</xdr:col>
      <xdr:colOff>156881</xdr:colOff>
      <xdr:row>171</xdr:row>
      <xdr:rowOff>177634</xdr:rowOff>
    </xdr:from>
    <xdr:to>
      <xdr:col>11</xdr:col>
      <xdr:colOff>321487</xdr:colOff>
      <xdr:row>177</xdr:row>
      <xdr:rowOff>90694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D792BA-968D-B8B7-0228-5B913AF3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25646" y="23231869"/>
          <a:ext cx="1386607" cy="1078472"/>
        </a:xfrm>
        <a:prstGeom prst="rect">
          <a:avLst/>
        </a:prstGeom>
      </xdr:spPr>
    </xdr:pic>
    <xdr:clientData/>
  </xdr:twoCellAnchor>
  <xdr:twoCellAnchor editAs="oneCell">
    <xdr:from>
      <xdr:col>7</xdr:col>
      <xdr:colOff>268941</xdr:colOff>
      <xdr:row>169</xdr:row>
      <xdr:rowOff>104589</xdr:rowOff>
    </xdr:from>
    <xdr:to>
      <xdr:col>8</xdr:col>
      <xdr:colOff>855027</xdr:colOff>
      <xdr:row>177</xdr:row>
      <xdr:rowOff>90582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8F83063-E593-9879-77C9-F5D188EC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61412" y="22770354"/>
          <a:ext cx="1303262" cy="15335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73025</xdr:colOff>
      <xdr:row>1</xdr:row>
      <xdr:rowOff>57150</xdr:rowOff>
    </xdr:from>
    <xdr:to>
      <xdr:col>15</xdr:col>
      <xdr:colOff>377825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11E33-997F-4396-3668-2B1017D0A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20</xdr:row>
      <xdr:rowOff>76200</xdr:rowOff>
    </xdr:from>
    <xdr:to>
      <xdr:col>15</xdr:col>
      <xdr:colOff>342900</xdr:colOff>
      <xdr:row>36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65491-F391-4611-9D3D-62ACC23F2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16/j.theochem.2009.03.029" TargetMode="External"/><Relationship Id="rId1" Type="http://schemas.openxmlformats.org/officeDocument/2006/relationships/hyperlink" Target="https://organicchemistrydata.org/hansreich/resources/pka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3538-71FD-4FB5-85C0-BD726762921F}">
  <dimension ref="A1:K72"/>
  <sheetViews>
    <sheetView showGridLines="0" zoomScaleNormal="100" workbookViewId="0">
      <selection activeCell="Z4" sqref="Z4"/>
    </sheetView>
  </sheetViews>
  <sheetFormatPr defaultRowHeight="15" x14ac:dyDescent="0.25"/>
  <cols>
    <col min="1" max="1" width="22" customWidth="1"/>
    <col min="2" max="2" width="26.85546875" customWidth="1"/>
    <col min="3" max="3" width="32" customWidth="1"/>
    <col min="6" max="6" width="17.42578125" customWidth="1"/>
    <col min="7" max="7" width="13.7109375" customWidth="1"/>
    <col min="8" max="8" width="18.5703125" customWidth="1"/>
    <col min="9" max="9" width="14.5703125" customWidth="1"/>
    <col min="10" max="10" width="20.28515625" customWidth="1"/>
  </cols>
  <sheetData>
    <row r="1" spans="1:11" x14ac:dyDescent="0.25">
      <c r="A1" s="25" t="s">
        <v>35</v>
      </c>
      <c r="F1" s="25" t="s">
        <v>60</v>
      </c>
    </row>
    <row r="3" spans="1:11" x14ac:dyDescent="0.25">
      <c r="A3" s="4" t="s">
        <v>36</v>
      </c>
      <c r="B3" s="4" t="s">
        <v>37</v>
      </c>
      <c r="C3" s="4" t="s">
        <v>38</v>
      </c>
      <c r="F3" s="29"/>
    </row>
    <row r="4" spans="1:11" x14ac:dyDescent="0.25">
      <c r="A4" s="1" t="s">
        <v>29</v>
      </c>
      <c r="B4" s="1">
        <v>-394.4</v>
      </c>
      <c r="C4" s="1" t="s">
        <v>39</v>
      </c>
      <c r="F4" t="s">
        <v>68</v>
      </c>
    </row>
    <row r="5" spans="1:11" x14ac:dyDescent="0.25">
      <c r="A5" s="1" t="s">
        <v>30</v>
      </c>
      <c r="B5" s="1">
        <v>-228.6</v>
      </c>
      <c r="C5" s="1" t="s">
        <v>39</v>
      </c>
      <c r="F5" s="1" t="s">
        <v>69</v>
      </c>
      <c r="G5" s="31">
        <f>$B$23*LN(1/I5)</f>
        <v>7.9200572735533594</v>
      </c>
      <c r="H5" s="2" t="s">
        <v>416</v>
      </c>
      <c r="I5" s="14">
        <f>101325/$B$23/1000/1000</f>
        <v>4.0896894217403161E-2</v>
      </c>
    </row>
    <row r="6" spans="1:11" x14ac:dyDescent="0.25">
      <c r="A6" s="1" t="s">
        <v>9</v>
      </c>
      <c r="B6" s="1">
        <v>-73.5</v>
      </c>
      <c r="C6" s="1" t="s">
        <v>39</v>
      </c>
      <c r="F6" s="1" t="s">
        <v>83</v>
      </c>
      <c r="G6" s="13">
        <f>$B$23*LN(1/55.34)</f>
        <v>-9.9437252481840321</v>
      </c>
    </row>
    <row r="7" spans="1:11" x14ac:dyDescent="0.25">
      <c r="A7" s="1" t="s">
        <v>49</v>
      </c>
      <c r="B7" s="31">
        <v>-46</v>
      </c>
      <c r="C7" s="1" t="s">
        <v>39</v>
      </c>
    </row>
    <row r="8" spans="1:11" x14ac:dyDescent="0.25">
      <c r="A8" s="1" t="s">
        <v>48</v>
      </c>
      <c r="B8" s="1">
        <v>-374.2</v>
      </c>
      <c r="C8" s="1" t="s">
        <v>39</v>
      </c>
      <c r="F8" s="58" t="s">
        <v>185</v>
      </c>
    </row>
    <row r="9" spans="1:11" x14ac:dyDescent="0.25">
      <c r="A9" s="1" t="s">
        <v>200</v>
      </c>
      <c r="B9" s="1">
        <v>-300.10000000000002</v>
      </c>
      <c r="C9" s="1" t="s">
        <v>39</v>
      </c>
      <c r="F9" s="5" t="s">
        <v>61</v>
      </c>
      <c r="G9" s="5" t="s">
        <v>62</v>
      </c>
      <c r="H9" s="5" t="s">
        <v>8</v>
      </c>
      <c r="I9" s="5" t="s">
        <v>14</v>
      </c>
      <c r="J9" s="5" t="s">
        <v>272</v>
      </c>
      <c r="K9" s="5" t="s">
        <v>267</v>
      </c>
    </row>
    <row r="10" spans="1:11" x14ac:dyDescent="0.25">
      <c r="A10" s="1" t="s">
        <v>225</v>
      </c>
      <c r="B10" s="1">
        <v>113</v>
      </c>
      <c r="C10" s="1" t="s">
        <v>39</v>
      </c>
      <c r="F10" s="2" t="s">
        <v>66</v>
      </c>
      <c r="G10" s="2" t="s">
        <v>63</v>
      </c>
      <c r="H10" s="9">
        <f>B4+B5+G5*2-B13-B12</f>
        <v>-20.359885452893309</v>
      </c>
      <c r="I10" s="7">
        <f>H10/96.49</f>
        <v>-0.21100513475897306</v>
      </c>
      <c r="J10" s="9">
        <f>H21</f>
        <v>-21.734728704670637</v>
      </c>
      <c r="K10" s="9" cm="1">
        <f t="array" ref="K10">SQRT(SUMSQ(H10:H17-J10:J17)/COUNTA(H10:H17))</f>
        <v>2.7839988286268822</v>
      </c>
    </row>
    <row r="11" spans="1:11" x14ac:dyDescent="0.25">
      <c r="A11" s="4" t="s">
        <v>42</v>
      </c>
      <c r="B11" s="4" t="s">
        <v>37</v>
      </c>
      <c r="C11" s="4" t="s">
        <v>38</v>
      </c>
      <c r="F11" s="2" t="s">
        <v>67</v>
      </c>
      <c r="G11" s="2" t="s">
        <v>63</v>
      </c>
      <c r="H11" s="9">
        <f>B4+B5+G5*2-B14-B12*2</f>
        <v>-79.359885452893309</v>
      </c>
      <c r="I11" s="7">
        <f t="shared" ref="I11:I16" si="0">H11/96.49</f>
        <v>-0.82246746246132563</v>
      </c>
      <c r="J11" s="9">
        <f>H22</f>
        <v>-80.494378351070935</v>
      </c>
    </row>
    <row r="12" spans="1:11" x14ac:dyDescent="0.25">
      <c r="A12" s="1" t="s">
        <v>40</v>
      </c>
      <c r="B12" s="1">
        <v>0</v>
      </c>
      <c r="C12" s="1" t="s">
        <v>41</v>
      </c>
      <c r="F12" s="2" t="s">
        <v>64</v>
      </c>
      <c r="G12" s="2" t="s">
        <v>15</v>
      </c>
      <c r="H12" s="9">
        <f>B6-B15-B12+$G$5</f>
        <v>45.720057273553358</v>
      </c>
      <c r="I12" s="7">
        <f t="shared" si="0"/>
        <v>0.47383207869782734</v>
      </c>
      <c r="J12" s="9">
        <f t="shared" ref="J12:J14" si="1">H23</f>
        <v>46.187626570107163</v>
      </c>
    </row>
    <row r="13" spans="1:11" x14ac:dyDescent="0.25">
      <c r="A13" s="1" t="s">
        <v>43</v>
      </c>
      <c r="B13" s="1">
        <v>-586.79999999999995</v>
      </c>
      <c r="C13" s="1" t="s">
        <v>41</v>
      </c>
      <c r="F13" s="2" t="s">
        <v>65</v>
      </c>
      <c r="G13" s="2" t="s">
        <v>17</v>
      </c>
      <c r="H13" s="9">
        <f>B7-B16-B12+$G$5</f>
        <v>-5.8799427264466377</v>
      </c>
      <c r="I13" s="7">
        <f t="shared" si="0"/>
        <v>-6.0938363835077607E-2</v>
      </c>
      <c r="J13" s="9">
        <f t="shared" si="1"/>
        <v>-1.5672994345608018</v>
      </c>
    </row>
    <row r="14" spans="1:11" x14ac:dyDescent="0.25">
      <c r="A14" s="1" t="s">
        <v>44</v>
      </c>
      <c r="B14" s="1">
        <v>-527.79999999999995</v>
      </c>
      <c r="C14" s="1" t="s">
        <v>41</v>
      </c>
      <c r="F14" s="2" t="s">
        <v>70</v>
      </c>
      <c r="G14" s="2" t="s">
        <v>19</v>
      </c>
      <c r="H14" s="9">
        <f>B8-B17-B12+G5</f>
        <v>3.0200572735533822</v>
      </c>
      <c r="I14" s="7">
        <f t="shared" si="0"/>
        <v>3.1299173733582569E-2</v>
      </c>
      <c r="J14" s="9">
        <f t="shared" si="1"/>
        <v>1.3468297902015607</v>
      </c>
    </row>
    <row r="15" spans="1:11" x14ac:dyDescent="0.25">
      <c r="A15" s="1" t="s">
        <v>45</v>
      </c>
      <c r="B15" s="1">
        <v>-111.3</v>
      </c>
      <c r="C15" s="1" t="s">
        <v>41</v>
      </c>
      <c r="F15" s="2" t="s">
        <v>203</v>
      </c>
      <c r="G15" s="2" t="s">
        <v>205</v>
      </c>
      <c r="H15" s="9">
        <f>B9+B5+G5*2-B18-B12</f>
        <v>14.840114547106737</v>
      </c>
      <c r="I15" s="7">
        <f t="shared" si="0"/>
        <v>0.15379950820921068</v>
      </c>
      <c r="J15" s="9">
        <f>H35</f>
        <v>12.67939719052516</v>
      </c>
    </row>
    <row r="16" spans="1:11" x14ac:dyDescent="0.25">
      <c r="A16" s="1" t="s">
        <v>46</v>
      </c>
      <c r="B16" s="1">
        <v>-32.200000000000003</v>
      </c>
      <c r="C16" s="1" t="s">
        <v>41</v>
      </c>
      <c r="F16" s="2" t="s">
        <v>204</v>
      </c>
      <c r="G16" s="2" t="s">
        <v>205</v>
      </c>
      <c r="H16" s="9">
        <f>B9+B5+G5*2-B19-B12*2</f>
        <v>-26.359885452893309</v>
      </c>
      <c r="I16" s="7">
        <f t="shared" si="0"/>
        <v>-0.27318774435582249</v>
      </c>
      <c r="J16" s="9">
        <f t="shared" ref="J16:J17" si="2">H36</f>
        <v>-28.45235756195504</v>
      </c>
    </row>
    <row r="17" spans="1:10" x14ac:dyDescent="0.25">
      <c r="A17" s="1" t="s">
        <v>47</v>
      </c>
      <c r="B17" s="1">
        <v>-369.3</v>
      </c>
      <c r="C17" s="1" t="s">
        <v>41</v>
      </c>
      <c r="F17" s="2" t="s">
        <v>218</v>
      </c>
      <c r="G17" s="2" t="s">
        <v>216</v>
      </c>
      <c r="H17" s="9">
        <f>B10-B20-B12+G5</f>
        <v>28.220057273553358</v>
      </c>
      <c r="I17" s="7">
        <f t="shared" ref="I17" si="3">H17/96.49</f>
        <v>0.29246613404034988</v>
      </c>
      <c r="J17" s="9">
        <f t="shared" si="2"/>
        <v>22.913119806804012</v>
      </c>
    </row>
    <row r="18" spans="1:10" x14ac:dyDescent="0.25">
      <c r="A18" s="1" t="s">
        <v>201</v>
      </c>
      <c r="B18" s="1">
        <v>-527.70000000000005</v>
      </c>
      <c r="C18" s="1" t="s">
        <v>41</v>
      </c>
    </row>
    <row r="19" spans="1:10" x14ac:dyDescent="0.25">
      <c r="A19" s="1" t="s">
        <v>202</v>
      </c>
      <c r="B19" s="1">
        <v>-486.5</v>
      </c>
      <c r="C19" s="1" t="s">
        <v>41</v>
      </c>
      <c r="F19" s="29" t="s">
        <v>59</v>
      </c>
    </row>
    <row r="20" spans="1:10" x14ac:dyDescent="0.25">
      <c r="A20" s="1" t="s">
        <v>217</v>
      </c>
      <c r="B20" s="1">
        <v>92.7</v>
      </c>
      <c r="C20" s="1" t="s">
        <v>41</v>
      </c>
      <c r="F20" s="5" t="s">
        <v>61</v>
      </c>
      <c r="G20" s="5" t="s">
        <v>62</v>
      </c>
      <c r="H20" s="5" t="s">
        <v>8</v>
      </c>
      <c r="I20" s="5" t="s">
        <v>14</v>
      </c>
    </row>
    <row r="21" spans="1:10" x14ac:dyDescent="0.25">
      <c r="F21" s="2" t="s">
        <v>66</v>
      </c>
      <c r="G21" s="2" t="s">
        <v>63</v>
      </c>
      <c r="H21" s="9">
        <f>-C25-B71-C54+G6</f>
        <v>-21.734728704670637</v>
      </c>
      <c r="I21" s="7">
        <f>H21/96.49</f>
        <v>-0.22525369162266182</v>
      </c>
    </row>
    <row r="22" spans="1:10" x14ac:dyDescent="0.25">
      <c r="A22" s="26" t="s">
        <v>18</v>
      </c>
      <c r="B22" s="27" t="s">
        <v>54</v>
      </c>
      <c r="F22" s="2" t="s">
        <v>67</v>
      </c>
      <c r="G22" s="2" t="s">
        <v>63</v>
      </c>
      <c r="H22" s="9">
        <f>-C26-C25-C54-B71+G6</f>
        <v>-80.494378351070935</v>
      </c>
      <c r="I22" s="7">
        <f t="shared" ref="I22:I25" si="4">H22/96.49</f>
        <v>-0.83422508395762196</v>
      </c>
    </row>
    <row r="23" spans="1:10" x14ac:dyDescent="0.25">
      <c r="A23" s="28" t="s">
        <v>55</v>
      </c>
      <c r="B23" s="2">
        <f>8.314*298/1000</f>
        <v>2.4775720000000003</v>
      </c>
      <c r="F23" s="2" t="s">
        <v>64</v>
      </c>
      <c r="G23" s="2" t="s">
        <v>15</v>
      </c>
      <c r="H23" s="9">
        <f>-C27-C52</f>
        <v>46.187626570107163</v>
      </c>
      <c r="I23" s="7">
        <f t="shared" si="4"/>
        <v>0.47867785853567379</v>
      </c>
    </row>
    <row r="24" spans="1:10" x14ac:dyDescent="0.25">
      <c r="A24" s="4" t="s">
        <v>50</v>
      </c>
      <c r="B24" s="5" t="s">
        <v>18</v>
      </c>
      <c r="C24" s="4" t="s">
        <v>51</v>
      </c>
      <c r="F24" s="2" t="s">
        <v>65</v>
      </c>
      <c r="G24" s="2" t="s">
        <v>17</v>
      </c>
      <c r="H24" s="9">
        <f>-C28-C53</f>
        <v>-1.5672994345608018</v>
      </c>
      <c r="I24" s="7">
        <f t="shared" si="4"/>
        <v>-1.6243128143442864E-2</v>
      </c>
    </row>
    <row r="25" spans="1:10" x14ac:dyDescent="0.25">
      <c r="A25" s="2" t="s">
        <v>53</v>
      </c>
      <c r="B25" s="2">
        <v>6.35</v>
      </c>
      <c r="C25" s="9">
        <f>LN(10)*$B$23*B25</f>
        <v>36.225609248023474</v>
      </c>
      <c r="F25" s="2" t="s">
        <v>70</v>
      </c>
      <c r="G25" s="2" t="s">
        <v>19</v>
      </c>
      <c r="H25" s="9">
        <f t="shared" ref="H25:H32" si="5">-C29-C55</f>
        <v>1.3468297902015607</v>
      </c>
      <c r="I25" s="7">
        <f t="shared" si="4"/>
        <v>1.3958231839585042E-2</v>
      </c>
    </row>
    <row r="26" spans="1:10" x14ac:dyDescent="0.25">
      <c r="A26" s="2" t="s">
        <v>52</v>
      </c>
      <c r="B26" s="2">
        <v>10.3</v>
      </c>
      <c r="C26" s="9">
        <f t="shared" ref="C26:C36" si="6">LN(10)*$B$23*B26</f>
        <v>58.759649646400284</v>
      </c>
      <c r="F26" s="2" t="s">
        <v>88</v>
      </c>
      <c r="G26" s="2" t="s">
        <v>87</v>
      </c>
      <c r="H26" s="9">
        <f t="shared" si="5"/>
        <v>11.473445219254909</v>
      </c>
      <c r="I26" s="7">
        <f>H26/96.49</f>
        <v>0.11890812746662772</v>
      </c>
    </row>
    <row r="27" spans="1:10" x14ac:dyDescent="0.25">
      <c r="A27" s="2" t="s">
        <v>15</v>
      </c>
      <c r="B27" s="2">
        <v>-1.38</v>
      </c>
      <c r="C27" s="9">
        <f>LN(10)*$B$23*B27</f>
        <v>-7.8726520885468334</v>
      </c>
      <c r="F27" s="2" t="s">
        <v>237</v>
      </c>
      <c r="G27" s="2" t="s">
        <v>236</v>
      </c>
      <c r="H27" s="9">
        <f t="shared" si="5"/>
        <v>20.34007470726683</v>
      </c>
      <c r="I27" s="7">
        <f>H27/96.49</f>
        <v>0.21079982078212076</v>
      </c>
    </row>
    <row r="28" spans="1:10" x14ac:dyDescent="0.25">
      <c r="A28" s="2" t="s">
        <v>17</v>
      </c>
      <c r="B28" s="2">
        <v>3.35</v>
      </c>
      <c r="C28" s="9">
        <f t="shared" si="6"/>
        <v>19.111148185965138</v>
      </c>
      <c r="F28" s="2" t="s">
        <v>86</v>
      </c>
      <c r="G28" s="2" t="s">
        <v>85</v>
      </c>
      <c r="H28" s="9">
        <f t="shared" si="5"/>
        <v>29.740412428549078</v>
      </c>
      <c r="I28" s="7">
        <f>H28/96.49</f>
        <v>0.30822274254895926</v>
      </c>
    </row>
    <row r="29" spans="1:10" x14ac:dyDescent="0.25">
      <c r="A29" s="2" t="s">
        <v>19</v>
      </c>
      <c r="B29" s="2">
        <v>4.76</v>
      </c>
      <c r="C29" s="9">
        <f t="shared" si="6"/>
        <v>27.154944885132554</v>
      </c>
      <c r="F29" s="2" t="s">
        <v>239</v>
      </c>
      <c r="G29" s="2" t="s">
        <v>238</v>
      </c>
      <c r="H29" s="9">
        <f t="shared" si="5"/>
        <v>32.787594380440574</v>
      </c>
      <c r="I29" s="7">
        <f t="shared" ref="I29" si="7">H29/96.49</f>
        <v>0.33980303016313168</v>
      </c>
    </row>
    <row r="30" spans="1:10" x14ac:dyDescent="0.25">
      <c r="A30" s="2" t="s">
        <v>87</v>
      </c>
      <c r="B30" s="2">
        <v>3.83</v>
      </c>
      <c r="C30" s="9">
        <f>LN(10)*$B$23*B30</f>
        <v>21.849461955894473</v>
      </c>
      <c r="F30" s="2" t="s">
        <v>242</v>
      </c>
      <c r="G30" s="2" t="s">
        <v>240</v>
      </c>
      <c r="H30" s="9">
        <f t="shared" si="5"/>
        <v>21.148432358877464</v>
      </c>
      <c r="I30" s="7">
        <f t="shared" ref="I30:I31" si="8">H30/96.49</f>
        <v>0.21917745215957576</v>
      </c>
    </row>
    <row r="31" spans="1:10" x14ac:dyDescent="0.25">
      <c r="A31" s="2" t="s">
        <v>236</v>
      </c>
      <c r="B31" s="2">
        <v>2.87</v>
      </c>
      <c r="C31" s="9">
        <f>LN(10)*$B$23*B31</f>
        <v>16.372834416035808</v>
      </c>
      <c r="F31" s="2" t="s">
        <v>243</v>
      </c>
      <c r="G31" s="2" t="s">
        <v>241</v>
      </c>
      <c r="H31" s="9">
        <f t="shared" si="5"/>
        <v>25.849382707358998</v>
      </c>
      <c r="I31" s="7">
        <f t="shared" si="8"/>
        <v>0.26789701220187584</v>
      </c>
    </row>
    <row r="32" spans="1:10" x14ac:dyDescent="0.25">
      <c r="A32" s="2" t="s">
        <v>85</v>
      </c>
      <c r="B32" s="2">
        <v>1.26</v>
      </c>
      <c r="C32" s="9">
        <f t="shared" ref="C32" si="9">LN(10)*$B$23*B32</f>
        <v>7.1880736460645007</v>
      </c>
      <c r="F32" s="2" t="s">
        <v>84</v>
      </c>
      <c r="G32" s="2" t="s">
        <v>28</v>
      </c>
      <c r="H32" s="9">
        <f t="shared" si="5"/>
        <v>28.771783910070305</v>
      </c>
      <c r="I32" s="7">
        <f>H32/96.49</f>
        <v>0.29818410104746923</v>
      </c>
    </row>
    <row r="33" spans="1:9" x14ac:dyDescent="0.25">
      <c r="A33" s="2" t="s">
        <v>238</v>
      </c>
      <c r="B33" s="2">
        <v>0.51</v>
      </c>
      <c r="C33" s="9">
        <f>LN(10)*$B$23*B33</f>
        <v>2.9094583805499168</v>
      </c>
      <c r="F33" s="2" t="s">
        <v>198</v>
      </c>
      <c r="G33" s="2" t="s">
        <v>196</v>
      </c>
      <c r="H33" s="9">
        <f>-C37-C63</f>
        <v>49.742360263082574</v>
      </c>
      <c r="I33" s="7">
        <f>H33/96.49</f>
        <v>0.51551829477751665</v>
      </c>
    </row>
    <row r="34" spans="1:9" x14ac:dyDescent="0.25">
      <c r="A34" s="2" t="s">
        <v>240</v>
      </c>
      <c r="B34" s="2">
        <v>2.59</v>
      </c>
      <c r="C34" s="9">
        <f>LN(10)*$B$23*B34</f>
        <v>14.775484716910361</v>
      </c>
      <c r="F34" s="2" t="s">
        <v>199</v>
      </c>
      <c r="G34" s="2" t="s">
        <v>196</v>
      </c>
      <c r="H34" s="9">
        <f>-C37-C38-C63</f>
        <v>24.64115070539701</v>
      </c>
      <c r="I34" s="7">
        <f>H34/96.49</f>
        <v>0.25537517572180546</v>
      </c>
    </row>
    <row r="35" spans="1:9" x14ac:dyDescent="0.25">
      <c r="A35" s="2" t="s">
        <v>241</v>
      </c>
      <c r="B35" s="2">
        <v>1.34</v>
      </c>
      <c r="C35" s="9">
        <f>LN(10)*$B$23*B35</f>
        <v>7.6444592743860564</v>
      </c>
      <c r="F35" s="2" t="s">
        <v>203</v>
      </c>
      <c r="G35" s="2" t="s">
        <v>205</v>
      </c>
      <c r="H35" s="9">
        <f>-C39-B71-C64+G6</f>
        <v>12.67939719052516</v>
      </c>
      <c r="I35" s="7">
        <f>H35/96.49</f>
        <v>0.13140633423696924</v>
      </c>
    </row>
    <row r="36" spans="1:9" x14ac:dyDescent="0.25">
      <c r="A36" s="2" t="s">
        <v>28</v>
      </c>
      <c r="B36" s="2">
        <v>0.3</v>
      </c>
      <c r="C36" s="9">
        <f t="shared" si="6"/>
        <v>1.7114461062058333</v>
      </c>
      <c r="F36" s="2" t="s">
        <v>204</v>
      </c>
      <c r="G36" s="2" t="s">
        <v>205</v>
      </c>
      <c r="H36" s="9">
        <f>-C40-C39-C64-B71+G6</f>
        <v>-28.45235756195504</v>
      </c>
      <c r="I36" s="7">
        <f>H36/96.49</f>
        <v>-0.29487364039750275</v>
      </c>
    </row>
    <row r="37" spans="1:9" x14ac:dyDescent="0.25">
      <c r="A37" s="2" t="s">
        <v>196</v>
      </c>
      <c r="B37" s="2">
        <v>1.46</v>
      </c>
      <c r="C37" s="9">
        <f t="shared" ref="C37" si="10">LN(10)*$B$23*B37</f>
        <v>8.3290377168683882</v>
      </c>
      <c r="F37" s="2" t="s">
        <v>218</v>
      </c>
      <c r="G37" s="2" t="s">
        <v>216</v>
      </c>
      <c r="H37" s="9">
        <f>-C42-C65</f>
        <v>22.913119806804012</v>
      </c>
      <c r="I37" s="7">
        <f t="shared" ref="I37" si="11">H37/96.49</f>
        <v>0.23746626393205528</v>
      </c>
    </row>
    <row r="38" spans="1:9" x14ac:dyDescent="0.25">
      <c r="A38" s="2" t="s">
        <v>197</v>
      </c>
      <c r="B38" s="2">
        <v>4.4000000000000004</v>
      </c>
      <c r="C38" s="9">
        <f>LN(10)*$B$23*B38</f>
        <v>25.101209557685557</v>
      </c>
      <c r="D38" t="s">
        <v>222</v>
      </c>
      <c r="F38" s="2" t="s">
        <v>223</v>
      </c>
      <c r="G38" s="2" t="s">
        <v>224</v>
      </c>
      <c r="H38" s="9">
        <f>-C43-C66</f>
        <v>-5.612142244389398</v>
      </c>
      <c r="I38" s="7">
        <f t="shared" ref="I38:I43" si="12">H38/96.49</f>
        <v>-5.8162941697475372E-2</v>
      </c>
    </row>
    <row r="39" spans="1:9" x14ac:dyDescent="0.25">
      <c r="A39" s="2" t="s">
        <v>206</v>
      </c>
      <c r="B39" s="2">
        <v>1.9</v>
      </c>
      <c r="C39" s="9">
        <f>LN(10)*$B$23*B39</f>
        <v>10.839158672636945</v>
      </c>
      <c r="F39" s="1" t="s">
        <v>257</v>
      </c>
      <c r="G39" s="1" t="s">
        <v>258</v>
      </c>
      <c r="H39" s="13">
        <f>-C44</f>
        <v>-12.265363761141806</v>
      </c>
      <c r="I39" s="7">
        <f t="shared" si="12"/>
        <v>-0.12711538772040426</v>
      </c>
    </row>
    <row r="40" spans="1:9" x14ac:dyDescent="0.25">
      <c r="A40" s="2" t="s">
        <v>207</v>
      </c>
      <c r="B40" s="2">
        <v>7.21</v>
      </c>
      <c r="C40" s="9">
        <f t="shared" ref="C40:C41" si="13">LN(10)*$B$23*B40</f>
        <v>41.131754752480198</v>
      </c>
      <c r="F40" s="1" t="s">
        <v>259</v>
      </c>
      <c r="G40" s="1" t="s">
        <v>258</v>
      </c>
      <c r="H40" s="13">
        <f>-C44-C45</f>
        <v>-52.712540071139671</v>
      </c>
      <c r="I40" s="7">
        <f t="shared" si="12"/>
        <v>-0.54630055001699318</v>
      </c>
    </row>
    <row r="41" spans="1:9" x14ac:dyDescent="0.25">
      <c r="A41" s="2" t="s">
        <v>264</v>
      </c>
      <c r="B41" s="2">
        <v>1.92</v>
      </c>
      <c r="C41" s="9">
        <f t="shared" si="13"/>
        <v>10.953255079717334</v>
      </c>
      <c r="F41" s="1" t="s">
        <v>260</v>
      </c>
      <c r="G41" s="1" t="s">
        <v>258</v>
      </c>
      <c r="H41" s="13">
        <f>-C44-C45-C46</f>
        <v>-122.99592683265924</v>
      </c>
      <c r="I41" s="7">
        <f t="shared" si="12"/>
        <v>-1.2747012833729843</v>
      </c>
    </row>
    <row r="42" spans="1:9" x14ac:dyDescent="0.25">
      <c r="A42" s="2" t="s">
        <v>219</v>
      </c>
      <c r="B42" s="2">
        <v>-1.28</v>
      </c>
      <c r="C42" s="9">
        <f t="shared" ref="C42" si="14">LN(10)*$B$23*B42</f>
        <v>-7.3021700531448896</v>
      </c>
      <c r="F42" s="1" t="s">
        <v>269</v>
      </c>
      <c r="G42" s="1" t="s">
        <v>270</v>
      </c>
      <c r="H42" s="9">
        <f>-C47-B71+G6</f>
        <v>-64.951624968962619</v>
      </c>
      <c r="I42" s="7">
        <f>H42/96.49</f>
        <v>-0.67314358968766319</v>
      </c>
    </row>
    <row r="43" spans="1:9" x14ac:dyDescent="0.25">
      <c r="A43" s="2" t="s">
        <v>221</v>
      </c>
      <c r="B43" s="2">
        <v>3.7</v>
      </c>
      <c r="C43" s="9">
        <f t="shared" ref="C43" si="15">LN(10)*$B$23*B43</f>
        <v>21.107835309871945</v>
      </c>
      <c r="F43" s="1" t="s">
        <v>274</v>
      </c>
      <c r="G43" s="1" t="s">
        <v>273</v>
      </c>
      <c r="H43" s="9">
        <f>-C48-C67</f>
        <v>99.204894754017147</v>
      </c>
      <c r="I43" s="7">
        <f t="shared" si="12"/>
        <v>1.0281365400975973</v>
      </c>
    </row>
    <row r="44" spans="1:9" x14ac:dyDescent="0.25">
      <c r="A44" s="2" t="s">
        <v>254</v>
      </c>
      <c r="B44" s="2">
        <v>2.15</v>
      </c>
      <c r="C44" s="9">
        <f t="shared" ref="C44:C48" si="16">LN(10)*$B$23*B44</f>
        <v>12.265363761141806</v>
      </c>
    </row>
    <row r="45" spans="1:9" x14ac:dyDescent="0.25">
      <c r="A45" s="2" t="s">
        <v>256</v>
      </c>
      <c r="B45" s="2">
        <v>7.09</v>
      </c>
      <c r="C45" s="9">
        <f t="shared" si="16"/>
        <v>40.447176309997865</v>
      </c>
    </row>
    <row r="46" spans="1:9" x14ac:dyDescent="0.25">
      <c r="A46" s="2" t="s">
        <v>255</v>
      </c>
      <c r="B46" s="2">
        <v>12.32</v>
      </c>
      <c r="C46" s="9">
        <f t="shared" si="16"/>
        <v>70.283386761519566</v>
      </c>
    </row>
    <row r="47" spans="1:9" x14ac:dyDescent="0.25">
      <c r="A47" s="2" t="s">
        <v>270</v>
      </c>
      <c r="B47" s="2">
        <v>14</v>
      </c>
      <c r="C47" s="9">
        <f t="shared" si="16"/>
        <v>79.867484956272222</v>
      </c>
    </row>
    <row r="48" spans="1:9" x14ac:dyDescent="0.25">
      <c r="A48" s="2" t="s">
        <v>273</v>
      </c>
      <c r="B48" s="2">
        <v>-10</v>
      </c>
      <c r="C48" s="9">
        <f t="shared" si="16"/>
        <v>-57.04820354019445</v>
      </c>
      <c r="D48" s="27" t="s">
        <v>278</v>
      </c>
    </row>
    <row r="50" spans="1:3" x14ac:dyDescent="0.25">
      <c r="A50" s="26" t="s">
        <v>56</v>
      </c>
      <c r="B50" s="15" t="s">
        <v>58</v>
      </c>
    </row>
    <row r="51" spans="1:3" x14ac:dyDescent="0.25">
      <c r="A51" s="4" t="s">
        <v>50</v>
      </c>
      <c r="B51" s="5" t="s">
        <v>57</v>
      </c>
      <c r="C51" s="5" t="s">
        <v>27</v>
      </c>
    </row>
    <row r="52" spans="1:3" x14ac:dyDescent="0.25">
      <c r="A52" s="2" t="s">
        <v>15</v>
      </c>
      <c r="B52" s="12">
        <v>2100</v>
      </c>
      <c r="C52" s="9">
        <f>-$B$23*LN($B$23*1000*B52)</f>
        <v>-38.314974481560327</v>
      </c>
    </row>
    <row r="53" spans="1:3" x14ac:dyDescent="0.25">
      <c r="A53" s="2" t="s">
        <v>17</v>
      </c>
      <c r="B53" s="12">
        <v>0.48</v>
      </c>
      <c r="C53" s="9">
        <f t="shared" ref="C53:C55" si="17">-$B$23*LN($B$23*1000*B53)</f>
        <v>-17.543848751404337</v>
      </c>
    </row>
    <row r="54" spans="1:3" x14ac:dyDescent="0.25">
      <c r="A54" s="2" t="s">
        <v>16</v>
      </c>
      <c r="B54" s="16">
        <v>3.4000000000000002E-4</v>
      </c>
      <c r="C54" s="9">
        <f t="shared" si="17"/>
        <v>0.42497944395676923</v>
      </c>
    </row>
    <row r="55" spans="1:3" x14ac:dyDescent="0.25">
      <c r="A55" s="2" t="s">
        <v>19</v>
      </c>
      <c r="B55" s="12">
        <v>40</v>
      </c>
      <c r="C55" s="9">
        <f t="shared" si="17"/>
        <v>-28.501774675334115</v>
      </c>
    </row>
    <row r="56" spans="1:3" x14ac:dyDescent="0.25">
      <c r="A56" s="2" t="s">
        <v>87</v>
      </c>
      <c r="B56" s="12">
        <v>280</v>
      </c>
      <c r="C56" s="9">
        <f t="shared" ref="C56" si="18">-$B$23*LN($B$23*1000*B56)</f>
        <v>-33.322907175149382</v>
      </c>
    </row>
    <row r="57" spans="1:3" x14ac:dyDescent="0.25">
      <c r="A57" s="2" t="s">
        <v>236</v>
      </c>
      <c r="B57" s="16">
        <v>1100</v>
      </c>
      <c r="C57" s="9">
        <f t="shared" ref="C57:C63" si="19">-$B$23*LN($B$23*1000*B57)</f>
        <v>-36.712909123302637</v>
      </c>
    </row>
    <row r="58" spans="1:3" x14ac:dyDescent="0.25">
      <c r="A58" s="2" t="s">
        <v>85</v>
      </c>
      <c r="B58" s="12">
        <v>1200</v>
      </c>
      <c r="C58" s="9">
        <f t="shared" si="19"/>
        <v>-36.928486074613581</v>
      </c>
    </row>
    <row r="59" spans="1:3" x14ac:dyDescent="0.25">
      <c r="A59" s="2" t="s">
        <v>238</v>
      </c>
      <c r="B59" s="16">
        <v>730</v>
      </c>
      <c r="C59" s="9">
        <f t="shared" si="19"/>
        <v>-35.697052760990488</v>
      </c>
    </row>
    <row r="60" spans="1:3" x14ac:dyDescent="0.25">
      <c r="A60" s="2" t="s">
        <v>240</v>
      </c>
      <c r="B60" s="16">
        <v>800</v>
      </c>
      <c r="C60" s="9">
        <f t="shared" si="19"/>
        <v>-35.923917075787827</v>
      </c>
    </row>
    <row r="61" spans="1:3" x14ac:dyDescent="0.25">
      <c r="A61" s="2" t="s">
        <v>241</v>
      </c>
      <c r="B61" s="16">
        <v>300</v>
      </c>
      <c r="C61" s="9">
        <f t="shared" si="19"/>
        <v>-33.493841981745057</v>
      </c>
    </row>
    <row r="62" spans="1:3" x14ac:dyDescent="0.25">
      <c r="A62" s="2" t="s">
        <v>28</v>
      </c>
      <c r="B62" s="12">
        <v>89</v>
      </c>
      <c r="C62" s="9">
        <f t="shared" si="19"/>
        <v>-30.483230016276138</v>
      </c>
    </row>
    <row r="63" spans="1:3" x14ac:dyDescent="0.25">
      <c r="A63" s="2" t="s">
        <v>196</v>
      </c>
      <c r="B63" s="12">
        <v>6100000</v>
      </c>
      <c r="C63" s="9">
        <f t="shared" si="19"/>
        <v>-58.071397979950959</v>
      </c>
    </row>
    <row r="64" spans="1:3" x14ac:dyDescent="0.25">
      <c r="A64" s="2" t="s">
        <v>208</v>
      </c>
      <c r="B64" s="16">
        <v>1.2999999999999999E-2</v>
      </c>
      <c r="C64" s="9">
        <f t="shared" ref="C64" si="20">-$B$23*LN($B$23*1000*B64)</f>
        <v>-8.6026958758525005</v>
      </c>
    </row>
    <row r="65" spans="1:3" x14ac:dyDescent="0.25">
      <c r="A65" s="2" t="s">
        <v>220</v>
      </c>
      <c r="B65" s="16">
        <v>0.22</v>
      </c>
      <c r="C65" s="9">
        <f t="shared" ref="C65:C67" si="21">-$B$23*LN($B$23*1000*B65)</f>
        <v>-15.610949753659122</v>
      </c>
    </row>
    <row r="66" spans="1:3" x14ac:dyDescent="0.25">
      <c r="A66" s="2" t="s">
        <v>221</v>
      </c>
      <c r="B66" s="16">
        <v>0.21</v>
      </c>
      <c r="C66" s="9">
        <f t="shared" si="21"/>
        <v>-15.495693065482547</v>
      </c>
    </row>
    <row r="67" spans="1:3" x14ac:dyDescent="0.25">
      <c r="A67" s="1" t="s">
        <v>273</v>
      </c>
      <c r="B67" s="12">
        <v>9900</v>
      </c>
      <c r="C67" s="13">
        <f t="shared" si="21"/>
        <v>-42.15669121382269</v>
      </c>
    </row>
    <row r="69" spans="1:3" x14ac:dyDescent="0.25">
      <c r="A69" s="30" t="s">
        <v>71</v>
      </c>
    </row>
    <row r="70" spans="1:3" x14ac:dyDescent="0.25">
      <c r="A70" s="2" t="s">
        <v>72</v>
      </c>
      <c r="B70" s="2">
        <v>3124</v>
      </c>
      <c r="C70" s="15"/>
    </row>
    <row r="71" spans="1:3" x14ac:dyDescent="0.25">
      <c r="A71" s="2" t="s">
        <v>27</v>
      </c>
      <c r="B71" s="9">
        <f>B23*LN(55.34*$B$23/1000/B70)</f>
        <v>-24.859585235493636</v>
      </c>
      <c r="C71" s="15"/>
    </row>
    <row r="72" spans="1:3" x14ac:dyDescent="0.25">
      <c r="C72" s="15"/>
    </row>
  </sheetData>
  <phoneticPr fontId="5" type="noConversion"/>
  <hyperlinks>
    <hyperlink ref="B22" r:id="rId1" location="pka_water_compilation_evans" xr:uid="{7B2DB0FE-0A71-40C2-B848-56D76D2698A4}"/>
    <hyperlink ref="D48" r:id="rId2" tooltip="Persistent link using digital object identifier" xr:uid="{225C1AF3-CC64-47E3-8FEB-73D24F46E41C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C60C-EF0F-4DFF-9E8F-D4D9C06280FA}">
  <dimension ref="A1:AE84"/>
  <sheetViews>
    <sheetView showGridLines="0" topLeftCell="A19" workbookViewId="0">
      <selection activeCell="M48" sqref="M48"/>
    </sheetView>
  </sheetViews>
  <sheetFormatPr defaultRowHeight="15" x14ac:dyDescent="0.25"/>
  <cols>
    <col min="3" max="3" width="10" customWidth="1"/>
    <col min="6" max="6" width="11.7109375" customWidth="1"/>
    <col min="7" max="7" width="11.140625" customWidth="1"/>
    <col min="11" max="11" width="12.7109375" bestFit="1" customWidth="1"/>
  </cols>
  <sheetData>
    <row r="1" spans="1:15" x14ac:dyDescent="0.25">
      <c r="A1" t="s">
        <v>20</v>
      </c>
    </row>
    <row r="2" spans="1:15" x14ac:dyDescent="0.25">
      <c r="A2" t="s">
        <v>23</v>
      </c>
    </row>
    <row r="3" spans="1:15" x14ac:dyDescent="0.25">
      <c r="A3" s="53" t="s">
        <v>21</v>
      </c>
    </row>
    <row r="4" spans="1:15" x14ac:dyDescent="0.25">
      <c r="A4" s="72" t="s">
        <v>22</v>
      </c>
      <c r="B4" s="72"/>
      <c r="C4" s="72"/>
      <c r="E4" s="72" t="s">
        <v>34</v>
      </c>
      <c r="F4" s="72"/>
      <c r="G4" s="72"/>
      <c r="I4" s="72" t="s">
        <v>116</v>
      </c>
      <c r="J4" s="72"/>
      <c r="K4" s="72"/>
      <c r="M4" s="72" t="s">
        <v>127</v>
      </c>
      <c r="N4" s="72"/>
      <c r="O4" s="72"/>
    </row>
    <row r="5" spans="1:15" x14ac:dyDescent="0.25">
      <c r="A5" s="5" t="s">
        <v>24</v>
      </c>
      <c r="B5" s="5" t="s">
        <v>25</v>
      </c>
      <c r="C5" s="17" t="s">
        <v>26</v>
      </c>
      <c r="E5" s="5" t="s">
        <v>24</v>
      </c>
      <c r="F5" s="5" t="s">
        <v>25</v>
      </c>
      <c r="G5" s="17" t="s">
        <v>26</v>
      </c>
      <c r="I5" s="5" t="s">
        <v>24</v>
      </c>
      <c r="J5" s="5" t="s">
        <v>25</v>
      </c>
      <c r="K5" s="17" t="s">
        <v>26</v>
      </c>
      <c r="M5" s="5" t="s">
        <v>24</v>
      </c>
      <c r="N5" s="5" t="s">
        <v>25</v>
      </c>
      <c r="O5" s="17" t="s">
        <v>26</v>
      </c>
    </row>
    <row r="6" spans="1:15" x14ac:dyDescent="0.25">
      <c r="A6" s="2">
        <v>3.9</v>
      </c>
      <c r="B6" s="2">
        <v>-88.905008039090703</v>
      </c>
      <c r="C6" s="8">
        <f>(B6-MIN($B$6:$B$22))*27.2114</f>
        <v>6.5313434493182179E-2</v>
      </c>
      <c r="E6" s="2">
        <v>3.6</v>
      </c>
      <c r="F6" s="14">
        <v>-201.880750015068</v>
      </c>
      <c r="G6" s="14">
        <f>(F6-MIN($F$6:$F$26))*27.2114</f>
        <v>2.1573375691667177E-2</v>
      </c>
      <c r="I6" s="1">
        <v>3.7</v>
      </c>
      <c r="J6" s="2">
        <v>-81.550876182935298</v>
      </c>
      <c r="K6" s="8">
        <f>(J6-MIN($J$6:$J$26))*27.2114</f>
        <v>0.20480540943782183</v>
      </c>
      <c r="M6" s="1">
        <v>4.0999999999999996</v>
      </c>
      <c r="N6" s="2">
        <v>-34.623395331044698</v>
      </c>
      <c r="O6" s="8">
        <f>(N6-MIN($N$6:$N$26))*27.2114</f>
        <v>3.8349304749220749E-2</v>
      </c>
    </row>
    <row r="7" spans="1:15" x14ac:dyDescent="0.25">
      <c r="A7" s="2">
        <v>3.91</v>
      </c>
      <c r="B7" s="2">
        <v>-88.905504217318395</v>
      </c>
      <c r="C7" s="8">
        <f t="shared" ref="C7:C22" si="0">(B7-MIN($B$6:$B$22))*27.2114</f>
        <v>5.1811730268158308E-2</v>
      </c>
      <c r="E7" s="2">
        <v>3.61</v>
      </c>
      <c r="F7" s="14">
        <v>-201.88094624418699</v>
      </c>
      <c r="G7" s="14">
        <f t="shared" ref="G7:G26" si="1">(F7-MIN($F$6:$F$26))*27.2114</f>
        <v>1.6233706643343442E-2</v>
      </c>
      <c r="I7" s="1">
        <v>3.71</v>
      </c>
      <c r="J7" s="2">
        <v>-81.551832169478303</v>
      </c>
      <c r="K7" s="8">
        <f>(J7-MIN($J$6:$J$26))*27.2114</f>
        <v>0.17879167722149877</v>
      </c>
      <c r="M7" s="1">
        <v>4.1100000000000003</v>
      </c>
      <c r="N7" s="2">
        <v>-34.6236833702621</v>
      </c>
      <c r="O7" s="8">
        <f t="shared" ref="O7:O26" si="2">(N7-MIN($N$6:$N$26))*27.2114</f>
        <v>3.051135438880637E-2</v>
      </c>
    </row>
    <row r="8" spans="1:15" x14ac:dyDescent="0.25">
      <c r="A8" s="2">
        <v>3.92</v>
      </c>
      <c r="B8" s="2">
        <v>-88.905939684501305</v>
      </c>
      <c r="C8" s="8">
        <f t="shared" si="0"/>
        <v>3.9962058567106364E-2</v>
      </c>
      <c r="E8" s="2">
        <v>3.62</v>
      </c>
      <c r="F8" s="14">
        <v>-201.88111332981401</v>
      </c>
      <c r="G8" s="14">
        <f t="shared" si="1"/>
        <v>1.1687072812071585E-2</v>
      </c>
      <c r="I8" s="1">
        <v>3.72</v>
      </c>
      <c r="J8" s="2">
        <v>-81.552710025150105</v>
      </c>
      <c r="K8" s="8">
        <f>(J8-MIN($J$6:$J$26))*27.2114</f>
        <v>0.15490399539380506</v>
      </c>
      <c r="M8" s="1">
        <v>4.12</v>
      </c>
      <c r="N8" s="2">
        <v>-34.623935689059302</v>
      </c>
      <c r="O8" s="8">
        <f t="shared" si="2"/>
        <v>2.3645406670632925E-2</v>
      </c>
    </row>
    <row r="9" spans="1:15" x14ac:dyDescent="0.25">
      <c r="A9" s="2">
        <v>3.93</v>
      </c>
      <c r="B9" s="2">
        <v>-88.906312641706506</v>
      </c>
      <c r="C9" s="8">
        <f t="shared" si="0"/>
        <v>2.9813370873502082E-2</v>
      </c>
      <c r="E9" s="2">
        <v>3.63</v>
      </c>
      <c r="F9" s="14">
        <v>-201.881250121074</v>
      </c>
      <c r="G9" s="14">
        <f t="shared" si="1"/>
        <v>7.9647911199706642E-3</v>
      </c>
      <c r="I9" s="1">
        <v>3.73</v>
      </c>
      <c r="J9" s="2">
        <v>-81.553526396647101</v>
      </c>
      <c r="K9" s="8">
        <f t="shared" ref="K9:K25" si="3">(J9-MIN($J$6:$J$26))*27.2114</f>
        <v>0.13268938404046671</v>
      </c>
      <c r="M9" s="1">
        <v>4.13</v>
      </c>
      <c r="N9" s="2">
        <v>-34.624153253375603</v>
      </c>
      <c r="O9" s="8">
        <f t="shared" si="2"/>
        <v>1.7725177034029621E-2</v>
      </c>
    </row>
    <row r="10" spans="1:15" x14ac:dyDescent="0.25">
      <c r="A10" s="2">
        <v>3.94</v>
      </c>
      <c r="B10" s="2">
        <v>-88.906627982528406</v>
      </c>
      <c r="C10" s="8">
        <f t="shared" si="0"/>
        <v>2.1232505632473846E-2</v>
      </c>
      <c r="E10" s="2">
        <v>3.64</v>
      </c>
      <c r="F10" s="14">
        <v>-201.88136112127401</v>
      </c>
      <c r="G10" s="14">
        <f t="shared" si="1"/>
        <v>4.9443202774855366E-3</v>
      </c>
      <c r="I10" s="1">
        <v>3.74</v>
      </c>
      <c r="J10" s="2">
        <v>-81.554270663698304</v>
      </c>
      <c r="K10" s="8">
        <f t="shared" si="3"/>
        <v>0.11243683560334912</v>
      </c>
      <c r="M10" s="1">
        <v>4.1399999999999997</v>
      </c>
      <c r="N10" s="2">
        <v>-34.624337495817102</v>
      </c>
      <c r="O10" s="8">
        <f t="shared" si="2"/>
        <v>1.2711682261428126E-2</v>
      </c>
    </row>
    <row r="11" spans="1:15" x14ac:dyDescent="0.25">
      <c r="A11" s="2">
        <v>3.95</v>
      </c>
      <c r="B11" s="2">
        <v>-88.906886442867901</v>
      </c>
      <c r="C11" s="8">
        <f t="shared" si="0"/>
        <v>1.4199437950337995E-2</v>
      </c>
      <c r="E11" s="2">
        <v>3.65</v>
      </c>
      <c r="F11" s="14">
        <v>-201.881443821669</v>
      </c>
      <c r="G11" s="14">
        <f t="shared" si="1"/>
        <v>2.6939267494259867E-3</v>
      </c>
      <c r="I11" s="1">
        <v>3.75</v>
      </c>
      <c r="J11" s="2">
        <v>-81.554941143174602</v>
      </c>
      <c r="K11" s="8">
        <f t="shared" si="3"/>
        <v>9.4192150382009121E-2</v>
      </c>
      <c r="M11" s="1">
        <v>4.1500000000000004</v>
      </c>
      <c r="N11" s="2">
        <v>-34.6244896310264</v>
      </c>
      <c r="O11" s="8">
        <f t="shared" si="2"/>
        <v>8.5718702271389766E-3</v>
      </c>
    </row>
    <row r="12" spans="1:15" x14ac:dyDescent="0.25">
      <c r="A12" s="2">
        <v>3.96</v>
      </c>
      <c r="B12" s="2">
        <v>-88.907091414159893</v>
      </c>
      <c r="C12" s="8">
        <f t="shared" si="0"/>
        <v>8.6218821354076738E-3</v>
      </c>
      <c r="E12" s="2">
        <v>3.66</v>
      </c>
      <c r="F12" s="14">
        <v>-201.88150129760399</v>
      </c>
      <c r="G12" s="14">
        <f t="shared" si="1"/>
        <v>1.1299260919166558E-3</v>
      </c>
      <c r="I12" s="1">
        <v>3.76</v>
      </c>
      <c r="J12" s="2">
        <v>-81.555548470224906</v>
      </c>
      <c r="K12" s="8">
        <f t="shared" si="3"/>
        <v>7.7665931085373605E-2</v>
      </c>
      <c r="M12" s="1">
        <v>4.16</v>
      </c>
      <c r="N12" s="2">
        <v>-34.624610676917001</v>
      </c>
      <c r="O12" s="8">
        <f t="shared" si="2"/>
        <v>5.2780420796231754E-3</v>
      </c>
    </row>
    <row r="13" spans="1:15" x14ac:dyDescent="0.25">
      <c r="A13" s="2">
        <v>3.97</v>
      </c>
      <c r="B13" s="2">
        <v>-88.907244771256103</v>
      </c>
      <c r="C13" s="8">
        <f t="shared" si="0"/>
        <v>4.448820847610827E-3</v>
      </c>
      <c r="E13" s="2">
        <v>3.67</v>
      </c>
      <c r="F13" s="14">
        <v>-201.881535033375</v>
      </c>
      <c r="G13" s="14">
        <f t="shared" si="1"/>
        <v>2.1192853259286153E-4</v>
      </c>
      <c r="I13" s="1">
        <v>3.77</v>
      </c>
      <c r="J13" s="2">
        <v>-81.556091025653402</v>
      </c>
      <c r="K13" s="8">
        <f t="shared" si="3"/>
        <v>6.2902238298412197E-2</v>
      </c>
      <c r="M13" s="1">
        <v>4.17</v>
      </c>
      <c r="N13" s="2">
        <v>-34.624701724576497</v>
      </c>
      <c r="O13" s="8">
        <f t="shared" si="2"/>
        <v>2.8005077980327018E-3</v>
      </c>
    </row>
    <row r="14" spans="1:15" x14ac:dyDescent="0.25">
      <c r="A14" s="2">
        <v>3.98</v>
      </c>
      <c r="B14" s="2">
        <v>-88.907347196197705</v>
      </c>
      <c r="C14" s="8">
        <f t="shared" si="0"/>
        <v>1.6616947917034452E-3</v>
      </c>
      <c r="E14" s="18">
        <v>3.68</v>
      </c>
      <c r="F14" s="24">
        <v>-201.88154282160099</v>
      </c>
      <c r="G14" s="24">
        <f t="shared" si="1"/>
        <v>0</v>
      </c>
      <c r="I14" s="1">
        <v>3.78</v>
      </c>
      <c r="J14" s="2">
        <v>-81.556571205314697</v>
      </c>
      <c r="K14" s="8">
        <f t="shared" si="3"/>
        <v>4.9835877463043715E-2</v>
      </c>
      <c r="M14" s="1">
        <v>4.1800000000000104</v>
      </c>
      <c r="N14" s="2">
        <v>-34.624763617665401</v>
      </c>
      <c r="O14" s="8">
        <f t="shared" si="2"/>
        <v>1.116310198611444E-3</v>
      </c>
    </row>
    <row r="15" spans="1:15" x14ac:dyDescent="0.25">
      <c r="A15" s="2">
        <v>3.99</v>
      </c>
      <c r="B15" s="2">
        <v>-88.907402996942693</v>
      </c>
      <c r="C15" s="8">
        <f t="shared" si="0"/>
        <v>1.4327839953065508E-4</v>
      </c>
      <c r="E15" s="2">
        <v>3.69</v>
      </c>
      <c r="F15" s="14">
        <v>-201.881529846522</v>
      </c>
      <c r="G15" s="14">
        <f t="shared" si="1"/>
        <v>3.530700643773287E-4</v>
      </c>
      <c r="I15" s="1">
        <v>3.79</v>
      </c>
      <c r="J15" s="2">
        <v>-81.556991808558195</v>
      </c>
      <c r="K15" s="8">
        <f t="shared" si="3"/>
        <v>3.8390674362924739E-2</v>
      </c>
      <c r="M15" s="1">
        <v>4.1900000000000102</v>
      </c>
      <c r="N15" s="2">
        <v>-34.624797594036202</v>
      </c>
      <c r="O15" s="14">
        <f t="shared" si="2"/>
        <v>1.9176558218977392E-4</v>
      </c>
    </row>
    <row r="16" spans="1:15" x14ac:dyDescent="0.25">
      <c r="A16" s="18">
        <v>4</v>
      </c>
      <c r="B16" s="18">
        <v>-88.907408262324097</v>
      </c>
      <c r="C16" s="19">
        <f t="shared" si="0"/>
        <v>0</v>
      </c>
      <c r="E16" s="2">
        <v>3.7</v>
      </c>
      <c r="F16" s="14">
        <v>-201.88149194818499</v>
      </c>
      <c r="G16" s="14">
        <f t="shared" si="1"/>
        <v>1.3843368721625552E-3</v>
      </c>
      <c r="I16" s="1">
        <v>3.8</v>
      </c>
      <c r="J16" s="2">
        <v>-81.557352071826799</v>
      </c>
      <c r="K16" s="8">
        <f t="shared" si="3"/>
        <v>2.8587406455635372E-2</v>
      </c>
      <c r="M16" s="41">
        <v>4.2000000000000099</v>
      </c>
      <c r="N16" s="18">
        <v>-34.624804641287803</v>
      </c>
      <c r="O16" s="24">
        <f t="shared" si="2"/>
        <v>0</v>
      </c>
    </row>
    <row r="17" spans="1:15" x14ac:dyDescent="0.25">
      <c r="A17" s="2">
        <v>4.01</v>
      </c>
      <c r="B17" s="2">
        <v>-88.907368023626603</v>
      </c>
      <c r="C17" s="8">
        <f t="shared" si="0"/>
        <v>1.0949512929891228E-3</v>
      </c>
      <c r="E17" s="2">
        <v>3.71</v>
      </c>
      <c r="F17" s="14">
        <v>-201.881431909658</v>
      </c>
      <c r="G17" s="14">
        <f t="shared" si="1"/>
        <v>3.0180692452804977E-3</v>
      </c>
      <c r="I17" s="1">
        <v>3.81</v>
      </c>
      <c r="J17" s="2">
        <v>-81.557663664713203</v>
      </c>
      <c r="K17" s="8">
        <f t="shared" si="3"/>
        <v>2.0108527786519524E-2</v>
      </c>
      <c r="M17" s="1">
        <v>4.2100000000000097</v>
      </c>
      <c r="N17" s="2">
        <v>-34.6247855394816</v>
      </c>
      <c r="O17" s="8">
        <f t="shared" si="2"/>
        <v>5.1978688930062733E-4</v>
      </c>
    </row>
    <row r="18" spans="1:15" x14ac:dyDescent="0.25">
      <c r="A18" s="2">
        <v>4.0199999999999996</v>
      </c>
      <c r="B18" s="2">
        <v>-88.9072851191534</v>
      </c>
      <c r="C18" s="8">
        <f t="shared" si="0"/>
        <v>3.3508980751029527E-3</v>
      </c>
      <c r="E18" s="2">
        <v>3.72</v>
      </c>
      <c r="F18" s="14">
        <v>-201.881351242297</v>
      </c>
      <c r="G18" s="14">
        <f t="shared" si="1"/>
        <v>5.2131410725133496E-3</v>
      </c>
      <c r="I18" s="1">
        <v>3.82</v>
      </c>
      <c r="J18" s="2">
        <v>-81.557907206301905</v>
      </c>
      <c r="K18" s="8">
        <f t="shared" si="3"/>
        <v>1.3481420199711176E-2</v>
      </c>
      <c r="M18" s="1">
        <v>4.2200000000000104</v>
      </c>
      <c r="N18" s="2">
        <v>-34.624741634666201</v>
      </c>
      <c r="O18" s="8">
        <f t="shared" si="2"/>
        <v>1.7144983830567897E-3</v>
      </c>
    </row>
    <row r="19" spans="1:15" x14ac:dyDescent="0.25">
      <c r="A19" s="2">
        <v>4.03</v>
      </c>
      <c r="B19" s="2">
        <v>-88.907157412330605</v>
      </c>
      <c r="C19" s="8">
        <f t="shared" si="0"/>
        <v>6.8259795129054146E-3</v>
      </c>
      <c r="E19" s="2">
        <v>3.73</v>
      </c>
      <c r="F19" s="14">
        <v>-201.88125170538899</v>
      </c>
      <c r="G19" s="14">
        <f t="shared" si="1"/>
        <v>7.921679691140002E-3</v>
      </c>
      <c r="I19" s="1">
        <v>3.83</v>
      </c>
      <c r="J19" s="2">
        <v>-81.558103476200898</v>
      </c>
      <c r="K19" s="8">
        <f t="shared" si="3"/>
        <v>8.1406414702586121E-3</v>
      </c>
      <c r="M19" s="1">
        <v>4.2300000000000102</v>
      </c>
      <c r="N19" s="2">
        <v>-34.624673551789897</v>
      </c>
      <c r="O19" s="8">
        <f t="shared" si="2"/>
        <v>3.5671287633093772E-3</v>
      </c>
    </row>
    <row r="20" spans="1:15" x14ac:dyDescent="0.25">
      <c r="A20" s="2">
        <v>4.04</v>
      </c>
      <c r="B20" s="2">
        <v>-88.906990509965098</v>
      </c>
      <c r="C20" s="8">
        <f t="shared" si="0"/>
        <v>1.1367626541659093E-2</v>
      </c>
      <c r="E20" s="2">
        <v>3.74</v>
      </c>
      <c r="F20" s="14">
        <v>-201.88113198061399</v>
      </c>
      <c r="G20" s="14">
        <f t="shared" si="1"/>
        <v>1.1179558433689705E-2</v>
      </c>
      <c r="I20" s="1">
        <v>3.84</v>
      </c>
      <c r="J20" s="2">
        <v>-81.558240721781004</v>
      </c>
      <c r="K20" s="8">
        <f t="shared" si="3"/>
        <v>4.4059970917599634E-3</v>
      </c>
      <c r="M20" s="1">
        <v>4.24000000000001</v>
      </c>
      <c r="N20" s="2">
        <v>-34.624582180855597</v>
      </c>
      <c r="O20" s="8">
        <f t="shared" si="2"/>
        <v>6.0534598049084695E-3</v>
      </c>
    </row>
    <row r="21" spans="1:15" x14ac:dyDescent="0.25">
      <c r="A21" s="2">
        <v>4.05</v>
      </c>
      <c r="B21" s="2">
        <v>-88.906779733466493</v>
      </c>
      <c r="C21" s="8">
        <f t="shared" si="0"/>
        <v>1.7103150155799579E-2</v>
      </c>
      <c r="E21" s="2">
        <v>3.75</v>
      </c>
      <c r="F21" s="14">
        <v>-201.88099276232799</v>
      </c>
      <c r="G21" s="14">
        <f t="shared" si="1"/>
        <v>1.4967882901200507E-2</v>
      </c>
      <c r="I21" s="1">
        <v>3.85</v>
      </c>
      <c r="J21" s="2">
        <v>-81.558342122459607</v>
      </c>
      <c r="K21" s="8">
        <f t="shared" si="3"/>
        <v>1.6467426660439573E-3</v>
      </c>
      <c r="M21" s="1">
        <v>4.2500000000000098</v>
      </c>
      <c r="N21" s="2">
        <v>-34.624468576726201</v>
      </c>
      <c r="O21" s="8">
        <f t="shared" si="2"/>
        <v>9.1447872115573512E-3</v>
      </c>
    </row>
    <row r="22" spans="1:15" x14ac:dyDescent="0.25">
      <c r="A22" s="2">
        <v>4.0999999999999996</v>
      </c>
      <c r="B22" s="2">
        <v>-88.905188993447496</v>
      </c>
      <c r="C22" s="8">
        <f t="shared" si="0"/>
        <v>6.0389413108745273E-2</v>
      </c>
      <c r="E22" s="2">
        <v>3.76</v>
      </c>
      <c r="F22" s="14">
        <v>-201.88083544211401</v>
      </c>
      <c r="G22" s="14">
        <f t="shared" si="1"/>
        <v>1.9248786172076086E-2</v>
      </c>
      <c r="I22" s="1">
        <v>3.86</v>
      </c>
      <c r="J22" s="2">
        <v>-81.558397253860903</v>
      </c>
      <c r="K22" s="14">
        <f t="shared" si="3"/>
        <v>1.4654005280033289E-4</v>
      </c>
      <c r="M22" s="1">
        <v>4.2600000000000096</v>
      </c>
      <c r="N22" s="2">
        <v>-34.624333383185402</v>
      </c>
      <c r="O22" s="8">
        <f t="shared" si="2"/>
        <v>1.2823592727671728E-2</v>
      </c>
    </row>
    <row r="23" spans="1:15" x14ac:dyDescent="0.25">
      <c r="E23" s="2">
        <v>3.77</v>
      </c>
      <c r="F23" s="14">
        <v>-201.880660576873</v>
      </c>
      <c r="G23" s="14">
        <f t="shared" si="1"/>
        <v>2.400711419121894E-2</v>
      </c>
      <c r="I23" s="41">
        <v>3.87</v>
      </c>
      <c r="J23" s="18">
        <v>-81.558402639105793</v>
      </c>
      <c r="K23" s="24">
        <f t="shared" si="3"/>
        <v>0</v>
      </c>
      <c r="M23" s="1">
        <v>4.2700000000000102</v>
      </c>
      <c r="N23" s="2">
        <v>-34.624177686445002</v>
      </c>
      <c r="O23" s="8">
        <f t="shared" si="2"/>
        <v>1.7060319009390833E-2</v>
      </c>
    </row>
    <row r="24" spans="1:15" x14ac:dyDescent="0.25">
      <c r="E24" s="2">
        <v>3.78</v>
      </c>
      <c r="F24" s="14">
        <v>-201.88046865875501</v>
      </c>
      <c r="G24" s="14">
        <f t="shared" si="1"/>
        <v>2.9229474867131837E-2</v>
      </c>
      <c r="I24" s="1">
        <v>3.88</v>
      </c>
      <c r="J24" s="2">
        <v>-81.558356347806793</v>
      </c>
      <c r="K24" s="8">
        <f t="shared" si="3"/>
        <v>1.2596510536152692E-3</v>
      </c>
      <c r="M24" s="1">
        <v>4.28000000000001</v>
      </c>
      <c r="N24" s="2">
        <v>-34.624001978564202</v>
      </c>
      <c r="O24" s="8">
        <f t="shared" si="2"/>
        <v>2.1841576436986275E-2</v>
      </c>
    </row>
    <row r="25" spans="1:15" x14ac:dyDescent="0.25">
      <c r="E25" s="2">
        <v>3.79</v>
      </c>
      <c r="F25" s="14">
        <v>-201.88026038874901</v>
      </c>
      <c r="G25" s="14">
        <f t="shared" si="1"/>
        <v>3.4896793308363677E-2</v>
      </c>
      <c r="I25" s="1">
        <v>3.89</v>
      </c>
      <c r="J25" s="2">
        <v>-81.558276216658598</v>
      </c>
      <c r="K25" s="8">
        <f t="shared" si="3"/>
        <v>3.44013177961007E-3</v>
      </c>
      <c r="M25" s="1">
        <v>4.2900000000000098</v>
      </c>
      <c r="N25" s="2">
        <v>-34.623807142053003</v>
      </c>
      <c r="O25" s="8">
        <f t="shared" si="2"/>
        <v>2.7143350677814759E-2</v>
      </c>
    </row>
    <row r="26" spans="1:15" x14ac:dyDescent="0.25">
      <c r="E26" s="2">
        <v>3.8</v>
      </c>
      <c r="F26" s="14">
        <v>-201.88003613573801</v>
      </c>
      <c r="G26" s="14">
        <f t="shared" si="1"/>
        <v>4.0999031691838855E-2</v>
      </c>
      <c r="I26" s="1">
        <v>3.9</v>
      </c>
      <c r="J26" s="2">
        <v>-81.558141126353902</v>
      </c>
      <c r="K26" s="8">
        <f>(J26-MIN($J$6:$J$26))*27.2114</f>
        <v>7.1161280968010743E-3</v>
      </c>
      <c r="M26" s="1">
        <v>4.3000000000000096</v>
      </c>
      <c r="N26" s="2">
        <v>-34.623593884252202</v>
      </c>
      <c r="O26" s="8">
        <f t="shared" si="2"/>
        <v>3.2946393998547797E-2</v>
      </c>
    </row>
    <row r="35" spans="1:31" x14ac:dyDescent="0.25">
      <c r="A35" s="53" t="s">
        <v>154</v>
      </c>
    </row>
    <row r="36" spans="1:31" x14ac:dyDescent="0.25">
      <c r="A36" s="72" t="s">
        <v>133</v>
      </c>
      <c r="B36" s="72"/>
      <c r="C36" s="72"/>
      <c r="E36" s="72" t="s">
        <v>138</v>
      </c>
      <c r="F36" s="72"/>
      <c r="G36" s="72"/>
      <c r="I36" s="72" t="s">
        <v>140</v>
      </c>
      <c r="J36" s="72"/>
      <c r="K36" s="72"/>
      <c r="M36" s="72" t="s">
        <v>139</v>
      </c>
      <c r="N36" s="72"/>
      <c r="O36" s="72"/>
      <c r="Q36" s="72" t="s">
        <v>146</v>
      </c>
      <c r="R36" s="72"/>
      <c r="S36" s="72"/>
      <c r="U36" s="72" t="s">
        <v>147</v>
      </c>
      <c r="V36" s="72"/>
      <c r="W36" s="72"/>
      <c r="Y36" s="72" t="s">
        <v>148</v>
      </c>
      <c r="Z36" s="72"/>
      <c r="AA36" s="72"/>
      <c r="AC36" s="72" t="s">
        <v>149</v>
      </c>
      <c r="AD36" s="72"/>
      <c r="AE36" s="72"/>
    </row>
    <row r="37" spans="1:31" x14ac:dyDescent="0.25">
      <c r="A37" s="5" t="s">
        <v>24</v>
      </c>
      <c r="B37" s="5" t="s">
        <v>25</v>
      </c>
      <c r="C37" s="17" t="s">
        <v>26</v>
      </c>
      <c r="E37" s="5" t="s">
        <v>24</v>
      </c>
      <c r="F37" s="5" t="s">
        <v>25</v>
      </c>
      <c r="G37" s="17" t="s">
        <v>26</v>
      </c>
      <c r="I37" s="5" t="s">
        <v>24</v>
      </c>
      <c r="J37" s="5" t="s">
        <v>25</v>
      </c>
      <c r="K37" s="17" t="s">
        <v>26</v>
      </c>
      <c r="M37" s="5" t="s">
        <v>24</v>
      </c>
      <c r="N37" s="5" t="s">
        <v>25</v>
      </c>
      <c r="O37" s="17" t="s">
        <v>26</v>
      </c>
      <c r="Q37" s="5" t="s">
        <v>24</v>
      </c>
      <c r="R37" s="5" t="s">
        <v>25</v>
      </c>
      <c r="S37" s="17" t="s">
        <v>26</v>
      </c>
      <c r="U37" s="5" t="s">
        <v>24</v>
      </c>
      <c r="V37" s="5" t="s">
        <v>25</v>
      </c>
      <c r="W37" s="17" t="s">
        <v>26</v>
      </c>
      <c r="Y37" s="5" t="s">
        <v>24</v>
      </c>
      <c r="Z37" s="5" t="s">
        <v>25</v>
      </c>
      <c r="AA37" s="17" t="s">
        <v>26</v>
      </c>
      <c r="AC37" s="5" t="s">
        <v>24</v>
      </c>
      <c r="AD37" s="5" t="s">
        <v>25</v>
      </c>
      <c r="AE37" s="17" t="s">
        <v>26</v>
      </c>
    </row>
    <row r="38" spans="1:31" x14ac:dyDescent="0.25">
      <c r="A38" s="2">
        <v>3.9</v>
      </c>
      <c r="B38" s="14">
        <v>-88.987826514855897</v>
      </c>
      <c r="C38" s="14">
        <f t="shared" ref="C38:C58" si="4">(B38-MIN($B$38:$B$58))*27.2114</f>
        <v>4.2215658582979015E-3</v>
      </c>
      <c r="E38" s="2">
        <v>3.5</v>
      </c>
      <c r="F38" s="14">
        <v>-201.86286998612101</v>
      </c>
      <c r="G38" s="14">
        <f>(F38-MIN($F$38:$F$58))*27.2114</f>
        <v>2.0918326598586771E-2</v>
      </c>
      <c r="I38" s="1">
        <v>3.65</v>
      </c>
      <c r="J38" s="2">
        <v>-81.588186846615699</v>
      </c>
      <c r="K38" s="8">
        <f>(J38-MIN($J$38:$J$58))*27.2114</f>
        <v>0.20148451801843073</v>
      </c>
      <c r="M38" s="1">
        <v>4</v>
      </c>
      <c r="N38" s="2">
        <v>-34.690523672003899</v>
      </c>
      <c r="O38" s="8">
        <f>(N38-MIN($N$38:$N$58))*27.2114</f>
        <v>5.0447389116465333E-2</v>
      </c>
      <c r="Q38" s="1">
        <v>3.7</v>
      </c>
      <c r="R38" s="2">
        <v>-76.488296646013595</v>
      </c>
      <c r="S38" s="8">
        <f>(R38-MIN($R$38:$R$58))*27.2114</f>
        <v>0.22424858774345813</v>
      </c>
      <c r="U38" s="1">
        <v>3.75</v>
      </c>
      <c r="V38" s="2">
        <v>-95.926837838904902</v>
      </c>
      <c r="W38" s="8">
        <f>(V38-MIN($V$38:$V$58))*27.2114</f>
        <v>0.13764244483013868</v>
      </c>
      <c r="Y38" s="1">
        <v>3.95</v>
      </c>
      <c r="Z38" s="2">
        <v>-147.61871369007699</v>
      </c>
      <c r="AA38" s="8">
        <f>(Z38-MIN($Z$38:$Z$58))*27.2114</f>
        <v>5.9453878276453029E-2</v>
      </c>
      <c r="AC38" s="1">
        <v>3.4</v>
      </c>
      <c r="AD38" s="2">
        <v>-171.255032037424</v>
      </c>
      <c r="AE38" s="8">
        <f>(AD38-MIN($AD$38:$AD$58))*27.2114</f>
        <v>3.931155264044197E-2</v>
      </c>
    </row>
    <row r="39" spans="1:31" x14ac:dyDescent="0.25">
      <c r="A39" s="2">
        <v>3.91</v>
      </c>
      <c r="B39" s="14">
        <v>-88.987932666713903</v>
      </c>
      <c r="C39" s="14">
        <f t="shared" si="4"/>
        <v>1.3330251893564993E-3</v>
      </c>
      <c r="E39" s="2">
        <v>3.51</v>
      </c>
      <c r="F39" s="14">
        <v>-201.863083830238</v>
      </c>
      <c r="G39" s="14">
        <f t="shared" ref="G39:G58" si="5">(F39-MIN($F$38:$F$58))*27.2114</f>
        <v>1.5099328793667297E-2</v>
      </c>
      <c r="I39" s="1">
        <v>3.66</v>
      </c>
      <c r="J39" s="2">
        <v>-81.589196179100597</v>
      </c>
      <c r="K39" s="8">
        <f t="shared" ref="K39:K58" si="6">(J39-MIN($J$38:$J$58))*27.2114</f>
        <v>0.17401916803887471</v>
      </c>
      <c r="M39" s="1">
        <v>4.01</v>
      </c>
      <c r="N39" s="2">
        <v>-34.690894234932898</v>
      </c>
      <c r="O39" s="8">
        <f t="shared" ref="O39:O58" si="7">(N39-MIN($N$38:$N$58))*27.2114</f>
        <v>4.0363853030285127E-2</v>
      </c>
      <c r="Q39" s="1">
        <v>3.71</v>
      </c>
      <c r="R39" s="2">
        <v>-76.489512883198898</v>
      </c>
      <c r="S39" s="8">
        <f t="shared" ref="S39:S58" si="8">(R39-MIN($R$38:$R$58))*27.2114</f>
        <v>0.19115307119928432</v>
      </c>
      <c r="U39" s="1">
        <v>3.76</v>
      </c>
      <c r="V39" s="2">
        <v>-95.927548576832194</v>
      </c>
      <c r="W39" s="8">
        <f t="shared" ref="W39:W58" si="9">(V39-MIN($V$38:$V$58))*27.2114</f>
        <v>0.11830227079541505</v>
      </c>
      <c r="Y39" s="1">
        <v>3.96</v>
      </c>
      <c r="Z39" s="2">
        <v>-147.61906162285899</v>
      </c>
      <c r="AA39" s="8">
        <f t="shared" ref="AA39:AA58" si="10">(Z39-MIN($Z$38:$Z$58))*27.2114</f>
        <v>4.9986140172176174E-2</v>
      </c>
      <c r="AC39" s="1">
        <v>3.41</v>
      </c>
      <c r="AD39" s="2">
        <v>-171.25535837185299</v>
      </c>
      <c r="AE39" s="8">
        <f t="shared" ref="AE39:AE58" si="11">(AD39-MIN($AD$38:$AD$58))*27.2114</f>
        <v>3.0431535959408541E-2</v>
      </c>
    </row>
    <row r="40" spans="1:31" x14ac:dyDescent="0.25">
      <c r="A40" s="18">
        <v>3.92</v>
      </c>
      <c r="B40" s="24">
        <v>-88.987981654461294</v>
      </c>
      <c r="C40" s="24">
        <f t="shared" si="4"/>
        <v>0</v>
      </c>
      <c r="E40" s="2">
        <v>3.52</v>
      </c>
      <c r="F40" s="14">
        <v>-201.86326066485401</v>
      </c>
      <c r="G40" s="14">
        <f t="shared" si="5"/>
        <v>1.028741132348119E-2</v>
      </c>
      <c r="I40" s="1">
        <v>3.67</v>
      </c>
      <c r="J40" s="2">
        <v>-81.590124660475993</v>
      </c>
      <c r="K40" s="8">
        <f t="shared" si="6"/>
        <v>0.14875388994041111</v>
      </c>
      <c r="M40" s="1">
        <v>4.0199999999999996</v>
      </c>
      <c r="N40" s="2">
        <v>-34.6912195722132</v>
      </c>
      <c r="O40" s="8">
        <f t="shared" si="7"/>
        <v>3.1510970161086269E-2</v>
      </c>
      <c r="Q40" s="1">
        <v>3.72</v>
      </c>
      <c r="R40" s="2">
        <v>-76.490618629059199</v>
      </c>
      <c r="S40" s="8">
        <f t="shared" si="8"/>
        <v>0.1610641782963021</v>
      </c>
      <c r="U40" s="1">
        <v>3.77</v>
      </c>
      <c r="V40" s="2">
        <v>-95.928198264263898</v>
      </c>
      <c r="W40" s="8">
        <f t="shared" si="9"/>
        <v>0.10062336621635347</v>
      </c>
      <c r="Y40" s="1">
        <v>3.97</v>
      </c>
      <c r="Z40" s="2">
        <v>-147.61937670170099</v>
      </c>
      <c r="AA40" s="8">
        <f t="shared" si="10"/>
        <v>4.1412403771167873E-2</v>
      </c>
      <c r="AC40" s="1">
        <v>3.42</v>
      </c>
      <c r="AD40" s="2">
        <v>-171.255660698496</v>
      </c>
      <c r="AE40" s="8">
        <f t="shared" si="11"/>
        <v>2.2204804745830451E-2</v>
      </c>
    </row>
    <row r="41" spans="1:31" x14ac:dyDescent="0.25">
      <c r="A41" s="2">
        <v>3.93</v>
      </c>
      <c r="B41" s="14">
        <v>-88.987971613368799</v>
      </c>
      <c r="C41" s="14">
        <f t="shared" si="4"/>
        <v>2.7323218430107374E-4</v>
      </c>
      <c r="E41" s="2">
        <v>3.53</v>
      </c>
      <c r="F41" s="14">
        <v>-201.863402955059</v>
      </c>
      <c r="G41" s="14">
        <f t="shared" si="5"/>
        <v>6.4154956393887236E-3</v>
      </c>
      <c r="I41" s="1">
        <v>3.68</v>
      </c>
      <c r="J41" s="2">
        <v>-81.5909639458214</v>
      </c>
      <c r="K41" s="8">
        <f t="shared" si="6"/>
        <v>0.12591576069240601</v>
      </c>
      <c r="M41" s="1">
        <v>4.03</v>
      </c>
      <c r="N41" s="2">
        <v>-34.6915011693834</v>
      </c>
      <c r="O41" s="8">
        <f t="shared" si="7"/>
        <v>2.3848316923889709E-2</v>
      </c>
      <c r="Q41" s="1">
        <v>3.73</v>
      </c>
      <c r="R41" s="2">
        <v>-76.491625560034294</v>
      </c>
      <c r="S41" s="8">
        <f t="shared" si="8"/>
        <v>0.13366417676061199</v>
      </c>
      <c r="U41" s="1">
        <v>3.78</v>
      </c>
      <c r="V41" s="2">
        <v>-95.928788708322401</v>
      </c>
      <c r="W41" s="8">
        <f t="shared" si="9"/>
        <v>8.4556556762812388E-2</v>
      </c>
      <c r="Y41" s="1">
        <v>3.98</v>
      </c>
      <c r="Z41" s="2">
        <v>-147.61966017143499</v>
      </c>
      <c r="AA41" s="8">
        <f t="shared" si="10"/>
        <v>3.3698795451383434E-2</v>
      </c>
      <c r="AC41" s="1">
        <v>3.43</v>
      </c>
      <c r="AD41" s="2">
        <v>-171.25589876544899</v>
      </c>
      <c r="AE41" s="8">
        <f t="shared" si="11"/>
        <v>1.5726669661280619E-2</v>
      </c>
    </row>
    <row r="42" spans="1:31" x14ac:dyDescent="0.25">
      <c r="A42" s="2">
        <v>3.94</v>
      </c>
      <c r="B42" s="14">
        <v>-88.987907496085697</v>
      </c>
      <c r="C42" s="14">
        <f t="shared" si="4"/>
        <v>2.0179532217138589E-3</v>
      </c>
      <c r="E42" s="2">
        <v>3.54</v>
      </c>
      <c r="F42" s="14">
        <v>-201.86350964805899</v>
      </c>
      <c r="G42" s="14">
        <f t="shared" si="5"/>
        <v>3.5122297394004423E-3</v>
      </c>
      <c r="I42" s="1">
        <v>3.69</v>
      </c>
      <c r="J42" s="2">
        <v>-81.591743048313205</v>
      </c>
      <c r="K42" s="8">
        <f t="shared" si="6"/>
        <v>0.10471529114690598</v>
      </c>
      <c r="M42" s="1">
        <v>4.04</v>
      </c>
      <c r="N42" s="2">
        <v>-34.691740821244302</v>
      </c>
      <c r="O42" s="8">
        <f t="shared" si="7"/>
        <v>1.7327054276146423E-2</v>
      </c>
      <c r="Q42" s="1">
        <v>3.74</v>
      </c>
      <c r="R42" s="2">
        <v>-76.492528989757005</v>
      </c>
      <c r="S42" s="8">
        <f t="shared" si="8"/>
        <v>0.10908058920401388</v>
      </c>
      <c r="U42" s="1">
        <v>3.79</v>
      </c>
      <c r="V42" s="2">
        <v>-95.929321916696296</v>
      </c>
      <c r="W42" s="8">
        <f t="shared" si="9"/>
        <v>7.0047210417408093E-2</v>
      </c>
      <c r="Y42" s="1">
        <v>3.99</v>
      </c>
      <c r="Z42" s="2">
        <v>-147.61990849380601</v>
      </c>
      <c r="AA42" s="8">
        <f t="shared" si="10"/>
        <v>2.694159608457011E-2</v>
      </c>
      <c r="AC42" s="1">
        <v>3.44</v>
      </c>
      <c r="AD42" s="2">
        <v>-171.25610952256301</v>
      </c>
      <c r="AE42" s="8">
        <f t="shared" si="11"/>
        <v>9.9916735288739685E-3</v>
      </c>
    </row>
    <row r="43" spans="1:31" x14ac:dyDescent="0.25">
      <c r="A43" s="2">
        <v>3.95</v>
      </c>
      <c r="B43" s="14">
        <v>-88.987790041060094</v>
      </c>
      <c r="C43" s="14">
        <f t="shared" si="4"/>
        <v>5.2140689053924516E-3</v>
      </c>
      <c r="E43" s="2">
        <v>3.55</v>
      </c>
      <c r="F43" s="14">
        <v>-201.86358564090699</v>
      </c>
      <c r="G43" s="14">
        <f t="shared" si="5"/>
        <v>1.4443579554276368E-3</v>
      </c>
      <c r="I43" s="1">
        <v>3.7</v>
      </c>
      <c r="J43" s="2">
        <v>-81.592427550351303</v>
      </c>
      <c r="K43" s="8">
        <f t="shared" si="6"/>
        <v>8.6089032387409073E-2</v>
      </c>
      <c r="M43" s="1">
        <v>4.05</v>
      </c>
      <c r="N43" s="2">
        <v>-34.691939756700599</v>
      </c>
      <c r="O43" s="8">
        <f t="shared" si="7"/>
        <v>1.1913742000678011E-2</v>
      </c>
      <c r="Q43" s="1">
        <v>3.75</v>
      </c>
      <c r="R43" s="2">
        <v>-76.493330267422394</v>
      </c>
      <c r="S43" s="8">
        <f t="shared" si="8"/>
        <v>8.7276702140060947E-2</v>
      </c>
      <c r="U43" s="1">
        <v>3.8</v>
      </c>
      <c r="V43" s="2">
        <v>-95.929799645360703</v>
      </c>
      <c r="W43" s="8">
        <f t="shared" si="9"/>
        <v>5.7047544638760862E-2</v>
      </c>
      <c r="Y43" s="1">
        <v>4</v>
      </c>
      <c r="Z43" s="2">
        <v>-147.62012598389001</v>
      </c>
      <c r="AA43" s="8">
        <f t="shared" si="10"/>
        <v>2.1023386412880048E-2</v>
      </c>
      <c r="AC43" s="1">
        <v>3.45</v>
      </c>
      <c r="AD43" s="2">
        <v>-171.25626939360399</v>
      </c>
      <c r="AE43" s="8">
        <f t="shared" si="11"/>
        <v>5.6413586844043379E-3</v>
      </c>
    </row>
    <row r="44" spans="1:31" x14ac:dyDescent="0.25">
      <c r="A44" s="2">
        <v>3.96</v>
      </c>
      <c r="B44" s="14">
        <v>-88.987622671078995</v>
      </c>
      <c r="C44" s="14">
        <f t="shared" si="4"/>
        <v>9.7684404090790655E-3</v>
      </c>
      <c r="E44" s="2">
        <v>3.56</v>
      </c>
      <c r="F44" s="14">
        <v>-201.86362833394401</v>
      </c>
      <c r="G44" s="14">
        <f t="shared" si="5"/>
        <v>2.8262064794974434E-4</v>
      </c>
      <c r="I44" s="1">
        <v>3.71</v>
      </c>
      <c r="J44" s="2">
        <v>-81.593039237975105</v>
      </c>
      <c r="K44" s="8">
        <f t="shared" si="6"/>
        <v>6.9444155781070216E-2</v>
      </c>
      <c r="M44" s="1">
        <v>4.0599999999999996</v>
      </c>
      <c r="N44" s="2">
        <v>-34.692099908796102</v>
      </c>
      <c r="O44" s="8">
        <f t="shared" si="7"/>
        <v>7.5557792690950781E-3</v>
      </c>
      <c r="Q44" s="1">
        <v>3.76</v>
      </c>
      <c r="R44" s="2">
        <v>-76.494036612325402</v>
      </c>
      <c r="S44" s="8">
        <f t="shared" si="8"/>
        <v>6.8056068446336229E-2</v>
      </c>
      <c r="U44" s="1">
        <v>3.81</v>
      </c>
      <c r="V44" s="2">
        <v>-95.930223693817695</v>
      </c>
      <c r="W44" s="8">
        <f t="shared" si="9"/>
        <v>4.5508592456169991E-2</v>
      </c>
      <c r="Y44" s="1">
        <v>4.01</v>
      </c>
      <c r="Z44" s="2">
        <v>-147.62031486457201</v>
      </c>
      <c r="AA44" s="8">
        <f t="shared" si="10"/>
        <v>1.5883678622612713E-2</v>
      </c>
      <c r="AC44" s="1">
        <v>3.46</v>
      </c>
      <c r="AD44" s="2">
        <v>-171.25636075530701</v>
      </c>
      <c r="AE44" s="8">
        <f t="shared" si="11"/>
        <v>3.1552788386332623E-3</v>
      </c>
    </row>
    <row r="45" spans="1:31" x14ac:dyDescent="0.25">
      <c r="A45" s="2">
        <v>3.97</v>
      </c>
      <c r="B45" s="14">
        <v>-88.987407330807699</v>
      </c>
      <c r="C45" s="14">
        <f t="shared" si="4"/>
        <v>1.562815066743194E-2</v>
      </c>
      <c r="E45" s="18">
        <v>3.57</v>
      </c>
      <c r="F45" s="24">
        <v>-201.863638720056</v>
      </c>
      <c r="G45" s="24">
        <f t="shared" si="5"/>
        <v>0</v>
      </c>
      <c r="I45" s="1">
        <v>3.72</v>
      </c>
      <c r="J45" s="2">
        <v>-81.593575779139698</v>
      </c>
      <c r="K45" s="8">
        <f t="shared" si="6"/>
        <v>5.4844119534876147E-2</v>
      </c>
      <c r="M45" s="1">
        <v>4.07</v>
      </c>
      <c r="N45" s="2">
        <v>-34.692222119236703</v>
      </c>
      <c r="O45" s="8">
        <f t="shared" si="7"/>
        <v>4.2302620857216896E-3</v>
      </c>
      <c r="Q45" s="1">
        <v>3.77</v>
      </c>
      <c r="R45" s="2">
        <v>-76.494649204865098</v>
      </c>
      <c r="S45" s="8">
        <f t="shared" si="8"/>
        <v>5.1386567811657645E-2</v>
      </c>
      <c r="U45" s="1">
        <v>3.82</v>
      </c>
      <c r="V45" s="2">
        <v>-95.930595684882206</v>
      </c>
      <c r="W45" s="8">
        <f t="shared" si="9"/>
        <v>3.5386194803316597E-2</v>
      </c>
      <c r="Y45" s="1">
        <v>4.0199999999999996</v>
      </c>
      <c r="Z45" s="2">
        <v>-147.62047868987401</v>
      </c>
      <c r="AA45" s="8">
        <f t="shared" si="10"/>
        <v>1.1425762799872985E-2</v>
      </c>
      <c r="AC45" s="1">
        <v>3.47</v>
      </c>
      <c r="AD45" s="2">
        <v>-171.25640061805299</v>
      </c>
      <c r="AE45" s="8">
        <f t="shared" si="11"/>
        <v>2.0705577127062783E-3</v>
      </c>
    </row>
    <row r="46" spans="1:31" x14ac:dyDescent="0.25">
      <c r="A46" s="2">
        <v>3.98</v>
      </c>
      <c r="B46" s="14">
        <v>-88.987144661103002</v>
      </c>
      <c r="C46" s="14">
        <f t="shared" si="4"/>
        <v>2.2775761069806198E-2</v>
      </c>
      <c r="E46" s="2">
        <v>3.58</v>
      </c>
      <c r="F46" s="14">
        <v>-201.863619323243</v>
      </c>
      <c r="G46" s="14">
        <f t="shared" si="5"/>
        <v>5.2781443732272918E-4</v>
      </c>
      <c r="I46" s="1">
        <v>3.73</v>
      </c>
      <c r="J46" s="2">
        <v>-81.594054249768902</v>
      </c>
      <c r="K46" s="8">
        <f t="shared" si="6"/>
        <v>4.1824263855347536E-2</v>
      </c>
      <c r="M46" s="1">
        <v>4.08</v>
      </c>
      <c r="N46" s="2">
        <v>-34.692308213517599</v>
      </c>
      <c r="O46" s="8">
        <f t="shared" si="7"/>
        <v>1.8875161705600961E-3</v>
      </c>
      <c r="Q46" s="1">
        <v>3.78</v>
      </c>
      <c r="R46" s="2">
        <v>-76.495171141713598</v>
      </c>
      <c r="S46" s="8">
        <f t="shared" si="8"/>
        <v>3.7183935452381911E-2</v>
      </c>
      <c r="U46" s="1">
        <v>3.83</v>
      </c>
      <c r="V46" s="2">
        <v>-95.930917465579597</v>
      </c>
      <c r="W46" s="8">
        <f t="shared" si="9"/>
        <v>2.663009153433794E-2</v>
      </c>
      <c r="Y46" s="1">
        <v>4.03</v>
      </c>
      <c r="Z46" s="2">
        <v>-147.62061191594299</v>
      </c>
      <c r="AA46" s="8">
        <f t="shared" si="10"/>
        <v>7.8004949463723909E-3</v>
      </c>
      <c r="AC46" s="41">
        <v>3.48</v>
      </c>
      <c r="AD46" s="18">
        <v>-171.256476709607</v>
      </c>
      <c r="AE46" s="19">
        <f t="shared" si="11"/>
        <v>0</v>
      </c>
    </row>
    <row r="47" spans="1:31" x14ac:dyDescent="0.25">
      <c r="A47" s="2">
        <v>3.99</v>
      </c>
      <c r="B47" s="14">
        <v>-88.986840326229895</v>
      </c>
      <c r="C47" s="14">
        <f t="shared" si="4"/>
        <v>3.10571390358668E-2</v>
      </c>
      <c r="E47" s="2">
        <v>3.59</v>
      </c>
      <c r="F47" s="14">
        <v>-201.86357090367201</v>
      </c>
      <c r="G47" s="14">
        <f t="shared" si="5"/>
        <v>1.8453787512874896E-3</v>
      </c>
      <c r="I47" s="1">
        <v>3.74</v>
      </c>
      <c r="J47" s="2">
        <v>-81.594463423828401</v>
      </c>
      <c r="K47" s="8">
        <f t="shared" si="6"/>
        <v>3.0690064852704722E-2</v>
      </c>
      <c r="M47" s="1">
        <v>4.09</v>
      </c>
      <c r="N47" s="2">
        <v>-34.692359646643197</v>
      </c>
      <c r="O47" s="14">
        <f t="shared" si="7"/>
        <v>4.8794881664849615E-4</v>
      </c>
      <c r="Q47" s="1">
        <v>3.79</v>
      </c>
      <c r="R47" s="2">
        <v>-76.495605176729001</v>
      </c>
      <c r="S47" s="8">
        <f t="shared" si="8"/>
        <v>2.5373235034261019E-2</v>
      </c>
      <c r="U47" s="1">
        <v>3.84</v>
      </c>
      <c r="V47" s="2">
        <v>-95.931190494109799</v>
      </c>
      <c r="W47" s="8">
        <f t="shared" si="9"/>
        <v>1.9200602987594653E-2</v>
      </c>
      <c r="Y47" s="1">
        <v>4.04</v>
      </c>
      <c r="Z47" s="2">
        <v>-147.62072146815001</v>
      </c>
      <c r="AA47" s="8">
        <f t="shared" si="10"/>
        <v>4.8194260202253873E-3</v>
      </c>
      <c r="AC47" s="1">
        <v>3.49</v>
      </c>
      <c r="AD47" s="2">
        <v>-171.25645283512401</v>
      </c>
      <c r="AE47" s="8">
        <f t="shared" si="11"/>
        <v>6.4965810647379951E-4</v>
      </c>
    </row>
    <row r="48" spans="1:31" x14ac:dyDescent="0.25">
      <c r="A48" s="2">
        <v>4</v>
      </c>
      <c r="B48" s="14">
        <v>-88.986487830280694</v>
      </c>
      <c r="C48" s="14">
        <f t="shared" si="4"/>
        <v>4.0649047307959527E-2</v>
      </c>
      <c r="E48" s="2">
        <v>3.6</v>
      </c>
      <c r="F48" s="14">
        <v>-201.86349468396699</v>
      </c>
      <c r="G48" s="14">
        <f t="shared" si="5"/>
        <v>3.919423632526957E-3</v>
      </c>
      <c r="I48" s="1">
        <v>3.75</v>
      </c>
      <c r="J48" s="2">
        <v>-81.5948015205107</v>
      </c>
      <c r="K48" s="8">
        <f t="shared" si="6"/>
        <v>2.1489980791999621E-2</v>
      </c>
      <c r="M48" s="41">
        <v>4.0999999999999996</v>
      </c>
      <c r="N48" s="18">
        <v>-34.692377578422402</v>
      </c>
      <c r="O48" s="24">
        <f t="shared" si="7"/>
        <v>0</v>
      </c>
      <c r="Q48" s="1">
        <v>3.8</v>
      </c>
      <c r="R48" s="2">
        <v>-76.495952934253296</v>
      </c>
      <c r="S48" s="8">
        <f t="shared" si="8"/>
        <v>1.5910265937649472E-2</v>
      </c>
      <c r="U48" s="1">
        <v>3.85</v>
      </c>
      <c r="V48" s="2">
        <v>-95.931416686902097</v>
      </c>
      <c r="W48" s="8">
        <f t="shared" si="9"/>
        <v>1.3045580439275978E-2</v>
      </c>
      <c r="Y48" s="1">
        <v>4.05</v>
      </c>
      <c r="Z48" s="2">
        <v>-147.62079833466399</v>
      </c>
      <c r="AA48" s="8">
        <f t="shared" si="10"/>
        <v>2.7277805617438333E-3</v>
      </c>
      <c r="AC48" s="1">
        <v>3.5</v>
      </c>
      <c r="AD48" s="2">
        <v>-171.25643409691699</v>
      </c>
      <c r="AE48" s="8">
        <f t="shared" si="11"/>
        <v>1.1595509529242747E-3</v>
      </c>
    </row>
    <row r="49" spans="1:31" x14ac:dyDescent="0.25">
      <c r="A49" s="2">
        <v>4.01</v>
      </c>
      <c r="B49" s="14">
        <v>-88.986093500164799</v>
      </c>
      <c r="C49" s="14">
        <f t="shared" si="4"/>
        <v>5.1379321823638711E-2</v>
      </c>
      <c r="E49" s="2">
        <v>3.61</v>
      </c>
      <c r="F49" s="14">
        <v>-201.86339146089401</v>
      </c>
      <c r="G49" s="14">
        <f t="shared" si="5"/>
        <v>6.728267960706978E-3</v>
      </c>
      <c r="I49" s="1">
        <v>3.76</v>
      </c>
      <c r="J49" s="2">
        <v>-81.595079320627406</v>
      </c>
      <c r="K49" s="8">
        <f t="shared" si="6"/>
        <v>1.3930650696269729E-2</v>
      </c>
      <c r="M49" s="1">
        <v>4.1100000000000003</v>
      </c>
      <c r="N49" s="2">
        <v>-34.692363197850597</v>
      </c>
      <c r="O49" s="14">
        <f t="shared" si="7"/>
        <v>3.9131549162440963E-4</v>
      </c>
      <c r="Q49" s="1">
        <v>3.81</v>
      </c>
      <c r="R49" s="2">
        <v>-76.496222093003894</v>
      </c>
      <c r="S49" s="8">
        <f t="shared" si="8"/>
        <v>8.5860795116310482E-3</v>
      </c>
      <c r="U49" s="1">
        <v>3.86</v>
      </c>
      <c r="V49" s="2">
        <v>-95.931597452885299</v>
      </c>
      <c r="W49" s="8">
        <f t="shared" si="9"/>
        <v>8.1266849639597127E-3</v>
      </c>
      <c r="Y49" s="1">
        <v>4.0599999999999996</v>
      </c>
      <c r="Z49" s="2">
        <v>-147.62086533322099</v>
      </c>
      <c r="AA49" s="14">
        <f t="shared" si="10"/>
        <v>9.0465602771887461E-4</v>
      </c>
      <c r="AC49" s="1">
        <v>3.51</v>
      </c>
      <c r="AD49" s="2">
        <v>-171.25635700342499</v>
      </c>
      <c r="AE49" s="8">
        <f t="shared" si="11"/>
        <v>3.2573728010128946E-3</v>
      </c>
    </row>
    <row r="50" spans="1:31" x14ac:dyDescent="0.25">
      <c r="A50" s="2">
        <v>4.0199999999999996</v>
      </c>
      <c r="B50" s="14">
        <v>-88.985660237687199</v>
      </c>
      <c r="C50" s="14">
        <f t="shared" si="4"/>
        <v>6.3169000406597439E-2</v>
      </c>
      <c r="E50" s="2">
        <v>3.62</v>
      </c>
      <c r="F50" s="14">
        <v>-201.86326225795599</v>
      </c>
      <c r="G50" s="14">
        <f t="shared" si="5"/>
        <v>1.0244060788138699E-2</v>
      </c>
      <c r="I50" s="1">
        <v>3.77</v>
      </c>
      <c r="J50" s="2">
        <v>-81.595295052309893</v>
      </c>
      <c r="K50" s="8">
        <f t="shared" si="6"/>
        <v>8.0602895914216079E-3</v>
      </c>
      <c r="M50" s="1">
        <v>4.12</v>
      </c>
      <c r="N50" s="2">
        <v>-34.692317975909702</v>
      </c>
      <c r="O50" s="8">
        <f t="shared" si="7"/>
        <v>1.6218678140723015E-3</v>
      </c>
      <c r="Q50" s="1">
        <v>3.82</v>
      </c>
      <c r="R50" s="2">
        <v>-76.496403594490104</v>
      </c>
      <c r="S50" s="8">
        <f t="shared" si="8"/>
        <v>3.6471699697674751E-3</v>
      </c>
      <c r="U50" s="1">
        <v>3.87</v>
      </c>
      <c r="V50" s="2">
        <v>-95.931734305910396</v>
      </c>
      <c r="W50" s="8">
        <f t="shared" si="9"/>
        <v>4.4027225568314269E-3</v>
      </c>
      <c r="Y50" s="1">
        <v>4.07</v>
      </c>
      <c r="Z50" s="2">
        <v>-147.62089233625201</v>
      </c>
      <c r="AA50" s="14">
        <f t="shared" si="10"/>
        <v>1.6986574937016599E-4</v>
      </c>
      <c r="AC50" s="1">
        <v>3.52</v>
      </c>
      <c r="AD50" s="2">
        <v>-171.256227247514</v>
      </c>
      <c r="AE50" s="8">
        <f t="shared" si="11"/>
        <v>6.7882127973280951E-3</v>
      </c>
    </row>
    <row r="51" spans="1:31" x14ac:dyDescent="0.25">
      <c r="A51" s="2">
        <v>4.03</v>
      </c>
      <c r="B51" s="14">
        <v>-88.985185972390994</v>
      </c>
      <c r="C51" s="14">
        <f t="shared" si="4"/>
        <v>7.6074423087752627E-2</v>
      </c>
      <c r="E51" s="2">
        <v>3.63</v>
      </c>
      <c r="F51" s="14">
        <v>-201.86310561716101</v>
      </c>
      <c r="G51" s="14">
        <f t="shared" si="5"/>
        <v>1.4506476116760514E-2</v>
      </c>
      <c r="I51" s="1">
        <v>3.78</v>
      </c>
      <c r="J51" s="2">
        <v>-81.595451087371899</v>
      </c>
      <c r="K51" s="8">
        <f t="shared" si="6"/>
        <v>3.8143571051693871E-3</v>
      </c>
      <c r="M51" s="1">
        <v>4.13</v>
      </c>
      <c r="N51" s="2">
        <v>-34.6922428946176</v>
      </c>
      <c r="O51" s="8">
        <f t="shared" si="7"/>
        <v>3.6649348859944127E-3</v>
      </c>
      <c r="Q51" s="1">
        <v>3.83</v>
      </c>
      <c r="R51" s="2">
        <v>-76.496510749079604</v>
      </c>
      <c r="S51" s="8">
        <f t="shared" si="8"/>
        <v>7.3134357304257386E-4</v>
      </c>
      <c r="U51" s="1">
        <v>3.88</v>
      </c>
      <c r="V51" s="2">
        <v>-95.931828680365797</v>
      </c>
      <c r="W51" s="8">
        <f t="shared" si="9"/>
        <v>1.8346615011401298E-3</v>
      </c>
      <c r="Y51" s="41">
        <v>4.08</v>
      </c>
      <c r="Z51" s="18">
        <v>-147.62089857870001</v>
      </c>
      <c r="AA51" s="48">
        <f t="shared" si="10"/>
        <v>0</v>
      </c>
      <c r="AC51" s="1">
        <v>3.53</v>
      </c>
      <c r="AD51" s="2">
        <v>-171.25609109667201</v>
      </c>
      <c r="AE51" s="8">
        <f t="shared" si="11"/>
        <v>1.0493067819221887E-2</v>
      </c>
    </row>
    <row r="52" spans="1:31" x14ac:dyDescent="0.25">
      <c r="A52" s="2">
        <v>4.04</v>
      </c>
      <c r="B52" s="14">
        <v>-88.984676269501904</v>
      </c>
      <c r="C52" s="14">
        <f t="shared" si="4"/>
        <v>8.994415228393994E-2</v>
      </c>
      <c r="E52" s="2">
        <v>3.64</v>
      </c>
      <c r="F52" s="14">
        <v>-201.86292612371599</v>
      </c>
      <c r="G52" s="14">
        <f t="shared" si="5"/>
        <v>1.9390744046508146E-2</v>
      </c>
      <c r="I52" s="1">
        <v>3.79</v>
      </c>
      <c r="J52" s="2">
        <v>-81.595550111493694</v>
      </c>
      <c r="K52" s="8">
        <f t="shared" si="6"/>
        <v>1.1197721173608671E-3</v>
      </c>
      <c r="M52" s="1">
        <v>4.1399999999999997</v>
      </c>
      <c r="N52" s="2">
        <v>-34.692139276126902</v>
      </c>
      <c r="O52" s="8">
        <f t="shared" si="7"/>
        <v>6.484539083772725E-3</v>
      </c>
      <c r="Q52" s="41">
        <v>3.84</v>
      </c>
      <c r="R52" s="18">
        <v>-76.496537625446607</v>
      </c>
      <c r="S52" s="19">
        <f t="shared" si="8"/>
        <v>0</v>
      </c>
      <c r="U52" s="1">
        <v>3.89</v>
      </c>
      <c r="V52" s="2">
        <v>-95.9318822140268</v>
      </c>
      <c r="W52" s="14">
        <f t="shared" si="9"/>
        <v>3.7793563812846856E-4</v>
      </c>
      <c r="Y52" s="1">
        <v>4.09</v>
      </c>
      <c r="Z52" s="2">
        <v>-147.620891065303</v>
      </c>
      <c r="AA52" s="10">
        <f t="shared" si="10"/>
        <v>2.0445005135850353E-4</v>
      </c>
      <c r="AC52" s="1">
        <v>3.54</v>
      </c>
      <c r="AD52" s="2">
        <v>-171.25588635719799</v>
      </c>
      <c r="AE52" s="8">
        <f t="shared" si="11"/>
        <v>1.6064315542421662E-2</v>
      </c>
    </row>
    <row r="53" spans="1:31" x14ac:dyDescent="0.25">
      <c r="A53" s="2">
        <v>4.05</v>
      </c>
      <c r="B53" s="14">
        <v>-88.984126522055504</v>
      </c>
      <c r="C53" s="14">
        <f t="shared" si="4"/>
        <v>0.10490354994689124</v>
      </c>
      <c r="E53" s="2">
        <v>3.65</v>
      </c>
      <c r="F53" s="14">
        <v>-201.86272119974299</v>
      </c>
      <c r="G53" s="14">
        <f t="shared" si="5"/>
        <v>2.4967012245436106E-2</v>
      </c>
      <c r="I53" s="41">
        <v>3.8</v>
      </c>
      <c r="J53" s="18">
        <v>-81.595591262339198</v>
      </c>
      <c r="K53" s="24">
        <f t="shared" si="6"/>
        <v>0</v>
      </c>
      <c r="M53" s="1">
        <v>4.1500000000000004</v>
      </c>
      <c r="N53" s="2">
        <v>-34.692008360403499</v>
      </c>
      <c r="O53" s="8">
        <f t="shared" si="7"/>
        <v>1.0046939199589036E-2</v>
      </c>
      <c r="Q53" s="1">
        <v>3.85</v>
      </c>
      <c r="R53" s="2">
        <v>-76.496499341598394</v>
      </c>
      <c r="S53" s="8">
        <f t="shared" si="8"/>
        <v>1.0417571072488755E-3</v>
      </c>
      <c r="U53" s="41">
        <v>3.9</v>
      </c>
      <c r="V53" s="18">
        <v>-95.931896102898307</v>
      </c>
      <c r="W53" s="24">
        <f t="shared" si="9"/>
        <v>0</v>
      </c>
      <c r="Y53" s="1">
        <v>4.0999999999999996</v>
      </c>
      <c r="Z53" s="2">
        <v>-147.620861899625</v>
      </c>
      <c r="AA53" s="8">
        <f t="shared" si="10"/>
        <v>9.9808898170699093E-4</v>
      </c>
      <c r="AC53" s="1">
        <v>3.55</v>
      </c>
      <c r="AD53" s="2">
        <v>-171.25571183952599</v>
      </c>
      <c r="AE53" s="8">
        <f t="shared" si="11"/>
        <v>2.081318572249535E-2</v>
      </c>
    </row>
    <row r="54" spans="1:31" x14ac:dyDescent="0.25">
      <c r="A54" s="2">
        <v>4.0599999999999996</v>
      </c>
      <c r="B54" s="14">
        <v>-88.9835491106071</v>
      </c>
      <c r="C54" s="14">
        <f t="shared" si="4"/>
        <v>0.12061572383399359</v>
      </c>
      <c r="E54" s="2">
        <v>3.66</v>
      </c>
      <c r="F54" s="14">
        <v>-201.862493809429</v>
      </c>
      <c r="G54" s="14">
        <f t="shared" si="5"/>
        <v>3.1154621035682416E-2</v>
      </c>
      <c r="I54" s="1">
        <v>3.81</v>
      </c>
      <c r="J54" s="2">
        <v>-81.595586460580606</v>
      </c>
      <c r="K54" s="14">
        <f t="shared" si="6"/>
        <v>1.3066257376452201E-4</v>
      </c>
      <c r="M54" s="1">
        <v>4.16</v>
      </c>
      <c r="N54" s="2">
        <v>-34.691851179765699</v>
      </c>
      <c r="O54" s="8">
        <f t="shared" si="7"/>
        <v>1.4324044407008255E-2</v>
      </c>
      <c r="Q54" s="1">
        <v>3.86</v>
      </c>
      <c r="R54" s="2">
        <v>-76.496391503411203</v>
      </c>
      <c r="S54" s="8">
        <f t="shared" si="8"/>
        <v>3.9761851541677976E-3</v>
      </c>
      <c r="U54" s="1">
        <v>3.91</v>
      </c>
      <c r="V54" s="2">
        <v>-95.931871955061894</v>
      </c>
      <c r="W54" s="8">
        <f t="shared" si="9"/>
        <v>6.5709643577239096E-4</v>
      </c>
      <c r="Y54" s="1">
        <v>4.1100000000000003</v>
      </c>
      <c r="Z54" s="2">
        <v>-147.62080529578901</v>
      </c>
      <c r="AA54" s="8">
        <f t="shared" si="10"/>
        <v>2.5383586042667617E-3</v>
      </c>
      <c r="AC54" s="1">
        <v>3.56</v>
      </c>
      <c r="AD54" s="2">
        <v>-171.25548307569699</v>
      </c>
      <c r="AE54" s="8">
        <f t="shared" si="11"/>
        <v>2.7038169778944451E-2</v>
      </c>
    </row>
    <row r="55" spans="1:31" x14ac:dyDescent="0.25">
      <c r="A55" s="2">
        <v>4.07</v>
      </c>
      <c r="B55" s="14">
        <v>-88.982930060360403</v>
      </c>
      <c r="C55" s="14">
        <f t="shared" si="4"/>
        <v>0.13746094771698716</v>
      </c>
      <c r="E55" s="2">
        <v>3.67</v>
      </c>
      <c r="F55" s="14">
        <v>-201.862245544758</v>
      </c>
      <c r="G55" s="14">
        <f t="shared" si="5"/>
        <v>3.7910250304150794E-2</v>
      </c>
      <c r="I55" s="1">
        <v>3.82</v>
      </c>
      <c r="J55" s="2">
        <v>-81.595515650029697</v>
      </c>
      <c r="K55" s="8">
        <f t="shared" si="6"/>
        <v>2.057516798771667E-3</v>
      </c>
      <c r="M55" s="1">
        <v>4.17</v>
      </c>
      <c r="N55" s="2">
        <v>-34.691668825292602</v>
      </c>
      <c r="O55" s="8">
        <f t="shared" si="7"/>
        <v>1.9286164916233965E-2</v>
      </c>
      <c r="Q55" s="1">
        <v>3.87</v>
      </c>
      <c r="R55" s="2">
        <v>-76.496213202077996</v>
      </c>
      <c r="S55" s="8">
        <f t="shared" si="8"/>
        <v>8.8280140526045651E-3</v>
      </c>
      <c r="U55" s="1">
        <v>3.92</v>
      </c>
      <c r="V55" s="2">
        <v>-95.931811028035696</v>
      </c>
      <c r="W55" s="8">
        <f t="shared" si="9"/>
        <v>2.3150061164439279E-3</v>
      </c>
      <c r="Y55" s="1">
        <v>4.12</v>
      </c>
      <c r="Z55" s="2">
        <v>-147.62074002389801</v>
      </c>
      <c r="AA55" s="8">
        <f t="shared" si="10"/>
        <v>4.314498139112573E-3</v>
      </c>
      <c r="AC55" s="1">
        <v>3.57</v>
      </c>
      <c r="AD55" s="2">
        <v>-171.25521067249599</v>
      </c>
      <c r="AE55" s="8">
        <f t="shared" si="11"/>
        <v>3.445064224250214E-2</v>
      </c>
    </row>
    <row r="56" spans="1:31" x14ac:dyDescent="0.25">
      <c r="A56" s="2">
        <v>4.08</v>
      </c>
      <c r="B56" s="14">
        <v>-88.982280878965796</v>
      </c>
      <c r="C56" s="14">
        <f t="shared" si="4"/>
        <v>0.15512608231819641</v>
      </c>
      <c r="E56" s="2">
        <v>3.68</v>
      </c>
      <c r="F56" s="14">
        <v>-201.861973894182</v>
      </c>
      <c r="G56" s="14">
        <f t="shared" si="5"/>
        <v>4.5302242787817013E-2</v>
      </c>
      <c r="I56" s="1">
        <v>3.83</v>
      </c>
      <c r="J56" s="2">
        <v>-81.595400111624897</v>
      </c>
      <c r="K56" s="8">
        <f t="shared" si="6"/>
        <v>5.2014785471206386E-3</v>
      </c>
      <c r="M56" s="1">
        <v>4.18</v>
      </c>
      <c r="N56" s="2">
        <v>-34.691462123729401</v>
      </c>
      <c r="O56" s="8">
        <f t="shared" si="7"/>
        <v>2.4910803833116082E-2</v>
      </c>
      <c r="Q56" s="1">
        <v>3.88</v>
      </c>
      <c r="R56" s="2">
        <v>-76.495964732853295</v>
      </c>
      <c r="S56" s="8">
        <f t="shared" si="8"/>
        <v>1.5589209513630579E-2</v>
      </c>
      <c r="U56" s="1">
        <v>3.93</v>
      </c>
      <c r="V56" s="2">
        <v>-95.931714573639695</v>
      </c>
      <c r="W56" s="8">
        <f t="shared" si="9"/>
        <v>4.9396652677834258E-3</v>
      </c>
      <c r="Y56" s="1">
        <v>4.13</v>
      </c>
      <c r="Z56" s="2">
        <v>-147.620645319575</v>
      </c>
      <c r="AA56" s="8">
        <f t="shared" si="10"/>
        <v>6.8915353541085158E-3</v>
      </c>
      <c r="AC56" s="1">
        <v>3.58</v>
      </c>
      <c r="AD56" s="2">
        <v>-171.25491896886601</v>
      </c>
      <c r="AE56" s="8">
        <f t="shared" si="11"/>
        <v>4.2388306399433265E-2</v>
      </c>
    </row>
    <row r="57" spans="1:31" x14ac:dyDescent="0.25">
      <c r="A57" s="2">
        <v>4.09</v>
      </c>
      <c r="B57" s="14">
        <v>-88.981605362096602</v>
      </c>
      <c r="C57" s="14">
        <f t="shared" si="4"/>
        <v>0.17350784205257852</v>
      </c>
      <c r="E57" s="2">
        <v>3.69</v>
      </c>
      <c r="F57" s="14">
        <v>-201.86168421738199</v>
      </c>
      <c r="G57" s="14">
        <f t="shared" si="5"/>
        <v>5.3184754063567354E-2</v>
      </c>
      <c r="I57" s="1">
        <v>3.84</v>
      </c>
      <c r="J57" s="2">
        <v>-81.595227689178401</v>
      </c>
      <c r="K57" s="8">
        <f t="shared" si="6"/>
        <v>9.8933347077158201E-3</v>
      </c>
      <c r="M57" s="1">
        <v>4.1900000000000004</v>
      </c>
      <c r="N57" s="2">
        <v>-34.691232307049098</v>
      </c>
      <c r="O57" s="8">
        <f t="shared" si="7"/>
        <v>3.116443744751244E-2</v>
      </c>
      <c r="Q57" s="1">
        <v>3.89</v>
      </c>
      <c r="R57" s="2">
        <v>-76.495657758946805</v>
      </c>
      <c r="S57" s="8">
        <f t="shared" si="8"/>
        <v>2.3942399272687553E-2</v>
      </c>
      <c r="U57" s="1">
        <v>3.94</v>
      </c>
      <c r="V57" s="2">
        <v>-95.931583919960303</v>
      </c>
      <c r="W57" s="8">
        <f t="shared" si="9"/>
        <v>8.4949347991885044E-3</v>
      </c>
      <c r="Y57" s="1">
        <v>4.1399999999999997</v>
      </c>
      <c r="Z57" s="2">
        <v>-147.62053284762999</v>
      </c>
      <c r="AA57" s="8">
        <f t="shared" si="10"/>
        <v>9.9520544387187559E-3</v>
      </c>
      <c r="AC57" s="1">
        <v>3.59</v>
      </c>
      <c r="AD57" s="2">
        <v>-171.25461145897799</v>
      </c>
      <c r="AE57" s="8">
        <f t="shared" si="11"/>
        <v>5.0756080966230514E-2</v>
      </c>
    </row>
    <row r="58" spans="1:31" x14ac:dyDescent="0.25">
      <c r="A58" s="2">
        <v>4.0999999999999996</v>
      </c>
      <c r="B58" s="14">
        <v>-88.980899300534603</v>
      </c>
      <c r="C58" s="14">
        <f t="shared" si="4"/>
        <v>0.19272076564076215</v>
      </c>
      <c r="E58" s="2">
        <v>3.7</v>
      </c>
      <c r="F58" s="14">
        <v>-201.86137208039099</v>
      </c>
      <c r="G58" s="14">
        <f t="shared" si="5"/>
        <v>6.1678438580439691E-2</v>
      </c>
      <c r="I58" s="1">
        <v>3.85</v>
      </c>
      <c r="J58" s="2">
        <v>-81.595022079709096</v>
      </c>
      <c r="K58" s="8">
        <f t="shared" si="6"/>
        <v>1.548825622075076E-2</v>
      </c>
      <c r="M58" s="1">
        <v>4.2</v>
      </c>
      <c r="N58" s="2">
        <v>-34.690980272412403</v>
      </c>
      <c r="O58" s="8">
        <f t="shared" si="7"/>
        <v>3.8022652760474396E-2</v>
      </c>
      <c r="Q58" s="1">
        <v>3.9</v>
      </c>
      <c r="R58" s="2">
        <v>-76.495281705199304</v>
      </c>
      <c r="S58" s="8">
        <f t="shared" si="8"/>
        <v>3.4175348217455707E-2</v>
      </c>
      <c r="U58" s="1">
        <v>3.95</v>
      </c>
      <c r="V58" s="2">
        <v>-95.931420318994498</v>
      </c>
      <c r="W58" s="8">
        <f t="shared" si="9"/>
        <v>1.2946746120113707E-2</v>
      </c>
      <c r="Y58" s="1">
        <v>4.1500000000000004</v>
      </c>
      <c r="Z58" s="2">
        <v>-147.62040697904899</v>
      </c>
      <c r="AA58" s="8">
        <f t="shared" si="10"/>
        <v>1.3377114743589573E-2</v>
      </c>
      <c r="AC58" s="1">
        <v>3.6</v>
      </c>
      <c r="AD58" s="2">
        <v>-171.25427015099001</v>
      </c>
      <c r="AE58" s="8">
        <f t="shared" si="11"/>
        <v>6.0043549150365791E-2</v>
      </c>
    </row>
    <row r="61" spans="1:31" x14ac:dyDescent="0.25">
      <c r="A61" s="73" t="s">
        <v>150</v>
      </c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5"/>
      <c r="Z61" s="15"/>
      <c r="AA61" s="5" t="s">
        <v>172</v>
      </c>
      <c r="AB61" s="5" t="s">
        <v>13</v>
      </c>
    </row>
    <row r="62" spans="1:31" x14ac:dyDescent="0.25">
      <c r="A62" s="49" t="s">
        <v>152</v>
      </c>
      <c r="B62" s="49">
        <v>1.6</v>
      </c>
      <c r="C62" s="50"/>
      <c r="E62" s="49" t="s">
        <v>152</v>
      </c>
      <c r="F62" s="49">
        <v>1.61</v>
      </c>
      <c r="G62" s="50"/>
      <c r="I62" s="49" t="s">
        <v>152</v>
      </c>
      <c r="J62" s="49">
        <v>1.62</v>
      </c>
      <c r="K62" s="50"/>
      <c r="M62" s="49" t="s">
        <v>152</v>
      </c>
      <c r="N62" s="49">
        <v>1.63</v>
      </c>
      <c r="O62" s="50"/>
      <c r="Q62" s="49" t="s">
        <v>152</v>
      </c>
      <c r="R62" s="49">
        <v>1.64</v>
      </c>
      <c r="S62" s="50"/>
      <c r="T62" s="50"/>
      <c r="V62" s="52" t="s">
        <v>153</v>
      </c>
      <c r="W62" s="1"/>
      <c r="X62" s="1"/>
      <c r="Z62" s="5" t="s">
        <v>155</v>
      </c>
      <c r="AA62" s="2">
        <f>K71/2</f>
        <v>-148.71550638224451</v>
      </c>
      <c r="AB62" s="2">
        <f>(AA62-$AA$62)*27.2114</f>
        <v>0</v>
      </c>
    </row>
    <row r="63" spans="1:31" x14ac:dyDescent="0.25">
      <c r="A63" s="5" t="s">
        <v>24</v>
      </c>
      <c r="B63" s="5" t="s">
        <v>151</v>
      </c>
      <c r="C63" s="5" t="s">
        <v>25</v>
      </c>
      <c r="D63" s="51" t="s">
        <v>26</v>
      </c>
      <c r="E63" s="5" t="s">
        <v>24</v>
      </c>
      <c r="F63" s="5" t="s">
        <v>151</v>
      </c>
      <c r="G63" s="5" t="s">
        <v>25</v>
      </c>
      <c r="H63" s="51" t="s">
        <v>26</v>
      </c>
      <c r="I63" s="5" t="s">
        <v>24</v>
      </c>
      <c r="J63" s="5" t="s">
        <v>151</v>
      </c>
      <c r="K63" s="5" t="s">
        <v>25</v>
      </c>
      <c r="L63" s="51" t="s">
        <v>26</v>
      </c>
      <c r="M63" s="5" t="s">
        <v>24</v>
      </c>
      <c r="N63" s="5" t="s">
        <v>151</v>
      </c>
      <c r="O63" s="5" t="s">
        <v>25</v>
      </c>
      <c r="P63" s="51" t="s">
        <v>26</v>
      </c>
      <c r="Q63" s="5" t="s">
        <v>24</v>
      </c>
      <c r="R63" s="5" t="s">
        <v>151</v>
      </c>
      <c r="S63" s="5" t="s">
        <v>25</v>
      </c>
      <c r="T63" s="51" t="s">
        <v>26</v>
      </c>
      <c r="V63" s="5" t="s">
        <v>24</v>
      </c>
      <c r="W63" s="5" t="s">
        <v>25</v>
      </c>
      <c r="X63" s="51" t="s">
        <v>26</v>
      </c>
      <c r="Z63" s="5" t="s">
        <v>153</v>
      </c>
      <c r="AA63" s="2">
        <f>W73</f>
        <v>-148.71534308040401</v>
      </c>
      <c r="AB63" s="14">
        <f>(AA63-$AA$62)*27.2114</f>
        <v>4.44367170262571E-3</v>
      </c>
    </row>
    <row r="64" spans="1:31" x14ac:dyDescent="0.25">
      <c r="A64" s="1">
        <v>2.4</v>
      </c>
      <c r="B64" s="2">
        <f>A64*B$62</f>
        <v>3.84</v>
      </c>
      <c r="C64" s="2">
        <v>-297.425044230141</v>
      </c>
      <c r="D64" s="14">
        <f>(C64-MIN($C$64:$C$84,$G$64:$G$84,$K$64:$K$84,$O$64:$O$84,$S$64:$S$84))*27.2114</f>
        <v>0.16241217555793572</v>
      </c>
      <c r="E64" s="1">
        <v>2.4</v>
      </c>
      <c r="F64" s="2">
        <f>E64*F$62</f>
        <v>3.8639999999999999</v>
      </c>
      <c r="G64" s="2">
        <v>-297.42584055492699</v>
      </c>
      <c r="H64" s="14">
        <f>(G64-MIN($C$64:$C$84,$G$64:$G$84,$K$64:$K$84,$O$64:$O$84,$S$64:$S$84))*27.2114</f>
        <v>0.14074306327631725</v>
      </c>
      <c r="I64" s="1">
        <v>2.4</v>
      </c>
      <c r="J64" s="2">
        <f>I64*J$62</f>
        <v>3.8879999999999999</v>
      </c>
      <c r="K64" s="2">
        <v>-297.42653288405501</v>
      </c>
      <c r="L64" s="14">
        <f>(K64-MIN($C$64:$C$84,$G$64:$G$84,$K$64:$K$84,$O$64:$O$84,$S$64:$S$84))*27.2114</f>
        <v>0.12190381844226254</v>
      </c>
      <c r="M64" s="1">
        <v>2.4</v>
      </c>
      <c r="N64" s="2">
        <f>M64*N$62</f>
        <v>3.9119999999999995</v>
      </c>
      <c r="O64" s="2">
        <v>-297.42712660182599</v>
      </c>
      <c r="P64" s="14">
        <f>(O64-MIN($C$64:$C$84,$G$64:$G$84,$K$64:$K$84,$O$64:$O$84,$S$64:$S$84))*27.2114</f>
        <v>0.10574792668894951</v>
      </c>
      <c r="Q64" s="1">
        <v>2.4</v>
      </c>
      <c r="R64" s="2">
        <f>Q64*R$62</f>
        <v>3.9359999999999995</v>
      </c>
      <c r="S64" s="2">
        <v>-297.427623074189</v>
      </c>
      <c r="T64" s="14">
        <f>(S64-MIN($C$64:$C$84,$G$64:$G$84,$K$64:$K$84,$O$64:$O$84,$S$64:$S$84))*27.2114</f>
        <v>9.2238218630112528E-2</v>
      </c>
      <c r="V64" s="1">
        <v>3.4</v>
      </c>
      <c r="W64" s="2">
        <v>-148.71352640169999</v>
      </c>
      <c r="X64" s="14">
        <f>(W64*2-MIN($C$64:$C$84,$G$64:$G$84,$K$64:$K$84,$O$64:$O$84,$S$64:$S$84))*27.2114</f>
        <v>0.10775608517824138</v>
      </c>
    </row>
    <row r="65" spans="1:24" x14ac:dyDescent="0.25">
      <c r="A65" s="1">
        <v>2.41</v>
      </c>
      <c r="B65" s="2">
        <f t="shared" ref="B65:B84" si="12">A65*B$62</f>
        <v>3.8560000000000003</v>
      </c>
      <c r="C65" s="2">
        <v>-297.426453026231</v>
      </c>
      <c r="D65" s="14">
        <f t="shared" ref="D65:D84" si="13">(C65-MIN($C$64:$C$84,$G$64:$G$84,$K$64:$K$84,$O$64:$O$84,$S$64:$S$84))*27.2114</f>
        <v>0.12407686163439499</v>
      </c>
      <c r="E65" s="1">
        <v>2.41</v>
      </c>
      <c r="F65" s="2">
        <f t="shared" ref="F65:F84" si="14">E65*F$62</f>
        <v>3.8801000000000005</v>
      </c>
      <c r="G65" s="2">
        <v>-297.42714671113202</v>
      </c>
      <c r="H65" s="14">
        <f t="shared" ref="H65:H84" si="15">(G65-MIN($C$64:$C$84,$G$64:$G$84,$K$64:$K$84,$O$64:$O$84,$S$64:$S$84))*27.2114</f>
        <v>0.10520072431869605</v>
      </c>
      <c r="I65" s="1">
        <v>2.41</v>
      </c>
      <c r="J65" s="2">
        <f t="shared" ref="J65:J84" si="16">I65*J$62</f>
        <v>3.9042000000000003</v>
      </c>
      <c r="K65" s="2">
        <v>-297.42774024571003</v>
      </c>
      <c r="L65" s="14">
        <f t="shared" ref="L65:L84" si="17">(K65-MIN($C$64:$C$84,$G$64:$G$84,$K$64:$K$84,$O$64:$O$84,$S$64:$S$84))*27.2114</f>
        <v>8.9049817502860354E-2</v>
      </c>
      <c r="M65" s="1">
        <v>2.41</v>
      </c>
      <c r="N65" s="2">
        <f t="shared" ref="N65:N84" si="18">M65*N$62</f>
        <v>3.9283000000000001</v>
      </c>
      <c r="O65" s="2">
        <v>-297.428238041106</v>
      </c>
      <c r="P65" s="14">
        <f t="shared" ref="P65:P84" si="19">(O65-MIN($C$64:$C$84,$G$64:$G$84,$K$64:$K$84,$O$64:$O$84,$S$64:$S$84))*27.2114</f>
        <v>7.5504107864897294E-2</v>
      </c>
      <c r="Q65" s="1">
        <v>2.41</v>
      </c>
      <c r="R65" s="2">
        <f t="shared" ref="R65:R84" si="20">Q65*R$62</f>
        <v>3.9523999999999999</v>
      </c>
      <c r="S65" s="2">
        <v>-297.42863856200802</v>
      </c>
      <c r="T65" s="14">
        <f t="shared" ref="T65:T84" si="21">(S65-MIN($C$64:$C$84,$G$64:$G$84,$K$64:$K$84,$O$64:$O$84,$S$64:$S$84))*27.2114</f>
        <v>6.4605373391690604E-2</v>
      </c>
      <c r="V65" s="1">
        <v>3.41</v>
      </c>
      <c r="W65" s="2">
        <v>-148.71391302778699</v>
      </c>
      <c r="X65" s="14">
        <f t="shared" ref="X65:X84" si="22">(W65*2-MIN($C$64:$C$84,$G$64:$G$84,$K$64:$K$84,$O$64:$O$84,$S$64:$S$84))*27.2114</f>
        <v>8.6714810971055517E-2</v>
      </c>
    </row>
    <row r="66" spans="1:24" x14ac:dyDescent="0.25">
      <c r="A66" s="1">
        <v>2.42</v>
      </c>
      <c r="B66" s="2">
        <f t="shared" si="12"/>
        <v>3.8719999999999999</v>
      </c>
      <c r="C66" s="2">
        <v>-297.42765354966099</v>
      </c>
      <c r="D66" s="14">
        <f t="shared" si="13"/>
        <v>9.1408938371664888E-2</v>
      </c>
      <c r="E66" s="1">
        <v>2.42</v>
      </c>
      <c r="F66" s="2">
        <f t="shared" si="14"/>
        <v>3.8962000000000003</v>
      </c>
      <c r="G66" s="2">
        <v>-297.428247850736</v>
      </c>
      <c r="H66" s="14">
        <f t="shared" si="15"/>
        <v>7.5237174099095E-2</v>
      </c>
      <c r="I66" s="1">
        <v>2.42</v>
      </c>
      <c r="J66" s="2">
        <f t="shared" si="16"/>
        <v>3.9204000000000003</v>
      </c>
      <c r="K66" s="2">
        <v>-297.42874644077801</v>
      </c>
      <c r="L66" s="14">
        <f t="shared" si="17"/>
        <v>6.1669841029840626E-2</v>
      </c>
      <c r="M66" s="1">
        <v>2.42</v>
      </c>
      <c r="N66" s="2">
        <f t="shared" si="18"/>
        <v>3.9445999999999994</v>
      </c>
      <c r="O66" s="2">
        <v>-297.42914720569399</v>
      </c>
      <c r="P66" s="14">
        <f t="shared" si="19"/>
        <v>5.0764466595134575E-2</v>
      </c>
      <c r="Q66" s="1">
        <v>2.42</v>
      </c>
      <c r="R66" s="2">
        <f t="shared" si="20"/>
        <v>3.9687999999999994</v>
      </c>
      <c r="S66" s="2">
        <v>-297.42945941738998</v>
      </c>
      <c r="T66" s="14">
        <f t="shared" si="21"/>
        <v>4.2268749251025001E-2</v>
      </c>
      <c r="V66" s="1">
        <v>3.42</v>
      </c>
      <c r="W66" s="2">
        <v>-148.71425079969799</v>
      </c>
      <c r="X66" s="14">
        <f t="shared" si="22"/>
        <v>6.8332317812744181E-2</v>
      </c>
    </row>
    <row r="67" spans="1:24" x14ac:dyDescent="0.25">
      <c r="A67" s="1">
        <v>2.4300000000000002</v>
      </c>
      <c r="B67" s="2">
        <f t="shared" si="12"/>
        <v>3.8880000000000003</v>
      </c>
      <c r="C67" s="2">
        <v>-297.42865381814403</v>
      </c>
      <c r="D67" s="14">
        <f t="shared" si="13"/>
        <v>6.4190232572278669E-2</v>
      </c>
      <c r="E67" s="1">
        <v>2.4300000000000002</v>
      </c>
      <c r="F67" s="2">
        <f t="shared" si="14"/>
        <v>3.9123000000000006</v>
      </c>
      <c r="G67" s="2">
        <v>-297.42915303748299</v>
      </c>
      <c r="H67" s="14">
        <f t="shared" si="15"/>
        <v>5.0605775452032438E-2</v>
      </c>
      <c r="I67" s="1">
        <v>2.4300000000000002</v>
      </c>
      <c r="J67" s="2">
        <f t="shared" si="16"/>
        <v>3.9366000000000003</v>
      </c>
      <c r="K67" s="2">
        <v>-297.42955542908999</v>
      </c>
      <c r="L67" s="14">
        <f t="shared" si="17"/>
        <v>3.9656136477398525E-2</v>
      </c>
      <c r="M67" s="1">
        <v>2.4300000000000002</v>
      </c>
      <c r="N67" s="2">
        <f t="shared" si="18"/>
        <v>3.9609000000000001</v>
      </c>
      <c r="O67" s="2">
        <v>-297.42986652587399</v>
      </c>
      <c r="P67" s="14">
        <f t="shared" si="19"/>
        <v>3.1190757449179717E-2</v>
      </c>
      <c r="Q67" s="1">
        <v>2.4300000000000002</v>
      </c>
      <c r="R67" s="2">
        <f t="shared" si="20"/>
        <v>3.9851999999999999</v>
      </c>
      <c r="S67" s="2">
        <v>-297.43009242358897</v>
      </c>
      <c r="T67" s="14">
        <f t="shared" si="21"/>
        <v>2.5043764367674907E-2</v>
      </c>
      <c r="V67" s="1">
        <v>3.43</v>
      </c>
      <c r="W67" s="2">
        <v>-148.71454044244399</v>
      </c>
      <c r="X67" s="14">
        <f t="shared" si="22"/>
        <v>5.2569148575882414E-2</v>
      </c>
    </row>
    <row r="68" spans="1:24" x14ac:dyDescent="0.25">
      <c r="A68" s="1">
        <v>2.44</v>
      </c>
      <c r="B68" s="2">
        <f t="shared" si="12"/>
        <v>3.9039999999999999</v>
      </c>
      <c r="C68" s="2">
        <v>-297.429463277389</v>
      </c>
      <c r="D68" s="14">
        <f t="shared" si="13"/>
        <v>4.216371327352373E-2</v>
      </c>
      <c r="E68" s="1">
        <v>2.44</v>
      </c>
      <c r="F68" s="2">
        <f t="shared" si="14"/>
        <v>3.9284000000000003</v>
      </c>
      <c r="G68" s="2">
        <v>-297.42986842593501</v>
      </c>
      <c r="H68" s="14">
        <f t="shared" si="15"/>
        <v>3.1139054128677571E-2</v>
      </c>
      <c r="I68" s="1">
        <v>2.44</v>
      </c>
      <c r="J68" s="2">
        <f t="shared" si="16"/>
        <v>3.9528000000000003</v>
      </c>
      <c r="K68" s="2">
        <v>-297.43017890415803</v>
      </c>
      <c r="L68" s="14">
        <f t="shared" si="17"/>
        <v>2.2690507010957459E-2</v>
      </c>
      <c r="M68" s="1">
        <v>2.44</v>
      </c>
      <c r="N68" s="2">
        <f t="shared" si="18"/>
        <v>3.9771999999999998</v>
      </c>
      <c r="O68" s="2">
        <v>-297.43040408457398</v>
      </c>
      <c r="P68" s="14">
        <f t="shared" si="19"/>
        <v>1.6563032640300426E-2</v>
      </c>
      <c r="Q68" s="1">
        <v>2.44</v>
      </c>
      <c r="R68" s="2">
        <f t="shared" si="20"/>
        <v>4.0015999999999998</v>
      </c>
      <c r="S68" s="2">
        <v>-297.43054508071202</v>
      </c>
      <c r="T68" s="14">
        <f t="shared" si="21"/>
        <v>1.2726330329551901E-2</v>
      </c>
      <c r="V68" s="1">
        <v>3.44</v>
      </c>
      <c r="W68" s="2">
        <v>-148.71478374290101</v>
      </c>
      <c r="X68" s="14">
        <f t="shared" si="22"/>
        <v>3.9328056463844359E-2</v>
      </c>
    </row>
    <row r="69" spans="1:24" x14ac:dyDescent="0.25">
      <c r="A69" s="1">
        <v>2.4500000000000002</v>
      </c>
      <c r="B69" s="2">
        <f t="shared" si="12"/>
        <v>3.9200000000000004</v>
      </c>
      <c r="C69" s="2">
        <v>-297.43008928008499</v>
      </c>
      <c r="D69" s="14">
        <f t="shared" si="13"/>
        <v>2.5129303512112133E-2</v>
      </c>
      <c r="E69" s="1">
        <v>2.4500000000000002</v>
      </c>
      <c r="F69" s="2">
        <f t="shared" si="14"/>
        <v>3.9445000000000006</v>
      </c>
      <c r="G69" s="2">
        <v>-297.43040058103099</v>
      </c>
      <c r="H69" s="14">
        <f t="shared" si="15"/>
        <v>1.6658368949872045E-2</v>
      </c>
      <c r="I69" s="1">
        <v>2.4500000000000002</v>
      </c>
      <c r="J69" s="2">
        <f t="shared" si="16"/>
        <v>3.9690000000000007</v>
      </c>
      <c r="K69" s="2">
        <v>-297.43062523007802</v>
      </c>
      <c r="L69" s="14">
        <f t="shared" si="17"/>
        <v>1.0545353871601141E-2</v>
      </c>
      <c r="M69" s="1">
        <v>2.4500000000000002</v>
      </c>
      <c r="N69" s="2">
        <f t="shared" si="18"/>
        <v>3.9935</v>
      </c>
      <c r="O69" s="2">
        <v>-297.43076532268498</v>
      </c>
      <c r="P69" s="14">
        <f t="shared" si="19"/>
        <v>6.7332379067052443E-3</v>
      </c>
      <c r="Q69" s="1">
        <v>2.4500000000000002</v>
      </c>
      <c r="R69" s="2">
        <f t="shared" si="20"/>
        <v>4.0179999999999998</v>
      </c>
      <c r="S69" s="2">
        <v>-297.430825980772</v>
      </c>
      <c r="T69" s="14">
        <f t="shared" si="21"/>
        <v>5.0826464374983974E-3</v>
      </c>
      <c r="V69" s="1">
        <v>3.45</v>
      </c>
      <c r="W69" s="2">
        <v>-148.714981490952</v>
      </c>
      <c r="X69" s="14">
        <f t="shared" si="22"/>
        <v>2.8566053834230092E-2</v>
      </c>
    </row>
    <row r="70" spans="1:24" x14ac:dyDescent="0.25">
      <c r="A70" s="1">
        <v>2.46</v>
      </c>
      <c r="B70" s="2">
        <f t="shared" si="12"/>
        <v>3.9359999999999999</v>
      </c>
      <c r="C70" s="2">
        <v>-297.43053632886699</v>
      </c>
      <c r="D70" s="14">
        <f t="shared" si="13"/>
        <v>1.2964480285401772E-2</v>
      </c>
      <c r="E70" s="1">
        <v>2.46</v>
      </c>
      <c r="F70" s="2">
        <f t="shared" si="14"/>
        <v>3.9606000000000003</v>
      </c>
      <c r="G70" s="2">
        <v>-297.43076068091301</v>
      </c>
      <c r="H70" s="14">
        <f t="shared" si="15"/>
        <v>6.8595470203783411E-3</v>
      </c>
      <c r="I70" s="1">
        <v>2.46</v>
      </c>
      <c r="J70" s="2">
        <f t="shared" si="16"/>
        <v>3.9852000000000003</v>
      </c>
      <c r="K70" s="2">
        <v>-297.430900557391</v>
      </c>
      <c r="L70" s="14">
        <f t="shared" si="17"/>
        <v>3.0533122272596303E-3</v>
      </c>
      <c r="M70" s="1">
        <v>2.46</v>
      </c>
      <c r="N70" s="2">
        <f t="shared" si="18"/>
        <v>4.0097999999999994</v>
      </c>
      <c r="O70" s="2">
        <v>-297.43095977440902</v>
      </c>
      <c r="P70" s="14">
        <f t="shared" si="19"/>
        <v>1.4419342631154222E-3</v>
      </c>
      <c r="Q70" s="1">
        <v>2.46</v>
      </c>
      <c r="R70" s="2">
        <f t="shared" si="20"/>
        <v>4.0343999999999998</v>
      </c>
      <c r="S70" s="2">
        <v>-297.43094247650703</v>
      </c>
      <c r="T70" s="14">
        <f t="shared" si="21"/>
        <v>1.9126343933475256E-3</v>
      </c>
      <c r="V70" s="1">
        <v>3.46</v>
      </c>
      <c r="W70" s="2">
        <v>-148.715134845714</v>
      </c>
      <c r="X70" s="14">
        <f t="shared" si="22"/>
        <v>2.0220058292550653E-2</v>
      </c>
    </row>
    <row r="71" spans="1:24" x14ac:dyDescent="0.25">
      <c r="A71" s="1">
        <v>2.4700000000000002</v>
      </c>
      <c r="B71" s="2">
        <f t="shared" si="12"/>
        <v>3.9520000000000004</v>
      </c>
      <c r="C71" s="2">
        <v>-297.430814493517</v>
      </c>
      <c r="D71" s="14">
        <f t="shared" si="13"/>
        <v>5.3952307280512634E-3</v>
      </c>
      <c r="E71" s="1">
        <v>2.4700000000000002</v>
      </c>
      <c r="F71" s="2">
        <f t="shared" si="14"/>
        <v>3.9767000000000006</v>
      </c>
      <c r="G71" s="2">
        <v>-297.43095460201698</v>
      </c>
      <c r="H71" s="14">
        <f t="shared" si="15"/>
        <v>1.582682291776257E-3</v>
      </c>
      <c r="I71" s="41">
        <v>2.4700000000000002</v>
      </c>
      <c r="J71" s="18">
        <f t="shared" si="16"/>
        <v>4.0014000000000003</v>
      </c>
      <c r="K71" s="18">
        <v>-297.43101276448903</v>
      </c>
      <c r="L71" s="24">
        <f t="shared" si="17"/>
        <v>0</v>
      </c>
      <c r="M71" s="1">
        <v>2.4700000000000002</v>
      </c>
      <c r="N71" s="2">
        <f t="shared" si="18"/>
        <v>4.0261000000000005</v>
      </c>
      <c r="O71" s="2">
        <v>-297.43099366951998</v>
      </c>
      <c r="P71" s="14">
        <f t="shared" si="19"/>
        <v>5.1960084074535186E-4</v>
      </c>
      <c r="Q71" s="1">
        <v>2.4700000000000002</v>
      </c>
      <c r="R71" s="2">
        <f t="shared" si="20"/>
        <v>4.0507999999999997</v>
      </c>
      <c r="S71" s="2">
        <v>-297.43090073790302</v>
      </c>
      <c r="T71" s="14">
        <f t="shared" si="21"/>
        <v>3.0484002425390714E-3</v>
      </c>
      <c r="V71" s="1">
        <v>3.47</v>
      </c>
      <c r="W71" s="2">
        <v>-148.71524517439099</v>
      </c>
      <c r="X71" s="14">
        <f t="shared" si="22"/>
        <v>1.4215662770899678E-2</v>
      </c>
    </row>
    <row r="72" spans="1:24" x14ac:dyDescent="0.25">
      <c r="A72" s="1">
        <v>2.48</v>
      </c>
      <c r="B72" s="2">
        <f t="shared" si="12"/>
        <v>3.968</v>
      </c>
      <c r="C72" s="2">
        <v>-297.43093088789402</v>
      </c>
      <c r="D72" s="14">
        <f t="shared" si="13"/>
        <v>2.2279767773016376E-3</v>
      </c>
      <c r="E72" s="1">
        <v>2.48</v>
      </c>
      <c r="F72" s="2">
        <f t="shared" si="14"/>
        <v>3.9928000000000003</v>
      </c>
      <c r="G72" s="2">
        <v>-297.430988831896</v>
      </c>
      <c r="H72" s="14">
        <f t="shared" si="15"/>
        <v>6.5123936180785903E-4</v>
      </c>
      <c r="I72" s="1">
        <v>2.48</v>
      </c>
      <c r="J72" s="2">
        <f t="shared" si="16"/>
        <v>4.0175999999999998</v>
      </c>
      <c r="K72" s="2">
        <v>-297.43096869313899</v>
      </c>
      <c r="L72" s="14">
        <f t="shared" si="17"/>
        <v>1.199243134273877E-3</v>
      </c>
      <c r="M72" s="1">
        <v>2.48</v>
      </c>
      <c r="N72" s="2">
        <f t="shared" si="18"/>
        <v>4.0423999999999998</v>
      </c>
      <c r="O72" s="2">
        <v>-297.43087406634498</v>
      </c>
      <c r="P72" s="14">
        <f t="shared" si="19"/>
        <v>3.7741706767812733E-3</v>
      </c>
      <c r="Q72" s="1">
        <v>2.48</v>
      </c>
      <c r="R72" s="2">
        <f t="shared" si="20"/>
        <v>4.0671999999999997</v>
      </c>
      <c r="S72" s="2">
        <v>-297.43070754385701</v>
      </c>
      <c r="T72" s="14">
        <f t="shared" si="21"/>
        <v>8.3054807060097009E-3</v>
      </c>
      <c r="V72" s="1">
        <v>3.48</v>
      </c>
      <c r="W72" s="2">
        <v>-148.71531456301599</v>
      </c>
      <c r="X72" s="14">
        <f t="shared" si="22"/>
        <v>1.0439339509835804E-2</v>
      </c>
    </row>
    <row r="73" spans="1:24" x14ac:dyDescent="0.25">
      <c r="A73" s="1">
        <v>2.4900000000000002</v>
      </c>
      <c r="B73" s="2">
        <f t="shared" si="12"/>
        <v>3.9840000000000004</v>
      </c>
      <c r="C73" s="2">
        <v>-297.43089137838098</v>
      </c>
      <c r="D73" s="14">
        <f t="shared" si="13"/>
        <v>3.3030859405559112E-3</v>
      </c>
      <c r="E73" s="1">
        <v>2.4900000000000002</v>
      </c>
      <c r="F73" s="2">
        <f t="shared" si="14"/>
        <v>4.0089000000000006</v>
      </c>
      <c r="G73" s="2">
        <v>-297.43087058857901</v>
      </c>
      <c r="H73" s="14">
        <f t="shared" si="15"/>
        <v>3.8688055577542858E-3</v>
      </c>
      <c r="I73" s="1">
        <v>2.4900000000000002</v>
      </c>
      <c r="J73" s="2">
        <f t="shared" si="16"/>
        <v>4.0338000000000003</v>
      </c>
      <c r="K73" s="2">
        <v>-297.43077455227501</v>
      </c>
      <c r="L73" s="14">
        <f t="shared" si="17"/>
        <v>6.482087840441398E-3</v>
      </c>
      <c r="M73" s="1">
        <v>2.4900000000000002</v>
      </c>
      <c r="N73" s="2">
        <f t="shared" si="18"/>
        <v>4.0587</v>
      </c>
      <c r="O73" s="2">
        <v>-297.430605981778</v>
      </c>
      <c r="P73" s="14">
        <f t="shared" si="19"/>
        <v>1.1069127062779944E-2</v>
      </c>
      <c r="Q73" s="1">
        <v>2.4900000000000002</v>
      </c>
      <c r="R73" s="2">
        <f t="shared" si="20"/>
        <v>4.0835999999999997</v>
      </c>
      <c r="S73" s="2">
        <v>-297.43036944272899</v>
      </c>
      <c r="T73" s="14">
        <f t="shared" si="21"/>
        <v>1.7505685741083118E-2</v>
      </c>
      <c r="V73" s="41">
        <v>3.49</v>
      </c>
      <c r="W73" s="18">
        <v>-148.71534308040401</v>
      </c>
      <c r="X73" s="24">
        <f t="shared" si="22"/>
        <v>8.8873434052514199E-3</v>
      </c>
    </row>
    <row r="74" spans="1:24" x14ac:dyDescent="0.25">
      <c r="A74" s="1">
        <v>2.5</v>
      </c>
      <c r="B74" s="2">
        <f t="shared" si="12"/>
        <v>4</v>
      </c>
      <c r="C74" s="2">
        <v>-297.43070317021602</v>
      </c>
      <c r="D74" s="14">
        <f t="shared" si="13"/>
        <v>8.4244936004642234E-3</v>
      </c>
      <c r="E74" s="1">
        <v>2.5</v>
      </c>
      <c r="F74" s="2">
        <f t="shared" si="14"/>
        <v>4.0250000000000004</v>
      </c>
      <c r="G74" s="2">
        <v>-297.43060590406401</v>
      </c>
      <c r="H74" s="14">
        <f t="shared" si="15"/>
        <v>1.1071241769293317E-2</v>
      </c>
      <c r="I74" s="1">
        <v>2.5</v>
      </c>
      <c r="J74" s="2">
        <f t="shared" si="16"/>
        <v>4.0500000000000007</v>
      </c>
      <c r="K74" s="2">
        <v>-297.43043610241699</v>
      </c>
      <c r="L74" s="14">
        <f t="shared" si="17"/>
        <v>1.5691782306976074E-2</v>
      </c>
      <c r="M74" s="1">
        <v>2.5</v>
      </c>
      <c r="N74" s="2">
        <f t="shared" si="18"/>
        <v>4.0749999999999993</v>
      </c>
      <c r="O74" s="2">
        <v>-297.43019690052603</v>
      </c>
      <c r="P74" s="14">
        <f t="shared" si="19"/>
        <v>2.2200800642730976E-2</v>
      </c>
      <c r="Q74" s="1">
        <v>2.5</v>
      </c>
      <c r="R74" s="2">
        <f t="shared" si="20"/>
        <v>4.0999999999999996</v>
      </c>
      <c r="S74" s="2">
        <v>-297.42989274462099</v>
      </c>
      <c r="T74" s="14">
        <f t="shared" si="21"/>
        <v>3.047730863718066E-2</v>
      </c>
      <c r="V74" s="1">
        <v>3.5</v>
      </c>
      <c r="W74" s="2">
        <v>-148.715332668825</v>
      </c>
      <c r="X74" s="14">
        <f t="shared" si="22"/>
        <v>9.4539706875204164E-3</v>
      </c>
    </row>
    <row r="75" spans="1:24" x14ac:dyDescent="0.25">
      <c r="A75" s="1">
        <v>2.5099999999999998</v>
      </c>
      <c r="B75" s="2">
        <f t="shared" si="12"/>
        <v>4.016</v>
      </c>
      <c r="C75" s="2">
        <v>-297.43037200218299</v>
      </c>
      <c r="D75" s="14">
        <f t="shared" si="13"/>
        <v>1.7436039414414906E-2</v>
      </c>
      <c r="E75" s="1">
        <v>2.5099999999999998</v>
      </c>
      <c r="F75" s="2">
        <f t="shared" si="14"/>
        <v>4.0411000000000001</v>
      </c>
      <c r="G75" s="2">
        <v>-297.43020138778002</v>
      </c>
      <c r="H75" s="14">
        <f t="shared" si="15"/>
        <v>2.2078696179539396E-2</v>
      </c>
      <c r="I75" s="1">
        <v>2.5099999999999998</v>
      </c>
      <c r="J75" s="2">
        <f t="shared" si="16"/>
        <v>4.0662000000000003</v>
      </c>
      <c r="K75" s="2">
        <v>-297.42996003738602</v>
      </c>
      <c r="L75" s="14">
        <f t="shared" si="17"/>
        <v>2.864617829061274E-2</v>
      </c>
      <c r="M75" s="1">
        <v>2.5099999999999998</v>
      </c>
      <c r="N75" s="2">
        <f t="shared" si="18"/>
        <v>4.0912999999999995</v>
      </c>
      <c r="O75" s="2">
        <v>-297.42965309764099</v>
      </c>
      <c r="P75" s="14">
        <f t="shared" si="19"/>
        <v>3.6998438468532333E-2</v>
      </c>
      <c r="Q75" s="1">
        <v>2.5099999999999998</v>
      </c>
      <c r="R75" s="2">
        <f t="shared" si="20"/>
        <v>4.1163999999999996</v>
      </c>
      <c r="S75" s="2">
        <v>-297.42928352203103</v>
      </c>
      <c r="T75" s="14">
        <f t="shared" si="21"/>
        <v>4.7055108221560532E-2</v>
      </c>
      <c r="V75" s="1">
        <v>3.51</v>
      </c>
      <c r="W75" s="2">
        <v>-148.71528390046399</v>
      </c>
      <c r="X75" s="14">
        <f t="shared" si="22"/>
        <v>1.210808144519084E-2</v>
      </c>
    </row>
    <row r="76" spans="1:24" x14ac:dyDescent="0.25">
      <c r="A76" s="1">
        <v>2.52</v>
      </c>
      <c r="B76" s="2">
        <f t="shared" si="12"/>
        <v>4.032</v>
      </c>
      <c r="C76" s="2">
        <v>-297.42990504910199</v>
      </c>
      <c r="D76" s="14">
        <f t="shared" si="13"/>
        <v>3.0142486482792049E-2</v>
      </c>
      <c r="E76" s="1">
        <v>2.52</v>
      </c>
      <c r="F76" s="2">
        <f t="shared" si="14"/>
        <v>4.0571999999999999</v>
      </c>
      <c r="G76" s="2">
        <v>-297.429662267369</v>
      </c>
      <c r="H76" s="14">
        <f t="shared" si="15"/>
        <v>3.6748917331959959E-2</v>
      </c>
      <c r="I76" s="1">
        <v>2.52</v>
      </c>
      <c r="J76" s="2">
        <f t="shared" si="16"/>
        <v>4.0824000000000007</v>
      </c>
      <c r="K76" s="2">
        <v>-297.42935313781197</v>
      </c>
      <c r="L76" s="14">
        <f t="shared" si="17"/>
        <v>4.516076535997194E-2</v>
      </c>
      <c r="M76" s="1">
        <v>2.52</v>
      </c>
      <c r="N76" s="2">
        <f t="shared" si="18"/>
        <v>4.1075999999999997</v>
      </c>
      <c r="O76" s="2">
        <v>-297.428980600969</v>
      </c>
      <c r="P76" s="14">
        <f t="shared" si="19"/>
        <v>5.5298014408877737E-2</v>
      </c>
      <c r="Q76" s="1">
        <v>2.52</v>
      </c>
      <c r="R76" s="2">
        <f t="shared" si="20"/>
        <v>4.1327999999999996</v>
      </c>
      <c r="S76" s="2">
        <v>-297.42854853403497</v>
      </c>
      <c r="T76" s="14">
        <f t="shared" si="21"/>
        <v>6.7055160577392914E-2</v>
      </c>
      <c r="V76" s="1">
        <v>3.52</v>
      </c>
      <c r="W76" s="2">
        <v>-148.715198029997</v>
      </c>
      <c r="X76" s="14">
        <f t="shared" si="22"/>
        <v>1.6781392696066485E-2</v>
      </c>
    </row>
    <row r="77" spans="1:24" x14ac:dyDescent="0.25">
      <c r="A77" s="1">
        <v>2.5299999999999998</v>
      </c>
      <c r="B77" s="2">
        <f t="shared" si="12"/>
        <v>4.048</v>
      </c>
      <c r="C77" s="2">
        <v>-297.42930711927499</v>
      </c>
      <c r="D77" s="14">
        <f t="shared" si="13"/>
        <v>4.6412994177081453E-2</v>
      </c>
      <c r="E77" s="1">
        <v>2.5299999999999998</v>
      </c>
      <c r="F77" s="2">
        <f t="shared" si="14"/>
        <v>4.0732999999999997</v>
      </c>
      <c r="G77" s="2">
        <v>-297.428995843601</v>
      </c>
      <c r="H77" s="14">
        <f t="shared" si="15"/>
        <v>5.4883241052396482E-2</v>
      </c>
      <c r="I77" s="1">
        <v>2.5299999999999998</v>
      </c>
      <c r="J77" s="2">
        <f t="shared" si="16"/>
        <v>4.0986000000000002</v>
      </c>
      <c r="K77" s="2">
        <v>-297.428620610812</v>
      </c>
      <c r="L77" s="14">
        <f t="shared" si="17"/>
        <v>6.5093850566908959E-2</v>
      </c>
      <c r="M77" s="1">
        <v>2.5299999999999998</v>
      </c>
      <c r="N77" s="2">
        <f t="shared" si="18"/>
        <v>4.123899999999999</v>
      </c>
      <c r="O77" s="2">
        <v>-297.42818522916798</v>
      </c>
      <c r="P77" s="14">
        <f t="shared" si="19"/>
        <v>7.694119463511305E-2</v>
      </c>
      <c r="Q77" s="1">
        <v>2.5299999999999998</v>
      </c>
      <c r="R77" s="2">
        <f t="shared" si="20"/>
        <v>4.1491999999999996</v>
      </c>
      <c r="S77" s="2">
        <v>-297.42769313713001</v>
      </c>
      <c r="T77" s="14">
        <f t="shared" si="21"/>
        <v>9.0331707917216439E-2</v>
      </c>
      <c r="V77" s="1">
        <v>3.53</v>
      </c>
      <c r="W77" s="2">
        <v>-148.71507654059599</v>
      </c>
      <c r="X77" s="14">
        <f t="shared" si="22"/>
        <v>2.3393186069376463E-2</v>
      </c>
    </row>
    <row r="78" spans="1:24" x14ac:dyDescent="0.25">
      <c r="A78" s="1">
        <v>2.54</v>
      </c>
      <c r="B78" s="2">
        <f t="shared" si="12"/>
        <v>4.0640000000000001</v>
      </c>
      <c r="C78" s="2">
        <v>-297.42858480814198</v>
      </c>
      <c r="D78" s="14">
        <f t="shared" si="13"/>
        <v>6.6068091342078847E-2</v>
      </c>
      <c r="E78" s="1">
        <v>2.54</v>
      </c>
      <c r="F78" s="2">
        <f t="shared" si="14"/>
        <v>4.0894000000000004</v>
      </c>
      <c r="G78" s="2">
        <v>-297.42820740072898</v>
      </c>
      <c r="H78" s="14">
        <f t="shared" si="15"/>
        <v>7.6337875420128667E-2</v>
      </c>
      <c r="I78" s="1">
        <v>2.54</v>
      </c>
      <c r="J78" s="2">
        <f t="shared" si="16"/>
        <v>4.1148000000000007</v>
      </c>
      <c r="K78" s="2">
        <v>-297.42776895752303</v>
      </c>
      <c r="L78" s="14">
        <f t="shared" si="17"/>
        <v>8.8268528874543409E-2</v>
      </c>
      <c r="M78" s="1">
        <v>2.54</v>
      </c>
      <c r="N78" s="2">
        <f t="shared" si="18"/>
        <v>4.1402000000000001</v>
      </c>
      <c r="O78" s="2">
        <v>-297.42727318916002</v>
      </c>
      <c r="P78" s="14">
        <f t="shared" si="19"/>
        <v>0.10175908010774214</v>
      </c>
      <c r="Q78" s="1">
        <v>2.54</v>
      </c>
      <c r="R78" s="2">
        <f t="shared" si="20"/>
        <v>4.1655999999999995</v>
      </c>
      <c r="S78" s="2">
        <v>-297.42672307857799</v>
      </c>
      <c r="T78" s="14">
        <f t="shared" si="21"/>
        <v>0.11672835919947924</v>
      </c>
      <c r="V78" s="1">
        <v>3.54</v>
      </c>
      <c r="W78" s="2">
        <v>-148.714919924349</v>
      </c>
      <c r="X78" s="14">
        <f t="shared" si="22"/>
        <v>3.1916680755673159E-2</v>
      </c>
    </row>
    <row r="79" spans="1:24" x14ac:dyDescent="0.25">
      <c r="A79" s="1">
        <v>2.5499999999999998</v>
      </c>
      <c r="B79" s="2">
        <f t="shared" si="12"/>
        <v>4.08</v>
      </c>
      <c r="C79" s="2">
        <v>-297.42774370062102</v>
      </c>
      <c r="D79" s="14">
        <f t="shared" si="13"/>
        <v>8.8955804537797001E-2</v>
      </c>
      <c r="E79" s="1">
        <v>2.5499999999999998</v>
      </c>
      <c r="F79" s="2">
        <f t="shared" si="14"/>
        <v>4.1055000000000001</v>
      </c>
      <c r="G79" s="2">
        <v>-297.42730271244397</v>
      </c>
      <c r="H79" s="14">
        <f t="shared" si="15"/>
        <v>0.10095571021869577</v>
      </c>
      <c r="I79" s="1">
        <v>2.5499999999999998</v>
      </c>
      <c r="J79" s="2">
        <f t="shared" si="16"/>
        <v>4.1310000000000002</v>
      </c>
      <c r="K79" s="2">
        <v>-297.42680357467299</v>
      </c>
      <c r="L79" s="14">
        <f t="shared" si="17"/>
        <v>0.11453794776013387</v>
      </c>
      <c r="M79" s="1">
        <v>2.5499999999999998</v>
      </c>
      <c r="N79" s="2">
        <f t="shared" si="18"/>
        <v>4.1564999999999994</v>
      </c>
      <c r="O79" s="2">
        <v>-297.42624946874201</v>
      </c>
      <c r="P79" s="14">
        <f t="shared" si="19"/>
        <v>0.12961594589022596</v>
      </c>
      <c r="Q79" s="1">
        <v>2.5499999999999998</v>
      </c>
      <c r="R79" s="2">
        <f t="shared" si="20"/>
        <v>4.1819999999999995</v>
      </c>
      <c r="S79" s="2">
        <v>-297.42564277366</v>
      </c>
      <c r="T79" s="14">
        <f t="shared" si="21"/>
        <v>0.14612496844490691</v>
      </c>
      <c r="V79" s="1">
        <v>3.55</v>
      </c>
      <c r="W79" s="2">
        <v>-148.71472998156801</v>
      </c>
      <c r="X79" s="14">
        <f t="shared" si="22"/>
        <v>4.2253898737029026E-2</v>
      </c>
    </row>
    <row r="80" spans="1:24" x14ac:dyDescent="0.25">
      <c r="A80" s="1">
        <v>2.56</v>
      </c>
      <c r="B80" s="2">
        <f t="shared" si="12"/>
        <v>4.0960000000000001</v>
      </c>
      <c r="C80" s="2">
        <v>-297.42678982044998</v>
      </c>
      <c r="D80" s="14">
        <f t="shared" si="13"/>
        <v>0.1149122194240116</v>
      </c>
      <c r="E80" s="1">
        <v>2.56</v>
      </c>
      <c r="F80" s="2">
        <f t="shared" si="14"/>
        <v>4.1215999999999999</v>
      </c>
      <c r="G80" s="2">
        <v>-297.42628758124499</v>
      </c>
      <c r="H80" s="14">
        <f t="shared" si="15"/>
        <v>0.12857885132670174</v>
      </c>
      <c r="I80" s="1">
        <v>2.56</v>
      </c>
      <c r="J80" s="2">
        <f t="shared" si="16"/>
        <v>4.1472000000000007</v>
      </c>
      <c r="K80" s="2">
        <v>-297.42572971508997</v>
      </c>
      <c r="L80" s="14">
        <f t="shared" si="17"/>
        <v>0.14375917041742095</v>
      </c>
      <c r="M80" s="1">
        <v>2.56</v>
      </c>
      <c r="N80" s="2">
        <f t="shared" si="18"/>
        <v>4.1727999999999996</v>
      </c>
      <c r="O80" s="2">
        <v>-297.42511885898602</v>
      </c>
      <c r="P80" s="14">
        <f t="shared" si="19"/>
        <v>0.16038142020436008</v>
      </c>
      <c r="Q80" s="1">
        <v>2.56</v>
      </c>
      <c r="R80" s="2">
        <f t="shared" si="20"/>
        <v>4.1983999999999995</v>
      </c>
      <c r="S80" s="2">
        <v>-297.42445755197502</v>
      </c>
      <c r="T80" s="14">
        <f t="shared" si="21"/>
        <v>0.17837650980350303</v>
      </c>
      <c r="V80" s="1">
        <v>3.56</v>
      </c>
      <c r="W80" s="2">
        <v>-148.71450706617901</v>
      </c>
      <c r="X80" s="14">
        <f t="shared" si="22"/>
        <v>5.4385578369648684E-2</v>
      </c>
    </row>
    <row r="81" spans="1:24" x14ac:dyDescent="0.25">
      <c r="A81" s="1">
        <v>2.57</v>
      </c>
      <c r="B81" s="2">
        <f t="shared" si="12"/>
        <v>4.1120000000000001</v>
      </c>
      <c r="C81" s="2">
        <v>-297.42572788317199</v>
      </c>
      <c r="D81" s="14">
        <f t="shared" si="13"/>
        <v>0.14380901947046215</v>
      </c>
      <c r="E81" s="1">
        <v>2.57</v>
      </c>
      <c r="F81" s="2">
        <f t="shared" si="14"/>
        <v>4.1376999999999997</v>
      </c>
      <c r="G81" s="2">
        <v>-297.42516665867203</v>
      </c>
      <c r="H81" s="14">
        <f t="shared" si="15"/>
        <v>0.15908072382870361</v>
      </c>
      <c r="I81" s="1">
        <v>2.57</v>
      </c>
      <c r="J81" s="2">
        <f t="shared" si="16"/>
        <v>4.1634000000000002</v>
      </c>
      <c r="K81" s="2">
        <v>-297.42455160389801</v>
      </c>
      <c r="L81" s="14">
        <f t="shared" si="17"/>
        <v>0.17581722530636923</v>
      </c>
      <c r="M81" s="1">
        <v>2.57</v>
      </c>
      <c r="N81" s="2">
        <f t="shared" si="18"/>
        <v>4.1890999999999998</v>
      </c>
      <c r="O81" s="2">
        <v>-297.42388575211601</v>
      </c>
      <c r="P81" s="14">
        <f t="shared" si="19"/>
        <v>0.19393598448716148</v>
      </c>
      <c r="Q81" s="1">
        <v>2.57</v>
      </c>
      <c r="R81" s="2">
        <f t="shared" si="20"/>
        <v>4.2147999999999994</v>
      </c>
      <c r="S81" s="2">
        <v>-297.42317180944599</v>
      </c>
      <c r="T81" s="14">
        <f t="shared" si="21"/>
        <v>0.21336336405808348</v>
      </c>
      <c r="V81" s="1">
        <v>3.57</v>
      </c>
      <c r="W81" s="2">
        <v>-148.71425224919901</v>
      </c>
      <c r="X81" s="14">
        <f t="shared" si="22"/>
        <v>6.8253431908989956E-2</v>
      </c>
    </row>
    <row r="82" spans="1:24" x14ac:dyDescent="0.25">
      <c r="A82" s="1">
        <v>2.58</v>
      </c>
      <c r="B82" s="2">
        <f t="shared" si="12"/>
        <v>4.1280000000000001</v>
      </c>
      <c r="C82" s="2">
        <v>-297.42455970667203</v>
      </c>
      <c r="D82" s="14">
        <f t="shared" si="13"/>
        <v>0.1755967374814566</v>
      </c>
      <c r="E82" s="1">
        <v>2.58</v>
      </c>
      <c r="F82" s="2">
        <f t="shared" si="14"/>
        <v>4.1538000000000004</v>
      </c>
      <c r="G82" s="2">
        <v>-297.42394104179402</v>
      </c>
      <c r="H82" s="14">
        <f t="shared" si="15"/>
        <v>0.19243147494278656</v>
      </c>
      <c r="I82" s="1">
        <v>2.58</v>
      </c>
      <c r="J82" s="2">
        <f t="shared" si="16"/>
        <v>4.1796000000000006</v>
      </c>
      <c r="K82" s="2">
        <v>-297.42327085922898</v>
      </c>
      <c r="L82" s="14">
        <f t="shared" si="17"/>
        <v>0.21066808079325894</v>
      </c>
      <c r="M82" s="1">
        <v>2.58</v>
      </c>
      <c r="N82" s="2">
        <f t="shared" si="18"/>
        <v>4.2054</v>
      </c>
      <c r="O82" s="2">
        <v>-297.42255187288202</v>
      </c>
      <c r="P82" s="14">
        <f t="shared" si="19"/>
        <v>0.23023270587474787</v>
      </c>
      <c r="Q82" s="1">
        <v>2.58</v>
      </c>
      <c r="R82" s="2">
        <f t="shared" si="20"/>
        <v>4.2312000000000003</v>
      </c>
      <c r="S82" s="2">
        <v>-297.421788782813</v>
      </c>
      <c r="T82" s="14">
        <f t="shared" si="21"/>
        <v>0.25099745497911674</v>
      </c>
      <c r="V82" s="1">
        <v>3.58</v>
      </c>
      <c r="W82" s="2">
        <v>-148.71396667245699</v>
      </c>
      <c r="X82" s="14">
        <f t="shared" si="22"/>
        <v>8.3795317824366986E-2</v>
      </c>
    </row>
    <row r="83" spans="1:24" x14ac:dyDescent="0.25">
      <c r="A83" s="1">
        <v>2.59</v>
      </c>
      <c r="B83" s="2">
        <f t="shared" si="12"/>
        <v>4.1440000000000001</v>
      </c>
      <c r="C83" s="2">
        <v>-297.423292324876</v>
      </c>
      <c r="D83" s="14">
        <f t="shared" si="13"/>
        <v>0.21008397048584548</v>
      </c>
      <c r="E83" s="1">
        <v>2.59</v>
      </c>
      <c r="F83" s="2">
        <f t="shared" si="14"/>
        <v>4.1699000000000002</v>
      </c>
      <c r="G83" s="2">
        <v>-297.42261821897802</v>
      </c>
      <c r="H83" s="14">
        <f t="shared" si="15"/>
        <v>0.22842733571828963</v>
      </c>
      <c r="I83" s="1">
        <v>2.59</v>
      </c>
      <c r="J83" s="2">
        <f t="shared" si="16"/>
        <v>4.1958000000000002</v>
      </c>
      <c r="K83" s="2">
        <v>-297.42189490397999</v>
      </c>
      <c r="L83" s="14">
        <f t="shared" si="17"/>
        <v>0.24810974945559014</v>
      </c>
      <c r="M83" s="1">
        <v>2.59</v>
      </c>
      <c r="N83" s="2">
        <f t="shared" si="18"/>
        <v>4.2216999999999993</v>
      </c>
      <c r="O83" s="2">
        <v>-297.42112656268898</v>
      </c>
      <c r="P83" s="14">
        <f t="shared" si="19"/>
        <v>0.26901739166169503</v>
      </c>
      <c r="Q83" s="1">
        <v>2.59</v>
      </c>
      <c r="R83" s="2">
        <f t="shared" si="20"/>
        <v>4.2475999999999994</v>
      </c>
      <c r="S83" s="2">
        <v>-297.42055163117902</v>
      </c>
      <c r="T83" s="14">
        <f t="shared" si="21"/>
        <v>0.28466208295179996</v>
      </c>
      <c r="V83" s="1">
        <v>3.59</v>
      </c>
      <c r="W83" s="2">
        <v>-148.71365144863901</v>
      </c>
      <c r="X83" s="14">
        <f t="shared" si="22"/>
        <v>0.10095068062541977</v>
      </c>
    </row>
    <row r="84" spans="1:24" x14ac:dyDescent="0.25">
      <c r="A84" s="1">
        <v>2.6</v>
      </c>
      <c r="B84" s="2">
        <f t="shared" si="12"/>
        <v>4.16</v>
      </c>
      <c r="C84" s="2">
        <v>-297.42193153023698</v>
      </c>
      <c r="D84" s="14">
        <f t="shared" si="13"/>
        <v>0.24711309772625414</v>
      </c>
      <c r="E84" s="1">
        <v>2.6</v>
      </c>
      <c r="F84" s="2">
        <f t="shared" si="14"/>
        <v>4.1860000000000008</v>
      </c>
      <c r="G84" s="2">
        <v>-297.42120426368399</v>
      </c>
      <c r="H84" s="14">
        <f t="shared" si="15"/>
        <v>0.26690303880616062</v>
      </c>
      <c r="I84" s="1">
        <v>2.6</v>
      </c>
      <c r="J84" s="2">
        <f t="shared" si="16"/>
        <v>4.2120000000000006</v>
      </c>
      <c r="K84" s="2">
        <v>-297.42043079930198</v>
      </c>
      <c r="L84" s="14">
        <f t="shared" si="17"/>
        <v>0.28795008749071149</v>
      </c>
      <c r="M84" s="1">
        <v>2.6</v>
      </c>
      <c r="N84" s="2">
        <f t="shared" si="18"/>
        <v>4.2379999999999995</v>
      </c>
      <c r="O84" s="2">
        <v>-297.41984873846502</v>
      </c>
      <c r="P84" s="14">
        <f t="shared" si="19"/>
        <v>0.30378877774961305</v>
      </c>
      <c r="Q84" s="1">
        <v>2.6</v>
      </c>
      <c r="R84" s="2">
        <f t="shared" si="20"/>
        <v>4.2640000000000002</v>
      </c>
      <c r="S84" s="2">
        <v>-297.41899812003902</v>
      </c>
      <c r="T84" s="14">
        <f t="shared" si="21"/>
        <v>0.32693529598686899</v>
      </c>
      <c r="V84" s="1">
        <v>3.6</v>
      </c>
      <c r="W84" s="2">
        <v>-148.71330732863899</v>
      </c>
      <c r="X84" s="14">
        <f t="shared" si="22"/>
        <v>0.1196786545626435</v>
      </c>
    </row>
  </sheetData>
  <mergeCells count="13">
    <mergeCell ref="A4:C4"/>
    <mergeCell ref="E4:G4"/>
    <mergeCell ref="I4:K4"/>
    <mergeCell ref="M4:O4"/>
    <mergeCell ref="A36:C36"/>
    <mergeCell ref="E36:G36"/>
    <mergeCell ref="M36:O36"/>
    <mergeCell ref="I36:K36"/>
    <mergeCell ref="Q36:S36"/>
    <mergeCell ref="U36:W36"/>
    <mergeCell ref="Y36:AA36"/>
    <mergeCell ref="AC36:AE36"/>
    <mergeCell ref="A61:X6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33592-DFF0-41F9-8097-42712F73E647}">
  <sheetPr>
    <tabColor theme="5" tint="0.79998168889431442"/>
  </sheetPr>
  <dimension ref="A1:J122"/>
  <sheetViews>
    <sheetView showGridLines="0" zoomScale="85" zoomScaleNormal="85" workbookViewId="0">
      <selection activeCell="M28" sqref="M28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0" max="10" width="12.42578125" customWidth="1"/>
    <col min="13" max="13" width="18.85546875" customWidth="1"/>
  </cols>
  <sheetData>
    <row r="1" spans="1:10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7.1418084000000007E-2</v>
      </c>
    </row>
    <row r="2" spans="1:10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10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10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10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6" spans="1:10" x14ac:dyDescent="0.25">
      <c r="A6" s="44"/>
      <c r="B6" s="45"/>
    </row>
    <row r="7" spans="1:10" ht="18.75" x14ac:dyDescent="0.3">
      <c r="A7" s="44"/>
      <c r="B7" s="76" t="s">
        <v>134</v>
      </c>
      <c r="C7" s="76"/>
      <c r="D7" s="76"/>
      <c r="E7" s="76"/>
    </row>
    <row r="8" spans="1:10" x14ac:dyDescent="0.25">
      <c r="A8" s="25" t="s">
        <v>73</v>
      </c>
    </row>
    <row r="9" spans="1:10" x14ac:dyDescent="0.25">
      <c r="B9" s="5" t="s">
        <v>4</v>
      </c>
      <c r="C9" s="5" t="s">
        <v>96</v>
      </c>
      <c r="D9" s="5" t="s">
        <v>11</v>
      </c>
      <c r="H9" s="5" t="s">
        <v>4</v>
      </c>
      <c r="I9" s="5" t="s">
        <v>96</v>
      </c>
      <c r="J9" s="5" t="s">
        <v>11</v>
      </c>
    </row>
    <row r="10" spans="1:10" x14ac:dyDescent="0.25">
      <c r="A10" s="5" t="s">
        <v>10</v>
      </c>
      <c r="B10" s="10">
        <v>-1.1651204227085801</v>
      </c>
      <c r="C10" s="8">
        <v>-4.2000000000000003E-2</v>
      </c>
      <c r="D10" s="2">
        <f>B10*27.2114+C10</f>
        <v>-31.746557870492257</v>
      </c>
      <c r="G10" s="5" t="s">
        <v>191</v>
      </c>
      <c r="H10" s="10">
        <v>-30.0430223619964</v>
      </c>
      <c r="I10" s="8">
        <v>-0.56100000000000005</v>
      </c>
      <c r="J10" s="2">
        <f>H10*27.2114+I10</f>
        <v>-818.07369870122886</v>
      </c>
    </row>
    <row r="11" spans="1:10" x14ac:dyDescent="0.25">
      <c r="A11" s="5" t="s">
        <v>29</v>
      </c>
      <c r="B11" s="10">
        <v>-37.8808477704033</v>
      </c>
      <c r="C11" s="8">
        <v>-0.251</v>
      </c>
      <c r="D11" s="2">
        <f>B11*27.2114+C11+'Exp. thermo'!$G$5/96.49</f>
        <v>-1030.9598193813147</v>
      </c>
      <c r="G11" s="5" t="s">
        <v>200</v>
      </c>
      <c r="H11" s="10">
        <v>-42.413044169722198</v>
      </c>
      <c r="I11" s="8">
        <v>-0.496</v>
      </c>
      <c r="J11" s="2">
        <f>H11*27.2114+I11 +'Exp. thermo'!$G$5/96.49</f>
        <v>-1154.5322284817412</v>
      </c>
    </row>
    <row r="12" spans="1:10" x14ac:dyDescent="0.25">
      <c r="A12" s="5" t="s">
        <v>30</v>
      </c>
      <c r="B12" s="10">
        <v>-17.268355960477901</v>
      </c>
      <c r="C12" s="8">
        <v>9.2999999999999999E-2</v>
      </c>
      <c r="D12" s="2">
        <f>B12*27.2114+C12+'Exp. thermo'!$G$5/96.49</f>
        <v>-469.72105974471066</v>
      </c>
      <c r="G12" s="5" t="s">
        <v>253</v>
      </c>
      <c r="H12" s="10">
        <v>-8.3935110948132401</v>
      </c>
      <c r="I12" s="8">
        <v>5.6000000000000001E-2</v>
      </c>
      <c r="J12" s="2">
        <f>H12*27.2114+I12 +'Exp. thermo'!$G$5/96.49</f>
        <v>-228.26110616716332</v>
      </c>
    </row>
    <row r="13" spans="1:10" x14ac:dyDescent="0.25">
      <c r="A13" s="5" t="s">
        <v>9</v>
      </c>
      <c r="B13" s="10">
        <v>-58.677193166200901</v>
      </c>
      <c r="C13" s="8">
        <v>-1.0999999999999999E-2</v>
      </c>
      <c r="D13" s="2">
        <f>B13*27.2114+C13+'Exp. thermo'!$G$5/96.49</f>
        <v>-1596.6174924845216</v>
      </c>
      <c r="G13" s="5" t="s">
        <v>48</v>
      </c>
      <c r="H13" s="10">
        <v>-45.958970677356099</v>
      </c>
      <c r="I13" s="8">
        <v>0.88400000000000001</v>
      </c>
      <c r="J13" s="2">
        <f>H13*27.2114+I13+'Exp. thermo'!$G$5/96.49</f>
        <v>-1249.64185305157</v>
      </c>
    </row>
    <row r="14" spans="1:10" x14ac:dyDescent="0.25">
      <c r="A14" s="5" t="s">
        <v>49</v>
      </c>
      <c r="B14" s="10">
        <v>-42.632854517177599</v>
      </c>
      <c r="C14" s="8">
        <v>-0.126</v>
      </c>
      <c r="D14" s="2">
        <f>B14*27.2114+C14+'Exp. thermo'!$G$5/96.49</f>
        <v>-1160.1435757704887</v>
      </c>
      <c r="G14" s="5" t="s">
        <v>231</v>
      </c>
      <c r="H14" s="10">
        <v>-89.257170769677202</v>
      </c>
      <c r="I14" s="8">
        <v>-3.2000000000000001E-2</v>
      </c>
      <c r="J14" s="2">
        <f>H14*27.2114+I14+'Exp. thermo'!$G$5/96.49</f>
        <v>-2428.7624950437571</v>
      </c>
    </row>
    <row r="15" spans="1:10" ht="18.75" x14ac:dyDescent="0.3">
      <c r="C15" s="76"/>
      <c r="D15" s="76"/>
    </row>
    <row r="16" spans="1:10" x14ac:dyDescent="0.25">
      <c r="A16" s="25" t="s">
        <v>77</v>
      </c>
    </row>
    <row r="17" spans="1:7" x14ac:dyDescent="0.25">
      <c r="A17" s="20" t="s">
        <v>12</v>
      </c>
      <c r="B17" s="21">
        <v>0</v>
      </c>
    </row>
    <row r="18" spans="1:7" x14ac:dyDescent="0.25">
      <c r="A18" s="21" t="s">
        <v>3</v>
      </c>
      <c r="B18" s="21">
        <v>612</v>
      </c>
    </row>
    <row r="19" spans="1:7" x14ac:dyDescent="0.25">
      <c r="A19" s="73" t="s">
        <v>178</v>
      </c>
      <c r="B19" s="74"/>
      <c r="C19" s="74"/>
      <c r="D19" s="74"/>
      <c r="E19" s="74"/>
      <c r="F19" s="75"/>
    </row>
    <row r="20" spans="1:7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x14ac:dyDescent="0.25">
      <c r="A21" s="59">
        <f>-C21*27.2114-4.66</f>
        <v>8.1598640707199799E-2</v>
      </c>
      <c r="B21" s="59">
        <f>A21-0.0592*$B$17</f>
        <v>8.1598640707199799E-2</v>
      </c>
      <c r="C21" s="60">
        <v>-0.174250448</v>
      </c>
      <c r="D21" s="61">
        <v>612</v>
      </c>
      <c r="E21" s="62">
        <v>-5353.1432156678102</v>
      </c>
      <c r="F21" s="59">
        <f>(E21-(D21-$B$18)*C21)*27.2114</f>
        <v>-145666.52129882306</v>
      </c>
    </row>
    <row r="22" spans="1:7" x14ac:dyDescent="0.25">
      <c r="A22" s="2">
        <v>0.8</v>
      </c>
      <c r="B22" s="7">
        <f>A22-0.0592*$B$17</f>
        <v>0.8</v>
      </c>
      <c r="C22" s="3">
        <f>-(A22+4.66)/27.2114</f>
        <v>-0.20065119765980433</v>
      </c>
      <c r="D22" s="9">
        <v>611.349153</v>
      </c>
      <c r="E22" s="8">
        <v>-5353.0209025150298</v>
      </c>
      <c r="F22" s="7">
        <f>(E22-(D22-$B$18)*C22)*27.2114</f>
        <v>-145666.74661131747</v>
      </c>
    </row>
    <row r="23" spans="1:7" x14ac:dyDescent="0.25">
      <c r="A23" s="1">
        <v>0.4</v>
      </c>
      <c r="B23" s="7">
        <f t="shared" ref="B23:B24" si="0">A23-0.0592*$B$17</f>
        <v>0.4</v>
      </c>
      <c r="C23" s="3">
        <f>-(A23+4.66)/27.2114</f>
        <v>-0.18595147621952565</v>
      </c>
      <c r="D23" s="9">
        <v>611.73176000000001</v>
      </c>
      <c r="E23" s="8">
        <v>-5353.0948942034602</v>
      </c>
      <c r="F23" s="7">
        <f>(E23-(D23-$B$18)*C23)*27.2114</f>
        <v>-145666.56369852804</v>
      </c>
    </row>
    <row r="24" spans="1:7" x14ac:dyDescent="0.25">
      <c r="A24" s="2">
        <v>0</v>
      </c>
      <c r="B24" s="7">
        <f t="shared" si="0"/>
        <v>0</v>
      </c>
      <c r="C24" s="3">
        <f>-(A24+4.66)/27.2114</f>
        <v>-0.17125175477924692</v>
      </c>
      <c r="D24" s="9">
        <v>612.06665499999997</v>
      </c>
      <c r="E24" s="8">
        <v>-5353.1547309432399</v>
      </c>
      <c r="F24" s="7">
        <f>(E24-(D24-$B$18)*C24)*27.2114</f>
        <v>-145666.52403328888</v>
      </c>
    </row>
    <row r="26" spans="1:7" x14ac:dyDescent="0.25">
      <c r="A26" s="5" t="s">
        <v>3</v>
      </c>
      <c r="B26" s="2">
        <v>635</v>
      </c>
      <c r="C26" s="5" t="s">
        <v>96</v>
      </c>
      <c r="D26" s="2">
        <v>0.60799999999999998</v>
      </c>
    </row>
    <row r="27" spans="1:7" x14ac:dyDescent="0.25">
      <c r="A27" s="73" t="s">
        <v>179</v>
      </c>
      <c r="B27" s="74"/>
      <c r="C27" s="74"/>
      <c r="D27" s="74"/>
      <c r="E27" s="74"/>
      <c r="F27" s="75"/>
      <c r="G27" s="2" t="s">
        <v>31</v>
      </c>
    </row>
    <row r="28" spans="1:7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x14ac:dyDescent="0.25">
      <c r="A29" s="7">
        <f>-C29*27.2114-4.66</f>
        <v>4.3516068716000333E-2</v>
      </c>
      <c r="B29" s="7">
        <f>A29-0.0592*$B$17</f>
        <v>4.3516068716000333E-2</v>
      </c>
      <c r="C29" s="1">
        <v>-0.17285094000000001</v>
      </c>
      <c r="D29" s="9">
        <v>635</v>
      </c>
      <c r="E29" s="8">
        <v>-5407.7424331514203</v>
      </c>
      <c r="F29" s="7">
        <f>(E29-(D29-$B$26)*C29)*27.2114</f>
        <v>-147152.24244545656</v>
      </c>
      <c r="G29" s="42"/>
    </row>
    <row r="30" spans="1:7" x14ac:dyDescent="0.25">
      <c r="A30" s="2">
        <v>0.8</v>
      </c>
      <c r="B30" s="7">
        <f>A30-0.0592*$B$17</f>
        <v>0.8</v>
      </c>
      <c r="C30" s="3">
        <f>-(A30+4.66)/27.2114</f>
        <v>-0.20065119765980433</v>
      </c>
      <c r="D30" s="9">
        <v>634.38668199999995</v>
      </c>
      <c r="E30" s="8">
        <v>-5407.6277268702397</v>
      </c>
      <c r="F30" s="7">
        <f>(E30-(D30-$B$26)*C30)*27.2114</f>
        <v>-147152.46984323685</v>
      </c>
      <c r="G30" s="8">
        <f>(F30+$D$10/2-1*A22)-(F22+$D$11+$D$12)+$B$2+$D$26-0.0592*$B$17</f>
        <v>-1.3328854201779703</v>
      </c>
    </row>
    <row r="31" spans="1:7" x14ac:dyDescent="0.25">
      <c r="A31" s="1">
        <v>0.4</v>
      </c>
      <c r="B31" s="7">
        <f t="shared" ref="B31:B32" si="1">A31-0.0592*$B$17</f>
        <v>0.4</v>
      </c>
      <c r="C31" s="3">
        <f>-(A31+4.66)/27.2114</f>
        <v>-0.18595147621952565</v>
      </c>
      <c r="D31" s="9">
        <v>634.72162700000001</v>
      </c>
      <c r="E31" s="8">
        <v>-5407.6924895596203</v>
      </c>
      <c r="F31" s="7">
        <f t="shared" ref="F31:F32" si="2">(E31-(D31-$B$26)*C31)*27.2114</f>
        <v>-147152.29197778265</v>
      </c>
      <c r="G31" s="8">
        <f>(F31+$D$10/2-1*A23)-(F23+$D$11+$D$12)+$B$2+$D$26-0.0592*$B$17</f>
        <v>-0.93793275541500221</v>
      </c>
    </row>
    <row r="32" spans="1:7" x14ac:dyDescent="0.25">
      <c r="A32" s="2">
        <v>0</v>
      </c>
      <c r="B32" s="7">
        <f t="shared" si="1"/>
        <v>0</v>
      </c>
      <c r="C32" s="3">
        <f>-(A32+4.66)/27.2114</f>
        <v>-0.17125175477924692</v>
      </c>
      <c r="D32" s="9">
        <v>635.03296599999999</v>
      </c>
      <c r="E32" s="8">
        <v>-5407.7481070629001</v>
      </c>
      <c r="F32" s="7">
        <f t="shared" si="2"/>
        <v>-147152.24321897139</v>
      </c>
      <c r="G32" s="8">
        <f>(F32+$D$10/2-1*A24)-(F24+$D$11+$D$12)+$B$2+$D$26-0.0592*$B$17</f>
        <v>-0.52883918332625213</v>
      </c>
    </row>
    <row r="33" spans="1:7" x14ac:dyDescent="0.25">
      <c r="C33" s="15"/>
    </row>
    <row r="35" spans="1:7" x14ac:dyDescent="0.25">
      <c r="A35" s="2" t="s">
        <v>3</v>
      </c>
      <c r="B35" s="2">
        <v>634</v>
      </c>
      <c r="C35" s="5" t="s">
        <v>96</v>
      </c>
      <c r="D35" s="2">
        <v>0.29299999999999998</v>
      </c>
    </row>
    <row r="36" spans="1:7" x14ac:dyDescent="0.25">
      <c r="A36" s="73" t="s">
        <v>180</v>
      </c>
      <c r="B36" s="74"/>
      <c r="C36" s="74"/>
      <c r="D36" s="74"/>
      <c r="E36" s="74"/>
      <c r="F36" s="75"/>
      <c r="G36" s="2" t="s">
        <v>31</v>
      </c>
    </row>
    <row r="37" spans="1:7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x14ac:dyDescent="0.25">
      <c r="A38" s="7">
        <f>-C38*27.2114-4.66</f>
        <v>0.75895245591059979</v>
      </c>
      <c r="B38" s="7">
        <f>A38-0.0592*$B$17</f>
        <v>0.75895245591059979</v>
      </c>
      <c r="C38" s="1">
        <v>-0.19914272899999999</v>
      </c>
      <c r="D38" s="9">
        <v>634</v>
      </c>
      <c r="E38" s="8">
        <v>-5407.1187942611004</v>
      </c>
      <c r="F38" s="7">
        <f>(E38-(D38-$B$35)*C38)*27.2114</f>
        <v>-147135.27235815651</v>
      </c>
      <c r="G38" s="42"/>
    </row>
    <row r="39" spans="1:7" x14ac:dyDescent="0.25">
      <c r="A39" s="2">
        <v>0.8</v>
      </c>
      <c r="B39" s="7">
        <f>A39-0.0592*$B$17</f>
        <v>0.8</v>
      </c>
      <c r="C39" s="3">
        <f>-(A39+4.66)/27.2114</f>
        <v>-0.20065119765980433</v>
      </c>
      <c r="D39" s="9">
        <v>633.96088799999995</v>
      </c>
      <c r="E39" s="8">
        <v>-5407.1109780391498</v>
      </c>
      <c r="F39" s="7">
        <f t="shared" ref="F39:F41" si="3">(E39-(D39-$B$35)*C39)*27.2114</f>
        <v>-147135.27321933454</v>
      </c>
      <c r="G39" s="8">
        <f>(F39+$D$10-2*A39)-(F22+$D$12+$D$11)+$B$3+$D$35-0.0592*$B$17</f>
        <v>-1.7335118454934195</v>
      </c>
    </row>
    <row r="40" spans="1:7" x14ac:dyDescent="0.25">
      <c r="A40" s="1">
        <v>0.4</v>
      </c>
      <c r="B40" s="7">
        <f t="shared" ref="B40:B41" si="4">A40-0.0592*$B$17</f>
        <v>0.4</v>
      </c>
      <c r="C40" s="3">
        <f>-(A40+4.66)/27.2114</f>
        <v>-0.18595147621952565</v>
      </c>
      <c r="D40" s="9">
        <v>634.33957599999997</v>
      </c>
      <c r="E40" s="8">
        <v>-5407.1842400668402</v>
      </c>
      <c r="F40" s="7">
        <f t="shared" si="3"/>
        <v>-147135.33497559483</v>
      </c>
      <c r="G40" s="8">
        <f>(F40+$D$10-2*A40)-(F23+$D$12+$D$11)+$B$3+$D$35-0.0592*$B$17</f>
        <v>-1.1781808951922788</v>
      </c>
    </row>
    <row r="41" spans="1:7" x14ac:dyDescent="0.25">
      <c r="A41" s="2">
        <v>0</v>
      </c>
      <c r="B41" s="7">
        <f t="shared" si="4"/>
        <v>0</v>
      </c>
      <c r="C41" s="3">
        <f>-(A41+4.66)/27.2114</f>
        <v>-0.17125175477924692</v>
      </c>
      <c r="D41" s="9">
        <v>634.68965000000003</v>
      </c>
      <c r="E41" s="8">
        <v>-5407.2469006072797</v>
      </c>
      <c r="F41" s="7">
        <f t="shared" si="3"/>
        <v>-147135.54454218494</v>
      </c>
      <c r="G41" s="8">
        <f>(F41+$D$10-2*A41)-(F24+$D$12+$D$11)+$B$3+$D$35-0.0592*$B$17</f>
        <v>-0.62741272448278984</v>
      </c>
    </row>
    <row r="44" spans="1:7" x14ac:dyDescent="0.25">
      <c r="A44" s="2" t="s">
        <v>3</v>
      </c>
      <c r="B44" s="2">
        <v>635</v>
      </c>
      <c r="C44" s="5" t="s">
        <v>96</v>
      </c>
      <c r="D44" s="2">
        <v>0.29899999999999999</v>
      </c>
    </row>
    <row r="45" spans="1:7" x14ac:dyDescent="0.25">
      <c r="A45" s="73" t="s">
        <v>181</v>
      </c>
      <c r="B45" s="74"/>
      <c r="C45" s="74"/>
      <c r="D45" s="74"/>
      <c r="E45" s="74"/>
      <c r="F45" s="75"/>
      <c r="G45" s="2" t="s">
        <v>31</v>
      </c>
    </row>
    <row r="46" spans="1:7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x14ac:dyDescent="0.25">
      <c r="A47" s="7">
        <f>-C47*27.2114-4.66</f>
        <v>0.36134481254500006</v>
      </c>
      <c r="B47" s="7">
        <f>A47-0.0592*$B$17</f>
        <v>0.36134481254500006</v>
      </c>
      <c r="C47" s="1">
        <v>-0.18453092500000001</v>
      </c>
      <c r="D47" s="9">
        <v>635</v>
      </c>
      <c r="E47" s="8">
        <v>-5411.2661871190203</v>
      </c>
      <c r="F47" s="7">
        <f>(E47-(D47-$B$44)*C47)*27.2114</f>
        <v>-147248.12872417053</v>
      </c>
      <c r="G47" s="42"/>
    </row>
    <row r="48" spans="1:7" x14ac:dyDescent="0.25">
      <c r="A48" s="2">
        <v>0.8</v>
      </c>
      <c r="B48" s="7">
        <f>A48-0.0592*$B$17</f>
        <v>0.8</v>
      </c>
      <c r="C48" s="3">
        <f>-(A48+4.66)/27.2114</f>
        <v>-0.20065119765980433</v>
      </c>
      <c r="D48" s="9">
        <v>634.62186799999995</v>
      </c>
      <c r="E48" s="8">
        <v>-5411.1933292445501</v>
      </c>
      <c r="F48" s="7">
        <f t="shared" ref="F48:F50" si="5">(E48-(D48-$B$44)*C48)*27.2114</f>
        <v>-147248.21076012516</v>
      </c>
      <c r="G48" s="8">
        <f>(F48+$D$10/2-1*A48)-(F22+$D$13)+$B$4+$D$44-0.0592*$B$17</f>
        <v>-0.74225739986658246</v>
      </c>
    </row>
    <row r="49" spans="1:7" x14ac:dyDescent="0.25">
      <c r="A49" s="1">
        <v>0.4</v>
      </c>
      <c r="B49" s="7">
        <f t="shared" ref="B49:B50" si="6">A49-0.0592*$B$17</f>
        <v>0.4</v>
      </c>
      <c r="C49" s="3">
        <f>-(A49+4.66)/27.2114</f>
        <v>-0.18595147621952565</v>
      </c>
      <c r="D49" s="9">
        <v>634.968884</v>
      </c>
      <c r="E49" s="8">
        <v>-5411.2604266189101</v>
      </c>
      <c r="F49" s="7">
        <f t="shared" si="5"/>
        <v>-147248.12941985781</v>
      </c>
      <c r="G49" s="8">
        <f>(F49+$D$10/2-1*A49)-(F23+$D$13)+$B$4+$D$44-0.0592*$B$17</f>
        <v>-0.44382992195104404</v>
      </c>
    </row>
    <row r="50" spans="1:7" x14ac:dyDescent="0.25">
      <c r="A50" s="2">
        <v>0</v>
      </c>
      <c r="B50" s="7">
        <f t="shared" si="6"/>
        <v>0</v>
      </c>
      <c r="C50" s="3">
        <f>-(A50+4.66)/27.2114</f>
        <v>-0.17125175477924692</v>
      </c>
      <c r="D50" s="9">
        <v>635.29094399999997</v>
      </c>
      <c r="E50" s="8">
        <v>-5411.31795648772</v>
      </c>
      <c r="F50" s="7">
        <f t="shared" si="5"/>
        <v>-147248.18164212993</v>
      </c>
      <c r="G50" s="8">
        <f>(F50+$D$10/2-1*A50)-(F24+$D$13)+$B$4+$D$44-0.0592*$B$17</f>
        <v>-0.13571743324072255</v>
      </c>
    </row>
    <row r="53" spans="1:7" x14ac:dyDescent="0.25">
      <c r="A53" s="2" t="s">
        <v>3</v>
      </c>
      <c r="B53" s="2">
        <v>629</v>
      </c>
      <c r="C53" s="5" t="s">
        <v>96</v>
      </c>
      <c r="D53" s="2">
        <v>0.19400000000000001</v>
      </c>
    </row>
    <row r="54" spans="1:7" x14ac:dyDescent="0.25">
      <c r="A54" s="73" t="s">
        <v>182</v>
      </c>
      <c r="B54" s="74"/>
      <c r="C54" s="74"/>
      <c r="D54" s="74"/>
      <c r="E54" s="74"/>
      <c r="F54" s="75"/>
      <c r="G54" s="2" t="s">
        <v>31</v>
      </c>
    </row>
    <row r="55" spans="1:7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7" x14ac:dyDescent="0.25">
      <c r="A56" s="7">
        <f>-C56*27.2114-4.66</f>
        <v>0.27659281196720009</v>
      </c>
      <c r="B56" s="7">
        <f>A56-0.0592*$B$17</f>
        <v>0.27659281196720009</v>
      </c>
      <c r="C56" s="1">
        <v>-0.18141634800000001</v>
      </c>
      <c r="D56" s="9">
        <v>629</v>
      </c>
      <c r="E56" s="8">
        <v>-5395.2264704839199</v>
      </c>
      <c r="F56" s="7">
        <f>(E56-(D56-$B$53)*C56)*27.2114</f>
        <v>-146811.66557892616</v>
      </c>
      <c r="G56" s="42"/>
    </row>
    <row r="57" spans="1:7" x14ac:dyDescent="0.25">
      <c r="A57" s="2">
        <v>0.8</v>
      </c>
      <c r="B57" s="7">
        <f>A57-0.0592*$B$17</f>
        <v>0.8</v>
      </c>
      <c r="C57" s="3">
        <f>-(A57+4.66)/27.2114</f>
        <v>-0.20065119765980433</v>
      </c>
      <c r="D57" s="9">
        <v>628.56651299999999</v>
      </c>
      <c r="E57" s="8">
        <v>-5395.1436074848998</v>
      </c>
      <c r="F57" s="7">
        <f t="shared" ref="F57:F59" si="7">(E57-(D57-$B$53)*C57)*27.2114</f>
        <v>-146811.7775997346</v>
      </c>
      <c r="G57" s="8">
        <f>(F57+$D$10/2-1*A57)-(F22+$D$14)+$B$5+$D$53-0.0592*$B$17</f>
        <v>-1.3829347100078184</v>
      </c>
    </row>
    <row r="58" spans="1:7" x14ac:dyDescent="0.25">
      <c r="A58" s="1">
        <v>0.4</v>
      </c>
      <c r="B58" s="7">
        <f t="shared" ref="B58:B59" si="8">A58-0.0592*$B$17</f>
        <v>0.4</v>
      </c>
      <c r="C58" s="3">
        <f>-(A58+4.66)/27.2114</f>
        <v>-0.18595147621952565</v>
      </c>
      <c r="D58" s="9">
        <v>628.90313200000003</v>
      </c>
      <c r="E58" s="8">
        <v>-5395.2086781296302</v>
      </c>
      <c r="F58" s="7">
        <f t="shared" si="7"/>
        <v>-146811.67157613664</v>
      </c>
      <c r="G58" s="8">
        <f>(F58+$D$10/2-1*A58)-(F23+$D$14)+$B$5+$D$53-0.0592*$B$17</f>
        <v>-1.0598239014767632</v>
      </c>
    </row>
    <row r="59" spans="1:7" x14ac:dyDescent="0.25">
      <c r="A59" s="2">
        <v>0</v>
      </c>
      <c r="B59" s="7">
        <f t="shared" si="8"/>
        <v>0</v>
      </c>
      <c r="C59" s="3">
        <f>-(A59+4.66)/27.2114</f>
        <v>-0.17125175477924692</v>
      </c>
      <c r="D59" s="9">
        <v>629.220147</v>
      </c>
      <c r="E59" s="8">
        <v>-5395.2652825004398</v>
      </c>
      <c r="F59" s="7">
        <f t="shared" si="7"/>
        <v>-146811.69582321247</v>
      </c>
      <c r="G59" s="8">
        <f>(F59+$D$10/2-1*A59)-(F24+$D$14)+$B$5+$D$53-0.0592*$B$17</f>
        <v>-0.7237362164856922</v>
      </c>
    </row>
    <row r="62" spans="1:7" x14ac:dyDescent="0.25">
      <c r="A62" s="2" t="s">
        <v>3</v>
      </c>
      <c r="B62" s="2">
        <v>619</v>
      </c>
      <c r="C62" s="5" t="s">
        <v>96</v>
      </c>
      <c r="D62" s="2">
        <v>0.217</v>
      </c>
    </row>
    <row r="63" spans="1:7" x14ac:dyDescent="0.25">
      <c r="A63" s="73" t="s">
        <v>280</v>
      </c>
      <c r="B63" s="74"/>
      <c r="C63" s="74"/>
      <c r="D63" s="74"/>
      <c r="E63" s="74"/>
      <c r="F63" s="75"/>
      <c r="G63" s="2" t="s">
        <v>31</v>
      </c>
    </row>
    <row r="64" spans="1:7" x14ac:dyDescent="0.25">
      <c r="A64" s="4" t="s">
        <v>1</v>
      </c>
      <c r="B64" s="4" t="s">
        <v>100</v>
      </c>
      <c r="C64" s="4" t="s">
        <v>0</v>
      </c>
      <c r="D64" s="5" t="s">
        <v>2</v>
      </c>
      <c r="E64" s="5" t="s">
        <v>4</v>
      </c>
      <c r="F64" s="4" t="s">
        <v>5</v>
      </c>
      <c r="G64" s="6" t="s">
        <v>7</v>
      </c>
    </row>
    <row r="65" spans="1:7" x14ac:dyDescent="0.25">
      <c r="A65" s="7">
        <f>-C65*27.2114-4.66</f>
        <v>0.12079818624560001</v>
      </c>
      <c r="B65" s="7">
        <f>A65-0.0592*$B$17</f>
        <v>0.12079818624560001</v>
      </c>
      <c r="C65" s="1">
        <v>-0.17569100400000001</v>
      </c>
      <c r="D65" s="9">
        <v>619</v>
      </c>
      <c r="E65" s="8">
        <v>-5369.8277452693601</v>
      </c>
      <c r="F65" s="7">
        <f>(E65-(D65-$B$62)*C65)*27.2114</f>
        <v>-146120.53070762267</v>
      </c>
      <c r="G65" s="42"/>
    </row>
    <row r="66" spans="1:7" x14ac:dyDescent="0.25">
      <c r="A66" s="2">
        <v>0.8</v>
      </c>
      <c r="B66" s="7">
        <f>A66-0.0592*$B$17</f>
        <v>0.8</v>
      </c>
      <c r="C66" s="3">
        <f>-(A66+4.66)/27.2114</f>
        <v>-0.20065119765980433</v>
      </c>
      <c r="D66" s="9">
        <v>618.37871299999995</v>
      </c>
      <c r="E66" s="8">
        <v>-5369.71078621576</v>
      </c>
      <c r="F66" s="7">
        <f>(E66-(D66-$B$62)*C66)*27.2114</f>
        <v>-146120.74031505155</v>
      </c>
      <c r="G66" s="8">
        <f>(F66+1/2*$D$10-1*A66)-(F22 + $D$12)+$D$62-0.0592*$B$17 + $E$2</f>
        <v>-1.4020665142716737</v>
      </c>
    </row>
    <row r="67" spans="1:7" x14ac:dyDescent="0.25">
      <c r="A67" s="1">
        <v>0.4</v>
      </c>
      <c r="B67" s="7">
        <f t="shared" ref="B67:B68" si="9">A67-0.0592*$B$17</f>
        <v>0.4</v>
      </c>
      <c r="C67" s="3">
        <f>-(A67+4.66)/27.2114</f>
        <v>-0.18595147621952565</v>
      </c>
      <c r="D67" s="9">
        <v>618.74703099999999</v>
      </c>
      <c r="E67" s="8">
        <v>-5369.7820260100998</v>
      </c>
      <c r="F67" s="7">
        <f>(E67-(D67-$B$62)*C67)*27.2114</f>
        <v>-146120.56664571122</v>
      </c>
      <c r="G67" s="8">
        <f t="shared" ref="G67:G68" si="10">(F67+1/2*$D$10-1*A67)-(F23 + $D$12)+$D$62-0.0592*$B$17 + $E$2</f>
        <v>-1.0113099633864024</v>
      </c>
    </row>
    <row r="68" spans="1:7" x14ac:dyDescent="0.25">
      <c r="A68" s="2">
        <v>0</v>
      </c>
      <c r="B68" s="7">
        <f t="shared" si="9"/>
        <v>0</v>
      </c>
      <c r="C68" s="3">
        <f>-(A68+4.66)/27.2114</f>
        <v>-0.17125175477924692</v>
      </c>
      <c r="D68" s="9">
        <v>619.10738300000003</v>
      </c>
      <c r="E68" s="8">
        <v>-5369.8463719962601</v>
      </c>
      <c r="F68" s="7">
        <f>(E68-(D68-$B$62)*C68)*27.2114</f>
        <v>-146120.53716215902</v>
      </c>
      <c r="G68" s="8">
        <f t="shared" si="10"/>
        <v>-0.62149165034959009</v>
      </c>
    </row>
    <row r="71" spans="1:7" x14ac:dyDescent="0.25">
      <c r="A71" s="2" t="s">
        <v>3</v>
      </c>
      <c r="B71" s="2">
        <v>613</v>
      </c>
      <c r="C71" s="5" t="s">
        <v>96</v>
      </c>
      <c r="D71" s="2">
        <v>0.183</v>
      </c>
    </row>
    <row r="72" spans="1:7" x14ac:dyDescent="0.25">
      <c r="A72" s="73" t="s">
        <v>281</v>
      </c>
      <c r="B72" s="74"/>
      <c r="C72" s="74"/>
      <c r="D72" s="74"/>
      <c r="E72" s="74"/>
      <c r="F72" s="75"/>
      <c r="G72" s="2" t="s">
        <v>31</v>
      </c>
    </row>
    <row r="73" spans="1:7" x14ac:dyDescent="0.25">
      <c r="A73" s="4" t="s">
        <v>1</v>
      </c>
      <c r="B73" s="4" t="s">
        <v>100</v>
      </c>
      <c r="C73" s="4" t="s">
        <v>0</v>
      </c>
      <c r="D73" s="5" t="s">
        <v>2</v>
      </c>
      <c r="E73" s="5" t="s">
        <v>4</v>
      </c>
      <c r="F73" s="4" t="s">
        <v>5</v>
      </c>
      <c r="G73" s="6" t="s">
        <v>7</v>
      </c>
    </row>
    <row r="74" spans="1:7" x14ac:dyDescent="0.25">
      <c r="A74" s="7">
        <f>-C74*27.2114-4.66</f>
        <v>8.2633980054399814E-2</v>
      </c>
      <c r="B74" s="7">
        <f>A74-0.0592*$B$17</f>
        <v>8.2633980054399814E-2</v>
      </c>
      <c r="C74" s="1">
        <v>-0.17428849599999999</v>
      </c>
      <c r="D74" s="9">
        <v>613</v>
      </c>
      <c r="E74" s="8">
        <v>-5353.7551131712898</v>
      </c>
      <c r="F74" s="7">
        <f>(E74-(D74-$B$71)*C74)*27.2114</f>
        <v>-145683.17188654924</v>
      </c>
      <c r="G74" s="42"/>
    </row>
    <row r="75" spans="1:7" x14ac:dyDescent="0.25">
      <c r="A75" s="2">
        <v>0.8</v>
      </c>
      <c r="B75" s="7">
        <f>A75-0.0592*$B$17</f>
        <v>0.8</v>
      </c>
      <c r="C75" s="3">
        <f>-(A75+4.66)/27.2114</f>
        <v>-0.20065119765980433</v>
      </c>
      <c r="D75" s="9">
        <v>612.37890900000002</v>
      </c>
      <c r="E75" s="8">
        <v>-5353.6384200748798</v>
      </c>
      <c r="F75" s="7">
        <f t="shared" ref="F75:F77" si="11">(E75-(D75-$B$71)*C75)*27.2114</f>
        <v>-145683.38766088558</v>
      </c>
      <c r="G75" s="8">
        <f>(F75)-(F22+$D$10/2-1*A75)+$D$71-0.0592*$B$17</f>
        <v>0.21522936711972579</v>
      </c>
    </row>
    <row r="76" spans="1:7" x14ac:dyDescent="0.25">
      <c r="A76" s="1">
        <v>0.4</v>
      </c>
      <c r="B76" s="7">
        <f t="shared" ref="B76:B77" si="12">A76-0.0592*$B$17</f>
        <v>0.4</v>
      </c>
      <c r="C76" s="3">
        <f>-(A76+4.66)/27.2114</f>
        <v>-0.18595147621952565</v>
      </c>
      <c r="D76" s="9">
        <v>612.74097300000005</v>
      </c>
      <c r="E76" s="8">
        <v>-5353.7084405227197</v>
      </c>
      <c r="F76" s="7">
        <f t="shared" si="11"/>
        <v>-145683.21253505995</v>
      </c>
      <c r="G76" s="8">
        <f t="shared" ref="G76:G77" si="13">(F76)-(F23+$D$10/2-1*A76)+$D$71-0.0592*$B$17</f>
        <v>-0.19255759667884559</v>
      </c>
    </row>
    <row r="77" spans="1:7" x14ac:dyDescent="0.25">
      <c r="A77" s="2">
        <v>0</v>
      </c>
      <c r="B77" s="7">
        <f t="shared" si="12"/>
        <v>0</v>
      </c>
      <c r="C77" s="3">
        <f>-(A77+4.66)/27.2114</f>
        <v>-0.17125175477924692</v>
      </c>
      <c r="D77" s="9">
        <v>613.06653200000005</v>
      </c>
      <c r="E77" s="8">
        <v>-5353.7666057285196</v>
      </c>
      <c r="F77" s="7">
        <f t="shared" si="11"/>
        <v>-145683.17457600104</v>
      </c>
      <c r="G77" s="8">
        <f t="shared" si="13"/>
        <v>-0.59426377692306409</v>
      </c>
    </row>
    <row r="80" spans="1:7" x14ac:dyDescent="0.25">
      <c r="A80" s="2" t="s">
        <v>3</v>
      </c>
      <c r="B80" s="2">
        <v>619</v>
      </c>
      <c r="C80" s="5" t="s">
        <v>96</v>
      </c>
      <c r="D80" s="2">
        <v>-1.7999999999999999E-2</v>
      </c>
      <c r="E80" s="5" t="s">
        <v>186</v>
      </c>
      <c r="F80" s="2">
        <v>1.36</v>
      </c>
    </row>
    <row r="81" spans="1:7" x14ac:dyDescent="0.25">
      <c r="A81" s="73" t="s">
        <v>282</v>
      </c>
      <c r="B81" s="74"/>
      <c r="C81" s="74"/>
      <c r="D81" s="74"/>
      <c r="E81" s="74"/>
      <c r="F81" s="75"/>
      <c r="G81" s="2" t="s">
        <v>31</v>
      </c>
    </row>
    <row r="82" spans="1:7" x14ac:dyDescent="0.25">
      <c r="A82" s="4" t="s">
        <v>1</v>
      </c>
      <c r="B82" s="4" t="s">
        <v>100</v>
      </c>
      <c r="C82" s="4" t="s">
        <v>0</v>
      </c>
      <c r="D82" s="5" t="s">
        <v>2</v>
      </c>
      <c r="E82" s="5" t="s">
        <v>4</v>
      </c>
      <c r="F82" s="4" t="s">
        <v>5</v>
      </c>
      <c r="G82" s="6" t="s">
        <v>7</v>
      </c>
    </row>
    <row r="83" spans="1:7" x14ac:dyDescent="0.25">
      <c r="A83" s="7">
        <f>-C83*27.2114-4.66</f>
        <v>6.6045965037200283E-2</v>
      </c>
      <c r="B83" s="7">
        <f>A83-0.0592*$B$17</f>
        <v>6.6045965037200283E-2</v>
      </c>
      <c r="C83" s="1">
        <v>-0.173678898</v>
      </c>
      <c r="D83" s="9">
        <v>619</v>
      </c>
      <c r="E83" s="8">
        <v>-5368.2510137665004</v>
      </c>
      <c r="F83" s="7">
        <f>(E83-(D83-$B$80)*C83)*27.2114</f>
        <v>-146077.62563600575</v>
      </c>
      <c r="G83" s="42"/>
    </row>
    <row r="84" spans="1:7" x14ac:dyDescent="0.25">
      <c r="A84" s="2">
        <v>0.8</v>
      </c>
      <c r="B84" s="7">
        <f>A84-0.0592*$B$17</f>
        <v>0.8</v>
      </c>
      <c r="C84" s="3">
        <f>-(A84+4.66)/27.2114</f>
        <v>-0.20065119765980433</v>
      </c>
      <c r="D84" s="9">
        <v>618.39959599999997</v>
      </c>
      <c r="E84" s="8">
        <v>-5368.1384080632697</v>
      </c>
      <c r="F84" s="7">
        <f>(E84-(D84-$B$80)*C84)*27.2114</f>
        <v>-146077.83968301286</v>
      </c>
      <c r="G84" s="8">
        <f>(F84+1*($F$80-A84)) - (F22+$J$10/2) + $D$80</f>
        <v>-1.514222344780108</v>
      </c>
    </row>
    <row r="85" spans="1:7" x14ac:dyDescent="0.25">
      <c r="A85" s="1">
        <v>0.4</v>
      </c>
      <c r="B85" s="7">
        <f t="shared" ref="B85:B86" si="14">A85-0.0592*$B$17</f>
        <v>0.4</v>
      </c>
      <c r="C85" s="3">
        <f>-(A85+4.66)/27.2114</f>
        <v>-0.18595147621952565</v>
      </c>
      <c r="D85" s="9">
        <v>618.74021800000003</v>
      </c>
      <c r="E85" s="8">
        <v>-5368.2042823418196</v>
      </c>
      <c r="F85" s="7">
        <f>(E85-(D85-$B$80)*C85)*27.2114</f>
        <v>-146077.66850543622</v>
      </c>
      <c r="G85" s="8">
        <f t="shared" ref="G85:G86" si="15">(F85+1*($F$80-A85)) - (F23+$J$10/2) + $D$80</f>
        <v>-1.1259575575713534</v>
      </c>
    </row>
    <row r="86" spans="1:7" x14ac:dyDescent="0.25">
      <c r="A86" s="2">
        <v>0</v>
      </c>
      <c r="B86" s="7">
        <f t="shared" si="14"/>
        <v>0</v>
      </c>
      <c r="C86" s="3">
        <f>-(A86+4.66)/27.2114</f>
        <v>-0.17125175477924692</v>
      </c>
      <c r="D86" s="9">
        <v>619.04961400000002</v>
      </c>
      <c r="E86" s="8">
        <v>-5368.2595702455701</v>
      </c>
      <c r="F86" s="7">
        <f>(E86-(D86-$B$80)*C86)*27.2114</f>
        <v>-146077.62726854029</v>
      </c>
      <c r="G86" s="8">
        <f t="shared" si="15"/>
        <v>-0.72438590081944132</v>
      </c>
    </row>
    <row r="89" spans="1:7" x14ac:dyDescent="0.25">
      <c r="A89" s="2" t="s">
        <v>3</v>
      </c>
      <c r="B89" s="2">
        <v>642</v>
      </c>
      <c r="C89" s="5" t="s">
        <v>96</v>
      </c>
      <c r="D89" s="2">
        <v>0.33200000000000002</v>
      </c>
      <c r="E89" s="5" t="s">
        <v>186</v>
      </c>
      <c r="F89" s="2">
        <v>9.9000000000000005E-2</v>
      </c>
    </row>
    <row r="90" spans="1:7" x14ac:dyDescent="0.25">
      <c r="A90" s="73" t="s">
        <v>283</v>
      </c>
      <c r="B90" s="74"/>
      <c r="C90" s="74"/>
      <c r="D90" s="74"/>
      <c r="E90" s="74"/>
      <c r="F90" s="75"/>
      <c r="G90" s="2" t="s">
        <v>31</v>
      </c>
    </row>
    <row r="91" spans="1:7" x14ac:dyDescent="0.25">
      <c r="A91" s="4" t="s">
        <v>1</v>
      </c>
      <c r="B91" s="4" t="s">
        <v>100</v>
      </c>
      <c r="C91" s="4" t="s">
        <v>0</v>
      </c>
      <c r="D91" s="5" t="s">
        <v>2</v>
      </c>
      <c r="E91" s="5" t="s">
        <v>4</v>
      </c>
      <c r="F91" s="4" t="s">
        <v>5</v>
      </c>
      <c r="G91" s="6" t="s">
        <v>7</v>
      </c>
    </row>
    <row r="92" spans="1:7" x14ac:dyDescent="0.25">
      <c r="A92" s="7">
        <f>-C92*27.2114-4.66</f>
        <v>0.6903276452910001</v>
      </c>
      <c r="B92" s="7">
        <f>A92-0.0592*$B$17</f>
        <v>0.6903276452910001</v>
      </c>
      <c r="C92" s="1">
        <v>-0.196620815</v>
      </c>
      <c r="D92" s="9">
        <v>642</v>
      </c>
      <c r="E92" s="8">
        <v>-5427.78158783045</v>
      </c>
      <c r="F92" s="7">
        <f>(E92-(D92-$B$89)*C92)*27.2114</f>
        <v>-147697.5358990895</v>
      </c>
      <c r="G92" s="42"/>
    </row>
    <row r="93" spans="1:7" x14ac:dyDescent="0.25">
      <c r="A93" s="2">
        <v>0.8</v>
      </c>
      <c r="B93" s="7">
        <f>A93-0.0592*$B$17</f>
        <v>0.8</v>
      </c>
      <c r="C93" s="3">
        <f>-(A93+4.66)/27.2114</f>
        <v>-0.20065119765980433</v>
      </c>
      <c r="D93" s="9">
        <v>641.90734599999996</v>
      </c>
      <c r="E93" s="8">
        <v>-5427.7631855404197</v>
      </c>
      <c r="F93" s="7">
        <f t="shared" ref="F93:F95" si="16">(E93-(D93-$B$89)*C93)*27.2114</f>
        <v>-147697.54103785456</v>
      </c>
      <c r="G93" s="8">
        <f>(F93+2*$D$10-2*(A93+$F$89))-(F22 + $J$11+'Exp. thermo'!$C$64/96.49 + 2*$D$12-2*'Exp. thermo'!$G$6/96.49+2*'Exp. thermo'!$B$71/96.49)+$D$89-0.0592*$B$130-'Exp. thermo'!$C$41/96.49</f>
        <v>-1.494385924976654</v>
      </c>
    </row>
    <row r="94" spans="1:7" x14ac:dyDescent="0.25">
      <c r="A94" s="1">
        <v>0.4</v>
      </c>
      <c r="B94" s="7">
        <f t="shared" ref="B94:B95" si="17">A94-0.0592*$B$17</f>
        <v>0.4</v>
      </c>
      <c r="C94" s="3">
        <f>-(A94+4.66)/27.2114</f>
        <v>-0.18595147621952565</v>
      </c>
      <c r="D94" s="9">
        <v>642.23960599999998</v>
      </c>
      <c r="E94" s="8">
        <v>-5427.8274396755096</v>
      </c>
      <c r="F94" s="7">
        <f t="shared" si="16"/>
        <v>-147697.57118562618</v>
      </c>
      <c r="G94" s="8">
        <f>(F94+2*$D$10-2*(A94+$F$89))-(F23 + $J$11+'Exp. thermo'!$C$64/96.49 + 2*$D$12-2*'Exp. thermo'!$G$6/96.49+2*'Exp. thermo'!$B$71/96.49)+$D$89-0.0592*$B$130-'Exp. thermo'!$C$41/96.49</f>
        <v>-0.90744648600286759</v>
      </c>
    </row>
    <row r="95" spans="1:7" x14ac:dyDescent="0.25">
      <c r="A95" s="2">
        <v>0</v>
      </c>
      <c r="B95" s="7">
        <f t="shared" si="17"/>
        <v>0</v>
      </c>
      <c r="C95" s="3">
        <f>-(A95+4.66)/27.2114</f>
        <v>-0.17125175477924692</v>
      </c>
      <c r="D95" s="9">
        <v>642.56335899999999</v>
      </c>
      <c r="E95" s="8">
        <v>-5427.8853097374104</v>
      </c>
      <c r="F95" s="7">
        <f t="shared" si="16"/>
        <v>-147697.73306444858</v>
      </c>
      <c r="G95" s="8">
        <f>(F95+2*$D$10-2*(A95+$F$89))-(F24 + $J$11+'Exp. thermo'!$C$64/96.49 + 2*$D$12-2*'Exp. thermo'!$G$6/96.49+2*'Exp. thermo'!$B$71/96.49)+$D$89-0.0592*$B$130-'Exp. thermo'!$C$41/96.49</f>
        <v>-0.30899054757958244</v>
      </c>
    </row>
    <row r="98" spans="1:7" x14ac:dyDescent="0.25">
      <c r="A98" s="2" t="s">
        <v>3</v>
      </c>
      <c r="B98" s="2">
        <v>641</v>
      </c>
      <c r="C98" s="5" t="s">
        <v>96</v>
      </c>
      <c r="D98" s="2">
        <v>0.312</v>
      </c>
      <c r="E98" s="5" t="s">
        <v>186</v>
      </c>
      <c r="F98" s="2">
        <v>-0.26900000000000002</v>
      </c>
    </row>
    <row r="99" spans="1:7" x14ac:dyDescent="0.25">
      <c r="A99" s="73" t="s">
        <v>284</v>
      </c>
      <c r="B99" s="74"/>
      <c r="C99" s="74"/>
      <c r="D99" s="74"/>
      <c r="E99" s="74"/>
      <c r="F99" s="75"/>
      <c r="G99" s="2" t="s">
        <v>31</v>
      </c>
    </row>
    <row r="100" spans="1:7" x14ac:dyDescent="0.25">
      <c r="A100" s="4" t="s">
        <v>1</v>
      </c>
      <c r="B100" s="4" t="s">
        <v>100</v>
      </c>
      <c r="C100" s="4" t="s">
        <v>0</v>
      </c>
      <c r="D100" s="5" t="s">
        <v>2</v>
      </c>
      <c r="E100" s="5" t="s">
        <v>4</v>
      </c>
      <c r="F100" s="4" t="s">
        <v>5</v>
      </c>
      <c r="G100" s="6" t="s">
        <v>7</v>
      </c>
    </row>
    <row r="101" spans="1:7" x14ac:dyDescent="0.25">
      <c r="A101" s="7">
        <f>-C101*27.2114-4.66</f>
        <v>1.0228563411481995</v>
      </c>
      <c r="B101" s="7">
        <f>A101-0.0592*$B$17</f>
        <v>1.0228563411481995</v>
      </c>
      <c r="C101" s="1">
        <v>-0.20884101299999999</v>
      </c>
      <c r="D101" s="9">
        <v>641</v>
      </c>
      <c r="E101" s="8">
        <v>-5424.2420783760699</v>
      </c>
      <c r="F101" s="7">
        <f>(E101-(D101-$B$98)*C101)*27.2114</f>
        <v>-147601.22089152259</v>
      </c>
      <c r="G101" s="42"/>
    </row>
    <row r="102" spans="1:7" x14ac:dyDescent="0.25">
      <c r="A102" s="2">
        <v>0.8</v>
      </c>
      <c r="B102" s="7">
        <f>A102-0.0592*$B$17</f>
        <v>0.8</v>
      </c>
      <c r="C102" s="3">
        <f>-(A102+4.66)/27.2114</f>
        <v>-0.20065119765980433</v>
      </c>
      <c r="D102" s="9">
        <v>641.20115999999996</v>
      </c>
      <c r="E102" s="8">
        <v>-5424.2832791158698</v>
      </c>
      <c r="F102" s="7">
        <f t="shared" ref="F102:F104" si="18">(E102-(D102-$B$98)*C102)*27.2114</f>
        <v>-147601.24368773357</v>
      </c>
      <c r="G102" s="8">
        <f>(F102+11/2*$D$10-3*A102-8*$F$98)-(F22 + $J$12 + 4*$D$12-4*'Exp. thermo'!$G$6/96.49+4*'Exp. thermo'!$B$71/96.49)+$D$98-0.0592*$B$17 + $E$3</f>
        <v>-2.5501627755652172</v>
      </c>
    </row>
    <row r="103" spans="1:7" x14ac:dyDescent="0.25">
      <c r="A103" s="1">
        <v>0.4</v>
      </c>
      <c r="B103" s="7">
        <f t="shared" ref="B103:B104" si="19">A103-0.0592*$B$17</f>
        <v>0.4</v>
      </c>
      <c r="C103" s="3">
        <f>-(A103+4.66)/27.2114</f>
        <v>-0.18595147621952565</v>
      </c>
      <c r="D103" s="9">
        <v>641.53914099999997</v>
      </c>
      <c r="E103" s="8">
        <v>-5424.3486404367504</v>
      </c>
      <c r="F103" s="7">
        <f t="shared" si="18"/>
        <v>-147601.39254092058</v>
      </c>
      <c r="G103" s="8">
        <f>(F103+11/2*$D$10-3*A103-8*$F$98)-(F23 + $J$12 + 4*$D$12-4*'Exp. thermo'!$G$6/96.49+4*'Exp. thermo'!$B$71/96.49)+$D$98-0.0592*$B$17 + $E$3</f>
        <v>-1.6819287520261006</v>
      </c>
    </row>
    <row r="104" spans="1:7" x14ac:dyDescent="0.25">
      <c r="A104" s="2">
        <v>0</v>
      </c>
      <c r="B104" s="7">
        <f t="shared" si="19"/>
        <v>0</v>
      </c>
      <c r="C104" s="3">
        <f>-(A104+4.66)/27.2114</f>
        <v>-0.17125175477924692</v>
      </c>
      <c r="D104" s="9">
        <v>641.86908800000003</v>
      </c>
      <c r="E104" s="8">
        <v>-5424.4075666769604</v>
      </c>
      <c r="F104" s="7">
        <f t="shared" si="18"/>
        <v>-147601.67410979344</v>
      </c>
      <c r="G104" s="8">
        <f>(F104+11/2*$D$10-3*A104-8*$F$98)-(F24 + $J$12 + 4*$D$12-4*'Exp. thermo'!$G$6/96.49+4*'Exp. thermo'!$B$71/96.49)+$D$98-0.0592*$B$17 + $E$3</f>
        <v>-0.80316286403783499</v>
      </c>
    </row>
    <row r="105" spans="1:7" x14ac:dyDescent="0.25">
      <c r="G105" s="40"/>
    </row>
    <row r="107" spans="1:7" x14ac:dyDescent="0.25">
      <c r="A107" s="2" t="s">
        <v>3</v>
      </c>
      <c r="B107" s="2">
        <v>635</v>
      </c>
      <c r="C107" s="5" t="s">
        <v>96</v>
      </c>
      <c r="D107" s="2">
        <v>1.1910000000000001</v>
      </c>
    </row>
    <row r="108" spans="1:7" x14ac:dyDescent="0.25">
      <c r="A108" s="73" t="s">
        <v>285</v>
      </c>
      <c r="B108" s="74"/>
      <c r="C108" s="74"/>
      <c r="D108" s="74"/>
      <c r="E108" s="74"/>
      <c r="F108" s="75"/>
      <c r="G108" s="2" t="s">
        <v>31</v>
      </c>
    </row>
    <row r="109" spans="1:7" x14ac:dyDescent="0.25">
      <c r="A109" s="4" t="s">
        <v>1</v>
      </c>
      <c r="B109" s="4" t="s">
        <v>100</v>
      </c>
      <c r="C109" s="4" t="s">
        <v>0</v>
      </c>
      <c r="D109" s="5" t="s">
        <v>2</v>
      </c>
      <c r="E109" s="5" t="s">
        <v>4</v>
      </c>
      <c r="F109" s="4" t="s">
        <v>5</v>
      </c>
      <c r="G109" s="6" t="s">
        <v>7</v>
      </c>
    </row>
    <row r="110" spans="1:7" x14ac:dyDescent="0.25">
      <c r="A110" s="7">
        <f>-C110*27.2114-4.66</f>
        <v>-2.1068474865799658E-2</v>
      </c>
      <c r="B110" s="7">
        <f>A110-0.0592*$B$17</f>
        <v>-2.1068474865799658E-2</v>
      </c>
      <c r="C110" s="1">
        <v>-0.170477503</v>
      </c>
      <c r="D110" s="9">
        <v>635</v>
      </c>
      <c r="E110" s="8">
        <v>-5398.5547844079001</v>
      </c>
      <c r="F110" s="7">
        <f>(E110-(D110-$B$107)*C110)*27.2114</f>
        <v>-146902.23366043714</v>
      </c>
      <c r="G110" s="42"/>
    </row>
    <row r="111" spans="1:7" x14ac:dyDescent="0.25">
      <c r="A111" s="2">
        <v>0.8</v>
      </c>
      <c r="B111" s="7">
        <f>A111-0.0592*$B$17</f>
        <v>0.8</v>
      </c>
      <c r="C111" s="3">
        <f>-(A111+4.66)/27.2114</f>
        <v>-0.20065119765980433</v>
      </c>
      <c r="D111" s="9">
        <v>634.35760000000005</v>
      </c>
      <c r="E111" s="8">
        <v>-5398.4354169529897</v>
      </c>
      <c r="F111" s="7">
        <f t="shared" ref="F111:F113" si="20">(E111-(D111-$B$107)*C111)*27.2114</f>
        <v>-146902.49300887459</v>
      </c>
      <c r="G111" s="8">
        <f>(F111+$D$10/2-1*A111)-(F22+$J$13)+$E$4+$D$107-0.0592*$B$17</f>
        <v>-1.5728652089200905</v>
      </c>
    </row>
    <row r="112" spans="1:7" x14ac:dyDescent="0.25">
      <c r="A112" s="1">
        <v>0.4</v>
      </c>
      <c r="B112" s="7">
        <f t="shared" ref="B112:B113" si="21">A112-0.0592*$B$17</f>
        <v>0.4</v>
      </c>
      <c r="C112" s="3">
        <f>-(A112+4.66)/27.2114</f>
        <v>-0.18595147621952565</v>
      </c>
      <c r="D112" s="9">
        <v>634.68137000000002</v>
      </c>
      <c r="E112" s="8">
        <v>-5398.4980190037704</v>
      </c>
      <c r="F112" s="7">
        <f t="shared" si="20"/>
        <v>-146902.3012621192</v>
      </c>
      <c r="G112" s="8">
        <f t="shared" ref="G112" si="22">(F112+$D$10/2-1*A112)-(F23+$J$13)+$E$4+$D$107-0.0592*$B$17</f>
        <v>-1.1640312429699107</v>
      </c>
    </row>
    <row r="113" spans="1:7" x14ac:dyDescent="0.25">
      <c r="A113" s="2">
        <v>0</v>
      </c>
      <c r="B113" s="7">
        <f t="shared" si="21"/>
        <v>0</v>
      </c>
      <c r="C113" s="3">
        <f>-(A113+4.66)/27.2114</f>
        <v>-0.17125175477924692</v>
      </c>
      <c r="D113" s="9">
        <v>634.98476900000003</v>
      </c>
      <c r="E113" s="8">
        <v>-5398.5521822990804</v>
      </c>
      <c r="F113" s="7">
        <f t="shared" si="20"/>
        <v>-146902.23382987321</v>
      </c>
      <c r="G113" s="8">
        <f>(F113+$D$10/2-1*A113)-(F24+$J$13)+$E$4+$D$107-0.0592*$B$17</f>
        <v>-0.73626423614402214</v>
      </c>
    </row>
    <row r="116" spans="1:7" x14ac:dyDescent="0.25">
      <c r="A116" s="2" t="s">
        <v>3</v>
      </c>
      <c r="B116" s="2">
        <v>653</v>
      </c>
      <c r="C116" s="5" t="s">
        <v>96</v>
      </c>
      <c r="D116" s="2">
        <v>0.313</v>
      </c>
    </row>
    <row r="117" spans="1:7" x14ac:dyDescent="0.25">
      <c r="A117" s="73" t="s">
        <v>367</v>
      </c>
      <c r="B117" s="74"/>
      <c r="C117" s="74"/>
      <c r="D117" s="74"/>
      <c r="E117" s="74"/>
      <c r="F117" s="75"/>
      <c r="G117" s="2" t="s">
        <v>31</v>
      </c>
    </row>
    <row r="118" spans="1:7" x14ac:dyDescent="0.25">
      <c r="A118" s="4" t="s">
        <v>1</v>
      </c>
      <c r="B118" s="4" t="s">
        <v>100</v>
      </c>
      <c r="C118" s="4" t="s">
        <v>0</v>
      </c>
      <c r="D118" s="5" t="s">
        <v>2</v>
      </c>
      <c r="E118" s="5" t="s">
        <v>4</v>
      </c>
      <c r="F118" s="4" t="s">
        <v>5</v>
      </c>
      <c r="G118" s="6" t="s">
        <v>7</v>
      </c>
    </row>
    <row r="119" spans="1:7" x14ac:dyDescent="0.25">
      <c r="A119" s="7">
        <f>-C119*27.2114-4.66</f>
        <v>0.19927785027779965</v>
      </c>
      <c r="B119" s="7">
        <f>A119-0.0592*$B$17</f>
        <v>0.19927785027779965</v>
      </c>
      <c r="C119" s="1">
        <v>-0.178575077</v>
      </c>
      <c r="D119" s="9">
        <v>653</v>
      </c>
      <c r="E119" s="8">
        <v>-5441.85505696154</v>
      </c>
      <c r="F119" s="7">
        <f>(E119-(D119-$B$116)*C119)*27.2114</f>
        <v>-148080.49469700325</v>
      </c>
      <c r="G119" s="42"/>
    </row>
    <row r="120" spans="1:7" x14ac:dyDescent="0.25">
      <c r="A120" s="2">
        <v>0.8</v>
      </c>
      <c r="B120" s="7">
        <f>A120-0.0592*$B$17</f>
        <v>0.8</v>
      </c>
      <c r="C120" s="3">
        <f>-(A120+4.66)/27.2114</f>
        <v>-0.20065119765980433</v>
      </c>
      <c r="D120" s="9">
        <v>652.63230999999996</v>
      </c>
      <c r="E120" s="8">
        <v>-5441.7852736586601</v>
      </c>
      <c r="F120" s="7">
        <f t="shared" ref="F120:F122" si="23">(E120-(D120-$B$116)*C120)*27.2114</f>
        <v>-148080.60338303525</v>
      </c>
      <c r="G120" s="8">
        <f>(F120+$D$10/2-1*A120)-(F22+$J$14)+$E$5+$D$116-0.0592*$B$17</f>
        <v>-1.114752579094993</v>
      </c>
    </row>
    <row r="121" spans="1:7" x14ac:dyDescent="0.25">
      <c r="A121" s="1">
        <v>0.4</v>
      </c>
      <c r="B121" s="7">
        <f t="shared" ref="B121:B122" si="24">A121-0.0592*$B$17</f>
        <v>0.4</v>
      </c>
      <c r="C121" s="3">
        <f>-(A121+4.66)/27.2114</f>
        <v>-0.18595147621952565</v>
      </c>
      <c r="D121" s="9">
        <v>652.88582399999996</v>
      </c>
      <c r="E121" s="8">
        <v>-5441.8342478437298</v>
      </c>
      <c r="F121" s="7">
        <f t="shared" si="23"/>
        <v>-148080.50618233485</v>
      </c>
      <c r="G121" s="8">
        <f t="shared" ref="G121:G122" si="25">(F121+$D$10/2-1*A121)-(F23+$J$14)+$E$5+$D$116-0.0592*$B$17</f>
        <v>-0.80046466812948891</v>
      </c>
    </row>
    <row r="122" spans="1:7" x14ac:dyDescent="0.25">
      <c r="A122" s="2">
        <v>0</v>
      </c>
      <c r="B122" s="7">
        <f t="shared" si="24"/>
        <v>0</v>
      </c>
      <c r="C122" s="3">
        <f>-(A122+4.66)/27.2114</f>
        <v>-0.17125175477924692</v>
      </c>
      <c r="D122" s="9">
        <v>653.10870999999997</v>
      </c>
      <c r="E122" s="8">
        <v>-5441.8740767547897</v>
      </c>
      <c r="F122" s="7">
        <f t="shared" si="23"/>
        <v>-148080.50566360529</v>
      </c>
      <c r="G122" s="8">
        <f t="shared" si="25"/>
        <v>-0.43961117773890684</v>
      </c>
    </row>
  </sheetData>
  <mergeCells count="14">
    <mergeCell ref="A117:F117"/>
    <mergeCell ref="A108:F108"/>
    <mergeCell ref="A63:F63"/>
    <mergeCell ref="A72:F72"/>
    <mergeCell ref="A81:F81"/>
    <mergeCell ref="A90:F90"/>
    <mergeCell ref="A99:F99"/>
    <mergeCell ref="A54:F54"/>
    <mergeCell ref="B7:E7"/>
    <mergeCell ref="C15:D15"/>
    <mergeCell ref="A19:F19"/>
    <mergeCell ref="A27:F27"/>
    <mergeCell ref="A36:F36"/>
    <mergeCell ref="A45:F45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4B253-C026-4225-B91B-988AA63A1711}">
  <sheetPr>
    <tabColor theme="5" tint="0.59999389629810485"/>
  </sheetPr>
  <dimension ref="A1:J122"/>
  <sheetViews>
    <sheetView showGridLines="0" topLeftCell="A72" zoomScale="85" zoomScaleNormal="85" workbookViewId="0">
      <selection activeCell="F80" sqref="F80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</cols>
  <sheetData>
    <row r="1" spans="1:10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6.4151820999999998E-2</v>
      </c>
    </row>
    <row r="2" spans="1:10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10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10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10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6" spans="1:10" x14ac:dyDescent="0.25">
      <c r="A6" s="44"/>
      <c r="B6" s="45"/>
    </row>
    <row r="7" spans="1:10" ht="18.75" x14ac:dyDescent="0.3">
      <c r="A7" s="44"/>
      <c r="B7" s="76" t="s">
        <v>134</v>
      </c>
      <c r="C7" s="76"/>
      <c r="D7" s="76"/>
      <c r="E7" s="76"/>
    </row>
    <row r="8" spans="1:10" x14ac:dyDescent="0.25">
      <c r="A8" s="25" t="s">
        <v>73</v>
      </c>
    </row>
    <row r="9" spans="1:10" x14ac:dyDescent="0.25">
      <c r="B9" s="5" t="s">
        <v>4</v>
      </c>
      <c r="C9" s="5" t="s">
        <v>96</v>
      </c>
      <c r="D9" s="5" t="s">
        <v>11</v>
      </c>
      <c r="H9" s="5" t="s">
        <v>4</v>
      </c>
      <c r="I9" s="5" t="s">
        <v>96</v>
      </c>
      <c r="J9" s="5" t="s">
        <v>11</v>
      </c>
    </row>
    <row r="10" spans="1:10" x14ac:dyDescent="0.25">
      <c r="A10" s="5" t="s">
        <v>10</v>
      </c>
      <c r="B10" s="10">
        <v>-1.1651204227085801</v>
      </c>
      <c r="C10" s="8">
        <v>-4.2000000000000003E-2</v>
      </c>
      <c r="D10" s="2">
        <f>B10*27.2114+C10</f>
        <v>-31.746557870492257</v>
      </c>
      <c r="G10" s="5" t="s">
        <v>191</v>
      </c>
      <c r="H10" s="10">
        <v>-30.0430223619964</v>
      </c>
      <c r="I10" s="8">
        <v>-0.56100000000000005</v>
      </c>
      <c r="J10" s="2">
        <f>H10*27.2114+I10</f>
        <v>-818.07369870122886</v>
      </c>
    </row>
    <row r="11" spans="1:10" x14ac:dyDescent="0.25">
      <c r="A11" s="5" t="s">
        <v>29</v>
      </c>
      <c r="B11" s="10">
        <v>-37.8808477704033</v>
      </c>
      <c r="C11" s="8">
        <v>-0.251</v>
      </c>
      <c r="D11" s="2">
        <f>B11*27.2114+C11+'Exp. thermo'!$G$5/96.49</f>
        <v>-1030.9598193813147</v>
      </c>
      <c r="G11" s="5" t="s">
        <v>200</v>
      </c>
      <c r="H11" s="10">
        <v>-42.413044169722198</v>
      </c>
      <c r="I11" s="8">
        <v>-0.496</v>
      </c>
      <c r="J11" s="2">
        <f>H11*27.2114+I11 +'Exp. thermo'!$G$5/96.49</f>
        <v>-1154.5322284817412</v>
      </c>
    </row>
    <row r="12" spans="1:10" x14ac:dyDescent="0.25">
      <c r="A12" s="5" t="s">
        <v>30</v>
      </c>
      <c r="B12" s="10">
        <v>-17.268355960477901</v>
      </c>
      <c r="C12" s="8">
        <v>9.2999999999999999E-2</v>
      </c>
      <c r="D12" s="2">
        <f>B12*27.2114+C12+'Exp. thermo'!$G$5/96.49</f>
        <v>-469.72105974471066</v>
      </c>
      <c r="G12" s="5" t="s">
        <v>253</v>
      </c>
      <c r="H12" s="10">
        <v>-8.3935110948132401</v>
      </c>
      <c r="I12" s="8">
        <v>5.6000000000000001E-2</v>
      </c>
      <c r="J12" s="2">
        <f>H12*27.2114+I12 +'Exp. thermo'!$G$5/96.49</f>
        <v>-228.26110616716332</v>
      </c>
    </row>
    <row r="13" spans="1:10" x14ac:dyDescent="0.25">
      <c r="A13" s="5" t="s">
        <v>9</v>
      </c>
      <c r="B13" s="10">
        <v>-58.677193166200901</v>
      </c>
      <c r="C13" s="8">
        <v>-1.0999999999999999E-2</v>
      </c>
      <c r="D13" s="2">
        <f>B13*27.2114+C13+'Exp. thermo'!$G$5/96.49</f>
        <v>-1596.6174924845216</v>
      </c>
      <c r="G13" s="5" t="s">
        <v>48</v>
      </c>
      <c r="H13" s="10">
        <v>-45.958970677356099</v>
      </c>
      <c r="I13" s="8">
        <v>0.88400000000000001</v>
      </c>
      <c r="J13" s="2">
        <f>H13*27.2114+I13+'Exp. thermo'!$G$5/96.49</f>
        <v>-1249.64185305157</v>
      </c>
    </row>
    <row r="14" spans="1:10" x14ac:dyDescent="0.25">
      <c r="A14" s="5" t="s">
        <v>49</v>
      </c>
      <c r="B14" s="10">
        <v>-42.632854517177599</v>
      </c>
      <c r="C14" s="8">
        <v>-0.126</v>
      </c>
      <c r="D14" s="2">
        <f>B14*27.2114+C14+'Exp. thermo'!$G$5/96.49</f>
        <v>-1160.1435757704887</v>
      </c>
      <c r="G14" s="5" t="s">
        <v>231</v>
      </c>
      <c r="H14" s="10">
        <v>-89.257170769677202</v>
      </c>
      <c r="I14" s="8">
        <v>-3.2000000000000001E-2</v>
      </c>
      <c r="J14" s="2">
        <f>H14*27.2114+I14+'Exp. thermo'!$G$5/96.49</f>
        <v>-2428.7624950437571</v>
      </c>
    </row>
    <row r="15" spans="1:10" ht="18.75" x14ac:dyDescent="0.3">
      <c r="C15" s="76"/>
      <c r="D15" s="76"/>
    </row>
    <row r="16" spans="1:10" x14ac:dyDescent="0.25">
      <c r="A16" s="25" t="s">
        <v>77</v>
      </c>
    </row>
    <row r="17" spans="1:7" x14ac:dyDescent="0.25">
      <c r="A17" s="20" t="s">
        <v>12</v>
      </c>
      <c r="B17" s="21">
        <v>0</v>
      </c>
    </row>
    <row r="18" spans="1:7" x14ac:dyDescent="0.25">
      <c r="A18" s="21" t="s">
        <v>3</v>
      </c>
      <c r="B18" s="21">
        <v>648</v>
      </c>
    </row>
    <row r="19" spans="1:7" x14ac:dyDescent="0.25">
      <c r="A19" s="73" t="s">
        <v>173</v>
      </c>
      <c r="B19" s="74"/>
      <c r="C19" s="74"/>
      <c r="D19" s="74"/>
      <c r="E19" s="74"/>
      <c r="F19" s="75"/>
    </row>
    <row r="20" spans="1:7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x14ac:dyDescent="0.25">
      <c r="A21" s="7">
        <f>-C21*27.2114-4.66</f>
        <v>0.1438603103394005</v>
      </c>
      <c r="B21" s="7">
        <f>A21-0.0592*$B$17</f>
        <v>0.1438603103394005</v>
      </c>
      <c r="C21" s="3">
        <v>-0.176538521</v>
      </c>
      <c r="D21" s="9">
        <v>648</v>
      </c>
      <c r="E21" s="8">
        <v>-6164.6598146472297</v>
      </c>
      <c r="F21" s="7">
        <f>(E21-(D21-$B$18)*C21)*27.2114</f>
        <v>-167749.02408029162</v>
      </c>
    </row>
    <row r="22" spans="1:7" x14ac:dyDescent="0.25">
      <c r="A22" s="2">
        <v>0.8</v>
      </c>
      <c r="B22" s="7">
        <f>A22-0.0592*$B$17</f>
        <v>0.8</v>
      </c>
      <c r="C22" s="3">
        <f>-(A22+4.66)/27.2114</f>
        <v>-0.20065119765980433</v>
      </c>
      <c r="D22" s="9">
        <v>647.46715700000004</v>
      </c>
      <c r="E22" s="8">
        <v>-6164.5591894446297</v>
      </c>
      <c r="F22" s="7">
        <f>(E22-(D22-$B$18)*C22)*27.2114</f>
        <v>-167749.19525043361</v>
      </c>
    </row>
    <row r="23" spans="1:7" x14ac:dyDescent="0.25">
      <c r="A23" s="1">
        <v>0.4</v>
      </c>
      <c r="B23" s="7">
        <f t="shared" ref="B23:B24" si="0">A23-0.0592*$B$17</f>
        <v>0.4</v>
      </c>
      <c r="C23" s="3">
        <f>-(A23+4.66)/27.2114</f>
        <v>-0.18595147621952565</v>
      </c>
      <c r="D23" s="9">
        <v>647.80139999999994</v>
      </c>
      <c r="E23" s="8">
        <v>-6164.6238106115397</v>
      </c>
      <c r="F23" s="7">
        <f>(E23-(D23-$B$18)*C23)*27.2114</f>
        <v>-167749.04927607486</v>
      </c>
    </row>
    <row r="24" spans="1:7" x14ac:dyDescent="0.25">
      <c r="A24" s="2">
        <v>0</v>
      </c>
      <c r="B24" s="7">
        <f t="shared" si="0"/>
        <v>0</v>
      </c>
      <c r="C24" s="3">
        <f>-(A24+4.66)/27.2114</f>
        <v>-0.17125175477924692</v>
      </c>
      <c r="D24" s="9">
        <v>648.11970199999996</v>
      </c>
      <c r="E24" s="8">
        <v>-6164.6806234457699</v>
      </c>
      <c r="F24" s="7">
        <f>(E24-(D24-$B$18)*C24)*27.2114</f>
        <v>-167749.03250551224</v>
      </c>
    </row>
    <row r="26" spans="1:7" x14ac:dyDescent="0.25">
      <c r="A26" s="5" t="s">
        <v>3</v>
      </c>
      <c r="B26" s="2">
        <v>671</v>
      </c>
      <c r="C26" s="5" t="s">
        <v>96</v>
      </c>
      <c r="D26" s="2">
        <v>0.63800000000000001</v>
      </c>
    </row>
    <row r="27" spans="1:7" x14ac:dyDescent="0.25">
      <c r="A27" s="73" t="s">
        <v>174</v>
      </c>
      <c r="B27" s="74"/>
      <c r="C27" s="74"/>
      <c r="D27" s="74"/>
      <c r="E27" s="74"/>
      <c r="F27" s="75"/>
      <c r="G27" s="2" t="s">
        <v>31</v>
      </c>
    </row>
    <row r="28" spans="1:7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x14ac:dyDescent="0.25">
      <c r="A29" s="7">
        <f>-C29*27.2114-4.66</f>
        <v>0.13424056342280011</v>
      </c>
      <c r="B29" s="7">
        <f>A29-0.0592*$B$17</f>
        <v>0.13424056342280011</v>
      </c>
      <c r="C29" s="1">
        <v>-0.17618500200000001</v>
      </c>
      <c r="D29" s="9">
        <v>671</v>
      </c>
      <c r="E29" s="8">
        <v>-6219.2556885350205</v>
      </c>
      <c r="F29" s="7">
        <f>(E29-(D29-$B$26)*C29)*27.2114</f>
        <v>-169234.65424300186</v>
      </c>
      <c r="G29" s="42"/>
    </row>
    <row r="30" spans="1:7" x14ac:dyDescent="0.25">
      <c r="A30" s="2">
        <v>0.8</v>
      </c>
      <c r="B30" s="7">
        <f>A30-0.0592*$B$17</f>
        <v>0.8</v>
      </c>
      <c r="C30" s="3">
        <f>-(A30+4.66)/27.2114</f>
        <v>-0.20065119765980433</v>
      </c>
      <c r="D30" s="9">
        <v>670.49821799999995</v>
      </c>
      <c r="E30" s="8">
        <v>-6219.16107321032</v>
      </c>
      <c r="F30" s="7">
        <f>(E30-(D30-$B$26)*C30)*27.2114</f>
        <v>-169234.81935727529</v>
      </c>
      <c r="G30" s="8">
        <f>(F30+$D$10/2-1*A22)-(F22+$D$11+$D$12)+$B$2+$D$26-0.0592*$B$17</f>
        <v>-1.2037603424919308</v>
      </c>
    </row>
    <row r="31" spans="1:7" x14ac:dyDescent="0.25">
      <c r="A31" s="1">
        <v>0.4</v>
      </c>
      <c r="B31" s="7">
        <f t="shared" ref="B31:B32" si="1">A31-0.0592*$B$17</f>
        <v>0.4</v>
      </c>
      <c r="C31" s="3">
        <f>-(A31+4.66)/27.2114</f>
        <v>-0.18595147621952565</v>
      </c>
      <c r="D31" s="9">
        <v>670.80612299999996</v>
      </c>
      <c r="E31" s="8">
        <v>-6219.2205839053304</v>
      </c>
      <c r="F31" s="7">
        <f t="shared" ref="F31:F32" si="2">(E31-(D31-$B$26)*C31)*27.2114</f>
        <v>-169234.68001450153</v>
      </c>
      <c r="G31" s="8">
        <f>(F31+$D$10/2-1*A23)-(F23+$D$11+$D$12)+$B$2+$D$26-0.0592*$B$17</f>
        <v>-0.81039192748130329</v>
      </c>
    </row>
    <row r="32" spans="1:7" x14ac:dyDescent="0.25">
      <c r="A32" s="2">
        <v>0</v>
      </c>
      <c r="B32" s="7">
        <f t="shared" si="1"/>
        <v>0</v>
      </c>
      <c r="C32" s="3">
        <f>-(A32+4.66)/27.2114</f>
        <v>-0.17125175477924692</v>
      </c>
      <c r="D32" s="9">
        <v>671.10561800000005</v>
      </c>
      <c r="E32" s="8">
        <v>-6219.2740342580901</v>
      </c>
      <c r="F32" s="7">
        <f t="shared" si="2"/>
        <v>-169234.66127593059</v>
      </c>
      <c r="G32" s="8">
        <f>(F32+$D$10/2-1*A24)-(F24+$D$11+$D$12)+$B$2+$D$26-0.0592*$B$17</f>
        <v>-0.40842391916657828</v>
      </c>
    </row>
    <row r="33" spans="1:7" x14ac:dyDescent="0.25">
      <c r="C33" s="15"/>
    </row>
    <row r="35" spans="1:7" x14ac:dyDescent="0.25">
      <c r="A35" s="2" t="s">
        <v>3</v>
      </c>
      <c r="B35" s="2">
        <v>670</v>
      </c>
      <c r="C35" s="5" t="s">
        <v>96</v>
      </c>
      <c r="D35" s="2">
        <v>0.29199999999999998</v>
      </c>
    </row>
    <row r="36" spans="1:7" x14ac:dyDescent="0.25">
      <c r="A36" s="73" t="s">
        <v>175</v>
      </c>
      <c r="B36" s="74"/>
      <c r="C36" s="74"/>
      <c r="D36" s="74"/>
      <c r="E36" s="74"/>
      <c r="F36" s="75"/>
      <c r="G36" s="2" t="s">
        <v>31</v>
      </c>
    </row>
    <row r="37" spans="1:7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x14ac:dyDescent="0.25">
      <c r="A38" s="7">
        <f>-C38*27.2114-4.66</f>
        <v>0.89722917144279979</v>
      </c>
      <c r="B38" s="7">
        <f>A38-0.0592*$B$17</f>
        <v>0.89722917144279979</v>
      </c>
      <c r="C38" s="1">
        <v>-0.204224302</v>
      </c>
      <c r="D38" s="9">
        <v>670</v>
      </c>
      <c r="E38" s="8">
        <v>-6218.6273700074898</v>
      </c>
      <c r="F38" s="7">
        <f>(E38-(D38-$B$35)*C38)*27.2114</f>
        <v>-169217.55681622183</v>
      </c>
      <c r="G38" s="42"/>
    </row>
    <row r="39" spans="1:7" x14ac:dyDescent="0.25">
      <c r="A39" s="2">
        <v>0.8</v>
      </c>
      <c r="B39" s="7">
        <f>A39-0.0592*$B$17</f>
        <v>0.8</v>
      </c>
      <c r="C39" s="3">
        <f>-(A39+4.66)/27.2114</f>
        <v>-0.20065119765980433</v>
      </c>
      <c r="D39" s="9">
        <v>670.08654999999999</v>
      </c>
      <c r="E39" s="8">
        <v>-6218.6448943568803</v>
      </c>
      <c r="F39" s="7">
        <f t="shared" ref="F39:F41" si="3">(E39-(D39-$B$35)*C39)*27.2114</f>
        <v>-169217.56111530281</v>
      </c>
      <c r="G39" s="8">
        <f>(F39+$D$10-2*A39)-(F22+$D$12+$D$11)+$B$3+$D$35-0.0592*$B$17</f>
        <v>-1.5737686976310425</v>
      </c>
    </row>
    <row r="40" spans="1:7" x14ac:dyDescent="0.25">
      <c r="A40" s="1">
        <v>0.4</v>
      </c>
      <c r="B40" s="7">
        <f t="shared" ref="B40:B41" si="4">A40-0.0592*$B$17</f>
        <v>0.4</v>
      </c>
      <c r="C40" s="3">
        <f>-(A40+4.66)/27.2114</f>
        <v>-0.18595147621952565</v>
      </c>
      <c r="D40" s="9">
        <v>670.43616699999995</v>
      </c>
      <c r="E40" s="8">
        <v>-6218.7125905728399</v>
      </c>
      <c r="F40" s="7">
        <f t="shared" si="3"/>
        <v>-169217.66878209377</v>
      </c>
      <c r="G40" s="8">
        <f>(F40+$D$10-2*A40)-(F23+$D$12+$D$11)+$B$3+$D$35-0.0592*$B$17</f>
        <v>-1.0274098473121041</v>
      </c>
    </row>
    <row r="41" spans="1:7" x14ac:dyDescent="0.25">
      <c r="A41" s="2">
        <v>0</v>
      </c>
      <c r="B41" s="7">
        <f t="shared" si="4"/>
        <v>0</v>
      </c>
      <c r="C41" s="3">
        <f>-(A41+4.66)/27.2114</f>
        <v>-0.17125175477924692</v>
      </c>
      <c r="D41" s="9">
        <v>670.77152699999999</v>
      </c>
      <c r="E41" s="8">
        <v>-6218.77241255229</v>
      </c>
      <c r="F41" s="7">
        <f t="shared" si="3"/>
        <v>-169217.90831110539</v>
      </c>
      <c r="G41" s="8">
        <f>(F41+$D$10-2*A41)-(F24+$D$12+$D$11)+$B$3+$D$35-0.0592*$B$17</f>
        <v>-0.48370942157200553</v>
      </c>
    </row>
    <row r="44" spans="1:7" x14ac:dyDescent="0.25">
      <c r="A44" s="2" t="s">
        <v>3</v>
      </c>
      <c r="B44" s="2">
        <v>671</v>
      </c>
      <c r="C44" s="5" t="s">
        <v>96</v>
      </c>
      <c r="D44" s="2">
        <v>0.315</v>
      </c>
    </row>
    <row r="45" spans="1:7" x14ac:dyDescent="0.25">
      <c r="A45" s="73" t="s">
        <v>176</v>
      </c>
      <c r="B45" s="74"/>
      <c r="C45" s="74"/>
      <c r="D45" s="74"/>
      <c r="E45" s="74"/>
      <c r="F45" s="75"/>
      <c r="G45" s="2" t="s">
        <v>31</v>
      </c>
    </row>
    <row r="46" spans="1:7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x14ac:dyDescent="0.25">
      <c r="A47" s="7">
        <f>-C47*27.2114-4.66</f>
        <v>0.44694205362959938</v>
      </c>
      <c r="B47" s="7">
        <f>A47-0.0592*$B$17</f>
        <v>0.44694205362959938</v>
      </c>
      <c r="C47" s="1">
        <v>-0.18767656399999999</v>
      </c>
      <c r="D47" s="9">
        <v>671</v>
      </c>
      <c r="E47" s="8">
        <v>-6222.7797685069499</v>
      </c>
      <c r="F47" s="7">
        <f>(E47-(D47-$B$44)*C47)*27.2114</f>
        <v>-169330.54939275002</v>
      </c>
      <c r="G47" s="42"/>
    </row>
    <row r="48" spans="1:7" x14ac:dyDescent="0.25">
      <c r="A48" s="2">
        <v>0.8</v>
      </c>
      <c r="B48" s="7">
        <f>A48-0.0592*$B$17</f>
        <v>0.8</v>
      </c>
      <c r="C48" s="3">
        <f>-(A48+4.66)/27.2114</f>
        <v>-0.20065119765980433</v>
      </c>
      <c r="D48" s="9">
        <v>670.71995000000004</v>
      </c>
      <c r="E48" s="8">
        <v>-6222.7253826689303</v>
      </c>
      <c r="F48" s="7">
        <f t="shared" ref="F48:F50" si="5">(E48-(D48-$B$44)*C48)*27.2114</f>
        <v>-169330.59855095734</v>
      </c>
      <c r="G48" s="8">
        <f>(F48+$D$10/2-1*A48)-(F22+$D$13)+$B$4+$D$44-0.0592*$B$17</f>
        <v>-0.66540911590679697</v>
      </c>
    </row>
    <row r="49" spans="1:7" x14ac:dyDescent="0.25">
      <c r="A49" s="1">
        <v>0.4</v>
      </c>
      <c r="B49" s="7">
        <f t="shared" ref="B49:B50" si="6">A49-0.0592*$B$17</f>
        <v>0.4</v>
      </c>
      <c r="C49" s="3">
        <f>-(A49+4.66)/27.2114</f>
        <v>-0.18595147621952565</v>
      </c>
      <c r="D49" s="9">
        <v>671.03493900000001</v>
      </c>
      <c r="E49" s="8">
        <v>-6222.7862975445096</v>
      </c>
      <c r="F49" s="7">
        <f t="shared" si="5"/>
        <v>-169330.55026566269</v>
      </c>
      <c r="G49" s="8">
        <f>(F49+$D$10/2-1*A49)-(F23+$D$13)+$B$4+$D$44-0.0592*$B$17</f>
        <v>-0.36309818001579647</v>
      </c>
    </row>
    <row r="50" spans="1:7" x14ac:dyDescent="0.25">
      <c r="A50" s="2">
        <v>0</v>
      </c>
      <c r="B50" s="7">
        <f t="shared" si="6"/>
        <v>0</v>
      </c>
      <c r="C50" s="3">
        <f>-(A50+4.66)/27.2114</f>
        <v>-0.17125175477924692</v>
      </c>
      <c r="D50" s="9">
        <v>671.34749399999998</v>
      </c>
      <c r="E50" s="8">
        <v>-6222.8421282050203</v>
      </c>
      <c r="F50" s="7">
        <f t="shared" si="5"/>
        <v>-169330.62696539809</v>
      </c>
      <c r="G50" s="8">
        <f>(F50+$D$10/2-1*A50)-(F24+$D$13)+$B$4+$D$44-0.0592*$B$17</f>
        <v>-5.6568478037362591E-2</v>
      </c>
    </row>
    <row r="53" spans="1:7" x14ac:dyDescent="0.25">
      <c r="A53" s="2" t="s">
        <v>3</v>
      </c>
      <c r="B53" s="2">
        <v>665</v>
      </c>
      <c r="C53" s="5" t="s">
        <v>96</v>
      </c>
      <c r="D53" s="2">
        <v>0.192</v>
      </c>
    </row>
    <row r="54" spans="1:7" x14ac:dyDescent="0.25">
      <c r="A54" s="73" t="s">
        <v>177</v>
      </c>
      <c r="B54" s="74"/>
      <c r="C54" s="74"/>
      <c r="D54" s="74"/>
      <c r="E54" s="74"/>
      <c r="F54" s="75"/>
      <c r="G54" s="2" t="s">
        <v>31</v>
      </c>
    </row>
    <row r="55" spans="1:7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7" x14ac:dyDescent="0.25">
      <c r="A56" s="7">
        <f>-C56*27.2114-4.66</f>
        <v>0.34844854095439981</v>
      </c>
      <c r="B56" s="7">
        <f>A56-0.0592*$B$17</f>
        <v>0.34844854095439981</v>
      </c>
      <c r="C56" s="1">
        <v>-0.184056996</v>
      </c>
      <c r="D56" s="9">
        <v>665</v>
      </c>
      <c r="E56" s="8">
        <v>-6206.7400279513104</v>
      </c>
      <c r="F56" s="7">
        <f>(E56-(D56-$B$53)*C56)*27.2114</f>
        <v>-168894.08559659429</v>
      </c>
      <c r="G56" s="42"/>
    </row>
    <row r="57" spans="1:7" x14ac:dyDescent="0.25">
      <c r="A57" s="2">
        <v>0.8</v>
      </c>
      <c r="B57" s="7">
        <f>A57-0.0592*$B$17</f>
        <v>0.8</v>
      </c>
      <c r="C57" s="3">
        <f>-(A57+4.66)/27.2114</f>
        <v>-0.20065119765980433</v>
      </c>
      <c r="D57" s="9">
        <v>664.65588200000002</v>
      </c>
      <c r="E57" s="8">
        <v>-6206.6738388711901</v>
      </c>
      <c r="F57" s="7">
        <f t="shared" ref="F57:F59" si="7">(E57-(D57-$B$53)*C57)*27.2114</f>
        <v>-168894.16338333953</v>
      </c>
      <c r="G57" s="8">
        <f>(F57+$D$10/2-1*A57)-(F22+$D$14)+$B$5+$D$53-0.0592*$B$17</f>
        <v>-1.3220791988025475</v>
      </c>
    </row>
    <row r="58" spans="1:7" x14ac:dyDescent="0.25">
      <c r="A58" s="1">
        <v>0.4</v>
      </c>
      <c r="B58" s="7">
        <f t="shared" ref="B58:B59" si="8">A58-0.0592*$B$17</f>
        <v>0.4</v>
      </c>
      <c r="C58" s="3">
        <f>-(A58+4.66)/27.2114</f>
        <v>-0.18595147621952565</v>
      </c>
      <c r="D58" s="9">
        <v>664.96133599999996</v>
      </c>
      <c r="E58" s="8">
        <v>-6206.7328751007999</v>
      </c>
      <c r="F58" s="7">
        <f t="shared" si="7"/>
        <v>-168894.08659735793</v>
      </c>
      <c r="G58" s="8">
        <f>(F58+$D$10/2-1*A58)-(F23+$D$14)+$B$5+$D$53-0.0592*$B$17</f>
        <v>-0.99126757595893555</v>
      </c>
    </row>
    <row r="59" spans="1:7" x14ac:dyDescent="0.25">
      <c r="A59" s="2">
        <v>0</v>
      </c>
      <c r="B59" s="7">
        <f t="shared" si="8"/>
        <v>0</v>
      </c>
      <c r="C59" s="3">
        <f>-(A59+4.66)/27.2114</f>
        <v>-0.17125175477924692</v>
      </c>
      <c r="D59" s="9">
        <v>665.26536299999998</v>
      </c>
      <c r="E59" s="8">
        <v>-6206.7871311354402</v>
      </c>
      <c r="F59" s="7">
        <f t="shared" si="7"/>
        <v>-168894.13074859892</v>
      </c>
      <c r="G59" s="8">
        <f>(F59+$D$10/2-1*A59)-(F24+$D$14)+$B$5+$D$53-0.0592*$B$17</f>
        <v>-0.65218937957631984</v>
      </c>
    </row>
    <row r="62" spans="1:7" x14ac:dyDescent="0.25">
      <c r="A62" s="2" t="s">
        <v>3</v>
      </c>
      <c r="B62" s="2">
        <v>655</v>
      </c>
      <c r="C62" s="5" t="s">
        <v>96</v>
      </c>
      <c r="D62" s="2">
        <v>0.214</v>
      </c>
    </row>
    <row r="63" spans="1:7" x14ac:dyDescent="0.25">
      <c r="A63" s="73" t="s">
        <v>286</v>
      </c>
      <c r="B63" s="74"/>
      <c r="C63" s="74"/>
      <c r="D63" s="74"/>
      <c r="E63" s="74"/>
      <c r="F63" s="75"/>
      <c r="G63" s="2" t="s">
        <v>31</v>
      </c>
    </row>
    <row r="64" spans="1:7" x14ac:dyDescent="0.25">
      <c r="A64" s="4" t="s">
        <v>1</v>
      </c>
      <c r="B64" s="4" t="s">
        <v>100</v>
      </c>
      <c r="C64" s="4" t="s">
        <v>0</v>
      </c>
      <c r="D64" s="5" t="s">
        <v>2</v>
      </c>
      <c r="E64" s="5" t="s">
        <v>4</v>
      </c>
      <c r="F64" s="4" t="s">
        <v>5</v>
      </c>
      <c r="G64" s="6" t="s">
        <v>7</v>
      </c>
    </row>
    <row r="65" spans="1:7" x14ac:dyDescent="0.25">
      <c r="A65" s="7">
        <f>-C65*27.2114-4.66</f>
        <v>0.24635890571219932</v>
      </c>
      <c r="B65" s="7">
        <f>A65-0.0592*$B$17</f>
        <v>0.24635890571219932</v>
      </c>
      <c r="C65" s="1">
        <v>-0.18030527299999999</v>
      </c>
      <c r="D65" s="9">
        <v>655</v>
      </c>
      <c r="E65" s="8">
        <v>-6181.3391463912503</v>
      </c>
      <c r="F65" s="7">
        <f>(E65-(D65-$B$62)*C65)*27.2114</f>
        <v>-168202.89204811087</v>
      </c>
      <c r="G65" s="42"/>
    </row>
    <row r="66" spans="1:7" x14ac:dyDescent="0.25">
      <c r="A66" s="2">
        <v>0.8</v>
      </c>
      <c r="B66" s="7">
        <f>A66-0.0592*$B$17</f>
        <v>0.8</v>
      </c>
      <c r="C66" s="3">
        <f>-(A66+4.66)/27.2114</f>
        <v>-0.20065119765980433</v>
      </c>
      <c r="D66" s="9">
        <v>654.52981999999997</v>
      </c>
      <c r="E66" s="8">
        <v>-6181.24963991402</v>
      </c>
      <c r="F66" s="7">
        <f t="shared" ref="F66:F68" si="9">(E66-(D66-$B$62)*C66)*27.2114</f>
        <v>-168203.02363435636</v>
      </c>
      <c r="G66" s="8">
        <f>(F66+1/2*$D$10-1*A66)-(F22 + $D$12)+$D$62-0.0592*$B$17 + $E$2</f>
        <v>-1.2397467029517415</v>
      </c>
    </row>
    <row r="67" spans="1:7" x14ac:dyDescent="0.25">
      <c r="A67" s="1">
        <v>0.4</v>
      </c>
      <c r="B67" s="7">
        <f t="shared" ref="B67:B68" si="10">A67-0.0592*$B$17</f>
        <v>0.4</v>
      </c>
      <c r="C67" s="3">
        <f>-(A67+4.66)/27.2114</f>
        <v>-0.18595147621952565</v>
      </c>
      <c r="D67" s="9">
        <v>654.86825699999997</v>
      </c>
      <c r="E67" s="8">
        <v>-6181.3150422066101</v>
      </c>
      <c r="F67" s="7">
        <f t="shared" si="9"/>
        <v>-168202.90275908096</v>
      </c>
      <c r="G67" s="8">
        <f t="shared" ref="G67:G68" si="11">(F67+1/2*$D$10-1*A67)-(F23 + $D$12)+$D$62-0.0592*$B$17 + $E$2</f>
        <v>-0.86484578630224718</v>
      </c>
    </row>
    <row r="68" spans="1:7" x14ac:dyDescent="0.25">
      <c r="A68" s="2">
        <v>0</v>
      </c>
      <c r="B68" s="7">
        <f t="shared" si="10"/>
        <v>0</v>
      </c>
      <c r="C68" s="3">
        <f>-(A68+4.66)/27.2114</f>
        <v>-0.17125175477924692</v>
      </c>
      <c r="D68" s="9">
        <v>655.24254900000005</v>
      </c>
      <c r="E68" s="8">
        <v>-6181.3817302078496</v>
      </c>
      <c r="F68" s="7">
        <f t="shared" si="9"/>
        <v>-168202.92053503791</v>
      </c>
      <c r="G68" s="8">
        <f t="shared" si="11"/>
        <v>-0.49939230587951755</v>
      </c>
    </row>
    <row r="71" spans="1:7" x14ac:dyDescent="0.25">
      <c r="A71" s="2" t="s">
        <v>3</v>
      </c>
      <c r="B71" s="2">
        <v>649</v>
      </c>
      <c r="C71" s="5" t="s">
        <v>96</v>
      </c>
      <c r="D71" s="2">
        <v>0.18</v>
      </c>
    </row>
    <row r="72" spans="1:7" x14ac:dyDescent="0.25">
      <c r="A72" s="73" t="s">
        <v>287</v>
      </c>
      <c r="B72" s="74"/>
      <c r="C72" s="74"/>
      <c r="D72" s="74"/>
      <c r="E72" s="74"/>
      <c r="F72" s="75"/>
      <c r="G72" s="2" t="s">
        <v>31</v>
      </c>
    </row>
    <row r="73" spans="1:7" x14ac:dyDescent="0.25">
      <c r="A73" s="4" t="s">
        <v>1</v>
      </c>
      <c r="B73" s="4" t="s">
        <v>100</v>
      </c>
      <c r="C73" s="4" t="s">
        <v>0</v>
      </c>
      <c r="D73" s="5" t="s">
        <v>2</v>
      </c>
      <c r="E73" s="5" t="s">
        <v>4</v>
      </c>
      <c r="F73" s="4" t="s">
        <v>5</v>
      </c>
      <c r="G73" s="6" t="s">
        <v>7</v>
      </c>
    </row>
    <row r="74" spans="1:7" x14ac:dyDescent="0.25">
      <c r="A74" s="7">
        <f>-C74*27.2114-4.66</f>
        <v>0.15446219831619956</v>
      </c>
      <c r="B74" s="7">
        <f>A74-0.0592*$B$17</f>
        <v>0.15446219831619956</v>
      </c>
      <c r="C74" s="1">
        <v>-0.17692813299999999</v>
      </c>
      <c r="D74" s="9">
        <v>649</v>
      </c>
      <c r="E74" s="8">
        <v>-6165.2719142250498</v>
      </c>
      <c r="F74" s="7">
        <f>(E74-(D74-$B$71)*C74)*27.2114</f>
        <v>-167765.68016674352</v>
      </c>
      <c r="G74" s="42"/>
    </row>
    <row r="75" spans="1:7" x14ac:dyDescent="0.25">
      <c r="A75" s="2">
        <v>0.8</v>
      </c>
      <c r="B75" s="7">
        <f>A75-0.0592*$B$17</f>
        <v>0.8</v>
      </c>
      <c r="C75" s="3">
        <f>-(A75+4.66)/27.2114</f>
        <v>-0.20065119765980433</v>
      </c>
      <c r="D75" s="9">
        <v>648.48789499999998</v>
      </c>
      <c r="E75" s="8">
        <v>-6165.1751274222097</v>
      </c>
      <c r="F75" s="7">
        <f t="shared" ref="F75:F77" si="12">(E75-(D75-$B$71)*C75)*27.2114</f>
        <v>-167765.84255563674</v>
      </c>
      <c r="G75" s="8">
        <f>(F75)-(F22+$D$10/2-1*A75)+$D$71-0.0592*$B$17</f>
        <v>0.20597373208845965</v>
      </c>
    </row>
    <row r="76" spans="1:7" x14ac:dyDescent="0.25">
      <c r="A76" s="1">
        <v>0.4</v>
      </c>
      <c r="B76" s="7">
        <f t="shared" ref="B76:B77" si="13">A76-0.0592*$B$17</f>
        <v>0.4</v>
      </c>
      <c r="C76" s="3">
        <f>-(A76+4.66)/27.2114</f>
        <v>-0.18595147621952565</v>
      </c>
      <c r="D76" s="9">
        <v>648.81223299999999</v>
      </c>
      <c r="E76" s="8">
        <v>-6165.2378542690903</v>
      </c>
      <c r="F76" s="7">
        <f t="shared" si="12"/>
        <v>-167765.70344867793</v>
      </c>
      <c r="G76" s="8">
        <f>(F76)-(F23+$D$10/2-1*A76)+$D$71-0.0592*$B$17</f>
        <v>-0.20089366783970036</v>
      </c>
    </row>
    <row r="77" spans="1:7" x14ac:dyDescent="0.25">
      <c r="A77" s="2">
        <v>0</v>
      </c>
      <c r="B77" s="7">
        <f t="shared" si="13"/>
        <v>0</v>
      </c>
      <c r="C77" s="3">
        <f>-(A77+4.66)/27.2114</f>
        <v>-0.17125175477924692</v>
      </c>
      <c r="D77" s="9">
        <v>649.12578900000005</v>
      </c>
      <c r="E77" s="8">
        <v>-6165.2937945848998</v>
      </c>
      <c r="F77" s="7">
        <f t="shared" si="12"/>
        <v>-167765.68938522757</v>
      </c>
      <c r="G77" s="8">
        <f>(F77)-(F24+$D$10/2-1*A77)+$D$71-0.0592*$B$17</f>
        <v>-0.60360078009427531</v>
      </c>
    </row>
    <row r="80" spans="1:7" x14ac:dyDescent="0.25">
      <c r="A80" s="2" t="s">
        <v>3</v>
      </c>
      <c r="B80" s="2">
        <v>655</v>
      </c>
      <c r="C80" s="5" t="s">
        <v>96</v>
      </c>
      <c r="D80" s="2">
        <v>-1.7000000000000001E-2</v>
      </c>
      <c r="E80" s="5" t="s">
        <v>186</v>
      </c>
      <c r="F80" s="2">
        <v>1.36</v>
      </c>
    </row>
    <row r="81" spans="1:7" x14ac:dyDescent="0.25">
      <c r="A81" s="73" t="s">
        <v>288</v>
      </c>
      <c r="B81" s="74"/>
      <c r="C81" s="74"/>
      <c r="D81" s="74"/>
      <c r="E81" s="74"/>
      <c r="F81" s="75"/>
      <c r="G81" s="2" t="s">
        <v>31</v>
      </c>
    </row>
    <row r="82" spans="1:7" x14ac:dyDescent="0.25">
      <c r="A82" s="4" t="s">
        <v>1</v>
      </c>
      <c r="B82" s="4" t="s">
        <v>100</v>
      </c>
      <c r="C82" s="4" t="s">
        <v>0</v>
      </c>
      <c r="D82" s="5" t="s">
        <v>2</v>
      </c>
      <c r="E82" s="5" t="s">
        <v>4</v>
      </c>
      <c r="F82" s="4" t="s">
        <v>5</v>
      </c>
      <c r="G82" s="6" t="s">
        <v>7</v>
      </c>
    </row>
    <row r="83" spans="1:7" x14ac:dyDescent="0.25">
      <c r="A83" s="7">
        <f>-C83*27.2114-4.66</f>
        <v>0.13546137567240013</v>
      </c>
      <c r="B83" s="7">
        <f>A83-0.0592*$B$17</f>
        <v>0.13546137567240013</v>
      </c>
      <c r="C83" s="1">
        <v>-0.17622986600000001</v>
      </c>
      <c r="D83" s="9">
        <v>655</v>
      </c>
      <c r="E83" s="8">
        <v>-6179.7621819424803</v>
      </c>
      <c r="F83" s="7">
        <f>(E83-(D83-$B$80)*C83)*27.2114</f>
        <v>-168159.98063770961</v>
      </c>
      <c r="G83" s="42"/>
    </row>
    <row r="84" spans="1:7" x14ac:dyDescent="0.25">
      <c r="A84" s="2">
        <v>0.8</v>
      </c>
      <c r="B84" s="7">
        <f>A84-0.0592*$B$17</f>
        <v>0.8</v>
      </c>
      <c r="C84" s="3">
        <f>-(A84+4.66)/27.2114</f>
        <v>-0.20065119765980433</v>
      </c>
      <c r="D84" s="9">
        <v>654.49797899999999</v>
      </c>
      <c r="E84" s="8">
        <v>-6179.6674707886204</v>
      </c>
      <c r="F84" s="7">
        <f t="shared" ref="F84:F86" si="14">(E84-(D84-$B$80)*C84)*27.2114</f>
        <v>-168160.14444927749</v>
      </c>
      <c r="G84" s="8">
        <f>(F84+1*($F$80-A84)) - (F22+$J$10/2) + $D$80</f>
        <v>-1.3693494932742323</v>
      </c>
    </row>
    <row r="85" spans="1:7" x14ac:dyDescent="0.25">
      <c r="A85" s="1">
        <v>0.4</v>
      </c>
      <c r="B85" s="7">
        <f t="shared" ref="B85:B86" si="15">A85-0.0592*$B$17</f>
        <v>0.4</v>
      </c>
      <c r="C85" s="3">
        <f>-(A85+4.66)/27.2114</f>
        <v>-0.18595147621952565</v>
      </c>
      <c r="D85" s="9">
        <v>654.81014800000003</v>
      </c>
      <c r="E85" s="8">
        <v>-6179.7278024899597</v>
      </c>
      <c r="F85" s="7">
        <f t="shared" si="14"/>
        <v>-168160.00577579529</v>
      </c>
      <c r="G85" s="8">
        <f t="shared" ref="G85:G86" si="16">(F85+1*($F$80-A85)) - (F23+$J$10/2) + $D$80</f>
        <v>-0.97665036982670428</v>
      </c>
    </row>
    <row r="86" spans="1:7" x14ac:dyDescent="0.25">
      <c r="A86" s="2">
        <v>0</v>
      </c>
      <c r="B86" s="7">
        <f t="shared" si="15"/>
        <v>0</v>
      </c>
      <c r="C86" s="3">
        <f>-(A86+4.66)/27.2114</f>
        <v>-0.17125175477924692</v>
      </c>
      <c r="D86" s="9">
        <v>655.10204799999997</v>
      </c>
      <c r="E86" s="8">
        <v>-6179.7799104993801</v>
      </c>
      <c r="F86" s="7">
        <f t="shared" si="14"/>
        <v>-168159.98751288286</v>
      </c>
      <c r="G86" s="8">
        <f t="shared" si="16"/>
        <v>-0.57515802002325656</v>
      </c>
    </row>
    <row r="89" spans="1:7" x14ac:dyDescent="0.25">
      <c r="A89" s="2" t="s">
        <v>3</v>
      </c>
      <c r="B89" s="2">
        <v>678</v>
      </c>
      <c r="C89" s="5" t="s">
        <v>96</v>
      </c>
      <c r="D89" s="2">
        <v>0.33200000000000002</v>
      </c>
      <c r="E89" s="5" t="s">
        <v>186</v>
      </c>
      <c r="F89" s="2">
        <v>9.9000000000000005E-2</v>
      </c>
    </row>
    <row r="90" spans="1:7" x14ac:dyDescent="0.25">
      <c r="A90" s="73" t="s">
        <v>289</v>
      </c>
      <c r="B90" s="74"/>
      <c r="C90" s="74"/>
      <c r="D90" s="74"/>
      <c r="E90" s="74"/>
      <c r="F90" s="75"/>
      <c r="G90" s="2" t="s">
        <v>31</v>
      </c>
    </row>
    <row r="91" spans="1:7" x14ac:dyDescent="0.25">
      <c r="A91" s="4" t="s">
        <v>1</v>
      </c>
      <c r="B91" s="4" t="s">
        <v>100</v>
      </c>
      <c r="C91" s="4" t="s">
        <v>0</v>
      </c>
      <c r="D91" s="5" t="s">
        <v>2</v>
      </c>
      <c r="E91" s="5" t="s">
        <v>4</v>
      </c>
      <c r="F91" s="4" t="s">
        <v>5</v>
      </c>
      <c r="G91" s="6" t="s">
        <v>7</v>
      </c>
    </row>
    <row r="92" spans="1:7" x14ac:dyDescent="0.25">
      <c r="A92" s="7">
        <f>-C92*27.2114-4.66</f>
        <v>0.82763103625659973</v>
      </c>
      <c r="B92" s="7">
        <f>A92-0.0592*$B$17</f>
        <v>0.82763103625659973</v>
      </c>
      <c r="C92" s="1">
        <v>-0.20166661899999999</v>
      </c>
      <c r="D92" s="9">
        <v>678</v>
      </c>
      <c r="E92" s="8">
        <v>-6239.2939848525702</v>
      </c>
      <c r="F92" s="7">
        <f>(E92-(D92-$B$89)*C92)*27.2114</f>
        <v>-169779.92433941722</v>
      </c>
      <c r="G92" s="42"/>
    </row>
    <row r="93" spans="1:7" x14ac:dyDescent="0.25">
      <c r="A93" s="2">
        <v>0.8</v>
      </c>
      <c r="B93" s="7">
        <f>A93-0.0592*$B$17</f>
        <v>0.8</v>
      </c>
      <c r="C93" s="3">
        <f>-(A93+4.66)/27.2114</f>
        <v>-0.20065119765980433</v>
      </c>
      <c r="D93" s="9">
        <v>678.01826400000004</v>
      </c>
      <c r="E93" s="8">
        <v>-6239.29766010002</v>
      </c>
      <c r="F93" s="7">
        <f t="shared" ref="F93:F95" si="17">(E93-(D93-$B$89)*C93)*27.2114</f>
        <v>-169779.9246266057</v>
      </c>
      <c r="G93" s="8">
        <f>(F93+2*$D$10-2*(A93+$F$89))-(F22 + $J$11+'Exp. thermo'!$C$64/96.49 + 2*$D$12-2*'Exp. thermo'!$G$6/96.49+2*'Exp. thermo'!$B$71/96.49)+$D$89-0.0592*$B$130-'Exp. thermo'!$C$41/96.49</f>
        <v>-1.4293355599808131</v>
      </c>
    </row>
    <row r="94" spans="1:7" x14ac:dyDescent="0.25">
      <c r="A94" s="1">
        <v>0.4</v>
      </c>
      <c r="B94" s="7">
        <f t="shared" ref="B94:B95" si="18">A94-0.0592*$B$17</f>
        <v>0.4</v>
      </c>
      <c r="C94" s="3">
        <f>-(A94+4.66)/27.2114</f>
        <v>-0.18595147621952565</v>
      </c>
      <c r="D94" s="9">
        <v>678.33190300000001</v>
      </c>
      <c r="E94" s="8">
        <v>-6239.35833830309</v>
      </c>
      <c r="F94" s="7">
        <f t="shared" si="17"/>
        <v>-169779.99605772071</v>
      </c>
      <c r="G94" s="8">
        <f>(F94+2*$D$10-2*(A94+$F$89))-(F23 + $J$11+'Exp. thermo'!$C$64/96.49 + 2*$D$12-2*'Exp. thermo'!$G$6/96.49+2*'Exp. thermo'!$B$71/96.49)+$D$89-0.0592*$B$130-'Exp. thermo'!$C$41/96.49</f>
        <v>-0.84674103371855758</v>
      </c>
    </row>
    <row r="95" spans="1:7" x14ac:dyDescent="0.25">
      <c r="A95" s="2">
        <v>0</v>
      </c>
      <c r="B95" s="7">
        <f t="shared" si="18"/>
        <v>0</v>
      </c>
      <c r="C95" s="3">
        <f>-(A95+4.66)/27.2114</f>
        <v>-0.17125175477924692</v>
      </c>
      <c r="D95" s="9">
        <v>678.64878099999999</v>
      </c>
      <c r="E95" s="8">
        <v>-6239.4149644381096</v>
      </c>
      <c r="F95" s="7">
        <f t="shared" si="17"/>
        <v>-169780.19304385118</v>
      </c>
      <c r="G95" s="8">
        <f>(F95+2*$D$10-2*(A95+$F$89))-(F24 + $J$11+'Exp. thermo'!$C$64/96.49 + 2*$D$12-2*'Exp. thermo'!$G$6/96.49+2*'Exp. thermo'!$B$71/96.49)+$D$89-0.0592*$B$130-'Exp. thermo'!$C$41/96.49</f>
        <v>-0.26049772682074424</v>
      </c>
    </row>
    <row r="98" spans="1:7" x14ac:dyDescent="0.25">
      <c r="A98" s="2" t="s">
        <v>3</v>
      </c>
      <c r="B98" s="2">
        <v>677</v>
      </c>
      <c r="C98" s="5" t="s">
        <v>96</v>
      </c>
      <c r="D98" s="2">
        <v>0.27500000000000002</v>
      </c>
      <c r="E98" s="5" t="s">
        <v>186</v>
      </c>
      <c r="F98" s="2">
        <v>-0.26900000000000002</v>
      </c>
    </row>
    <row r="99" spans="1:7" x14ac:dyDescent="0.25">
      <c r="A99" s="73" t="s">
        <v>290</v>
      </c>
      <c r="B99" s="74"/>
      <c r="C99" s="74"/>
      <c r="D99" s="74"/>
      <c r="E99" s="74"/>
      <c r="F99" s="75"/>
      <c r="G99" s="2" t="s">
        <v>31</v>
      </c>
    </row>
    <row r="100" spans="1:7" x14ac:dyDescent="0.25">
      <c r="A100" s="4" t="s">
        <v>1</v>
      </c>
      <c r="B100" s="4" t="s">
        <v>100</v>
      </c>
      <c r="C100" s="4" t="s">
        <v>0</v>
      </c>
      <c r="D100" s="5" t="s">
        <v>2</v>
      </c>
      <c r="E100" s="5" t="s">
        <v>4</v>
      </c>
      <c r="F100" s="4" t="s">
        <v>5</v>
      </c>
      <c r="G100" s="6" t="s">
        <v>7</v>
      </c>
    </row>
    <row r="101" spans="1:7" x14ac:dyDescent="0.25">
      <c r="A101" s="7">
        <f>-C101*27.2114-4.66</f>
        <v>1.2035014241716002</v>
      </c>
      <c r="B101" s="7">
        <f>A101-0.0592*$B$17</f>
        <v>1.2035014241716002</v>
      </c>
      <c r="C101" s="1">
        <v>-0.215479594</v>
      </c>
      <c r="D101" s="9">
        <v>677</v>
      </c>
      <c r="E101" s="8">
        <v>-6235.7438708346399</v>
      </c>
      <c r="F101" s="7">
        <f>(E101-(D101-$B$98)*C101)*27.2114</f>
        <v>-169683.32076682974</v>
      </c>
      <c r="G101" s="42"/>
    </row>
    <row r="102" spans="1:7" x14ac:dyDescent="0.25">
      <c r="A102" s="2">
        <v>0.8</v>
      </c>
      <c r="B102" s="7">
        <f>A102-0.0592*$B$17</f>
        <v>0.8</v>
      </c>
      <c r="C102" s="3">
        <f>-(A102+4.66)/27.2114</f>
        <v>-0.20065119765980433</v>
      </c>
      <c r="D102" s="9">
        <v>677.33434599999998</v>
      </c>
      <c r="E102" s="8">
        <v>-6235.8134611559599</v>
      </c>
      <c r="F102" s="7">
        <f t="shared" ref="F102:F104" si="19">(E102-(D102-$B$98)*C102)*27.2114</f>
        <v>-169683.3888877393</v>
      </c>
      <c r="G102" s="8">
        <f>(F102+11/2*$D$10-3*A102-8*$F$98)-(F22 + $J$12 + 4*$D$12-4*'Exp. thermo'!$G$6/96.49+4*'Exp. thermo'!$B$71/96.49)+$D$98-0.0592*$B$17 + $E$3</f>
        <v>-2.2837236651641311</v>
      </c>
    </row>
    <row r="103" spans="1:7" x14ac:dyDescent="0.25">
      <c r="A103" s="1">
        <v>0.4</v>
      </c>
      <c r="B103" s="7">
        <f t="shared" ref="B103:B104" si="20">A103-0.0592*$B$17</f>
        <v>0.4</v>
      </c>
      <c r="C103" s="3">
        <f>-(A103+4.66)/27.2114</f>
        <v>-0.18595147621952565</v>
      </c>
      <c r="D103" s="9">
        <v>677.65441199999998</v>
      </c>
      <c r="E103" s="8">
        <v>-6235.8753728683596</v>
      </c>
      <c r="F103" s="7">
        <f t="shared" si="19"/>
        <v>-169683.58779655007</v>
      </c>
      <c r="G103" s="8">
        <f>(F103+11/2*$D$10-3*A103-8*$F$98)-(F23 + $J$12 + 4*$D$12-4*'Exp. thermo'!$G$6/96.49+4*'Exp. thermo'!$B$71/96.49)+$D$98-0.0592*$B$17 + $E$3</f>
        <v>-1.4286068346947887</v>
      </c>
    </row>
    <row r="104" spans="1:7" x14ac:dyDescent="0.25">
      <c r="A104" s="2">
        <v>0</v>
      </c>
      <c r="B104" s="7">
        <f t="shared" si="20"/>
        <v>0</v>
      </c>
      <c r="C104" s="3">
        <f>-(A104+4.66)/27.2114</f>
        <v>-0.17125175477924692</v>
      </c>
      <c r="D104" s="9">
        <v>677.99372800000003</v>
      </c>
      <c r="E104" s="8">
        <v>-6235.9358855741102</v>
      </c>
      <c r="F104" s="7">
        <f t="shared" si="19"/>
        <v>-169683.91498423135</v>
      </c>
      <c r="G104" s="8">
        <f>(F104+11/2*$D$10-3*A104-8*$F$98)-(F24 + $J$12 + 4*$D$12-4*'Exp. thermo'!$G$6/96.49+4*'Exp. thermo'!$B$71/96.49)+$D$98-0.0592*$B$17 + $E$3</f>
        <v>-0.57256507858545425</v>
      </c>
    </row>
    <row r="107" spans="1:7" x14ac:dyDescent="0.25">
      <c r="A107" s="2" t="s">
        <v>3</v>
      </c>
      <c r="B107" s="2">
        <v>671</v>
      </c>
      <c r="C107" s="5" t="s">
        <v>96</v>
      </c>
      <c r="D107" s="2">
        <v>1.206</v>
      </c>
    </row>
    <row r="108" spans="1:7" x14ac:dyDescent="0.25">
      <c r="A108" s="73" t="s">
        <v>291</v>
      </c>
      <c r="B108" s="74"/>
      <c r="C108" s="74"/>
      <c r="D108" s="74"/>
      <c r="E108" s="74"/>
      <c r="F108" s="75"/>
      <c r="G108" s="2" t="s">
        <v>31</v>
      </c>
    </row>
    <row r="109" spans="1:7" x14ac:dyDescent="0.25">
      <c r="A109" s="4" t="s">
        <v>1</v>
      </c>
      <c r="B109" s="4" t="s">
        <v>100</v>
      </c>
      <c r="C109" s="4" t="s">
        <v>0</v>
      </c>
      <c r="D109" s="5" t="s">
        <v>2</v>
      </c>
      <c r="E109" s="5" t="s">
        <v>4</v>
      </c>
      <c r="F109" s="4" t="s">
        <v>5</v>
      </c>
      <c r="G109" s="6" t="s">
        <v>7</v>
      </c>
    </row>
    <row r="110" spans="1:7" x14ac:dyDescent="0.25">
      <c r="A110" s="7">
        <f>-C110*27.2114-4.66</f>
        <v>6.4290013395200241E-2</v>
      </c>
      <c r="B110" s="7">
        <f>A110-0.0592*$B$17</f>
        <v>6.4290013395200241E-2</v>
      </c>
      <c r="C110" s="1">
        <v>-0.17361436799999999</v>
      </c>
      <c r="D110" s="9">
        <v>671</v>
      </c>
      <c r="E110" s="8">
        <v>-6210.0683708674896</v>
      </c>
      <c r="F110" s="7">
        <f>(E110-(D110-$B$107)*C110)*27.2114</f>
        <v>-168984.65446702362</v>
      </c>
      <c r="G110" s="42"/>
    </row>
    <row r="111" spans="1:7" x14ac:dyDescent="0.25">
      <c r="A111" s="2">
        <v>0.8</v>
      </c>
      <c r="B111" s="7">
        <f>A111-0.0592*$B$17</f>
        <v>0.8</v>
      </c>
      <c r="C111" s="3">
        <f>-(A111+4.66)/27.2114</f>
        <v>-0.20065119765980433</v>
      </c>
      <c r="D111" s="9">
        <v>670.45902799999999</v>
      </c>
      <c r="E111" s="8">
        <v>-6209.9671970897498</v>
      </c>
      <c r="F111" s="7">
        <f>(E111-(D111-$B$107)*C111)*27.2114</f>
        <v>-168984.85509400803</v>
      </c>
      <c r="G111" s="8">
        <f>(F111+$D$10/2-1*A111)-(F22+$J$13)+$E$4+$D$107-0.0592*$B$17</f>
        <v>-1.4713112262282513</v>
      </c>
    </row>
    <row r="112" spans="1:7" x14ac:dyDescent="0.25">
      <c r="A112" s="1">
        <v>0.4</v>
      </c>
      <c r="B112" s="7">
        <f t="shared" ref="B112:B113" si="21">A112-0.0592*$B$17</f>
        <v>0.4</v>
      </c>
      <c r="C112" s="3">
        <f>-(A112+4.66)/27.2114</f>
        <v>-0.18595147621952565</v>
      </c>
      <c r="D112" s="9">
        <v>670.75474499999996</v>
      </c>
      <c r="E112" s="8">
        <v>-6210.0243759444202</v>
      </c>
      <c r="F112" s="7">
        <f t="shared" ref="F112:F113" si="22">(E112-(D112-$B$107)*C112)*27.2114</f>
        <v>-168984.69829387398</v>
      </c>
      <c r="G112" s="8">
        <f>(F112+$D$10/2-1*A112)-(F23+$J$13)+$E$4+$D$107-0.0592*$B$17</f>
        <v>-1.0604854509322896</v>
      </c>
    </row>
    <row r="113" spans="1:7" x14ac:dyDescent="0.25">
      <c r="A113" s="2">
        <v>0</v>
      </c>
      <c r="B113" s="7">
        <f t="shared" si="21"/>
        <v>0</v>
      </c>
      <c r="C113" s="3">
        <f>-(A113+4.66)/27.2114</f>
        <v>-0.17125175477924692</v>
      </c>
      <c r="D113" s="9">
        <v>671.04877299999998</v>
      </c>
      <c r="E113" s="8">
        <v>-6210.0767825882003</v>
      </c>
      <c r="F113" s="7">
        <f t="shared" si="22"/>
        <v>-168984.65607954055</v>
      </c>
      <c r="G113" s="8">
        <f t="shared" ref="G113" si="23">(F113+$D$10/2-1*A113)-(F24+$J$13)+$E$4+$D$107-0.0592*$B$17</f>
        <v>-0.63504168013180529</v>
      </c>
    </row>
    <row r="116" spans="1:7" x14ac:dyDescent="0.25">
      <c r="A116" s="2" t="s">
        <v>3</v>
      </c>
      <c r="B116" s="2">
        <v>689</v>
      </c>
      <c r="C116" s="5" t="s">
        <v>96</v>
      </c>
      <c r="D116" s="2">
        <v>0.33500000000000002</v>
      </c>
    </row>
    <row r="117" spans="1:7" x14ac:dyDescent="0.25">
      <c r="A117" s="73" t="s">
        <v>368</v>
      </c>
      <c r="B117" s="74"/>
      <c r="C117" s="74"/>
      <c r="D117" s="74"/>
      <c r="E117" s="74"/>
      <c r="F117" s="75"/>
      <c r="G117" s="2" t="s">
        <v>31</v>
      </c>
    </row>
    <row r="118" spans="1:7" x14ac:dyDescent="0.25">
      <c r="A118" s="4" t="s">
        <v>1</v>
      </c>
      <c r="B118" s="4" t="s">
        <v>100</v>
      </c>
      <c r="C118" s="4" t="s">
        <v>0</v>
      </c>
      <c r="D118" s="5" t="s">
        <v>2</v>
      </c>
      <c r="E118" s="5" t="s">
        <v>4</v>
      </c>
      <c r="F118" s="4" t="s">
        <v>5</v>
      </c>
      <c r="G118" s="6" t="s">
        <v>7</v>
      </c>
    </row>
    <row r="119" spans="1:7" x14ac:dyDescent="0.25">
      <c r="A119" s="7">
        <f>-C119*27.2114-4.66</f>
        <v>0.27236908567059981</v>
      </c>
      <c r="B119" s="7">
        <f>A119-0.0592*$B$17</f>
        <v>0.27236908567059981</v>
      </c>
      <c r="C119" s="1">
        <v>-0.18126112899999999</v>
      </c>
      <c r="D119" s="9">
        <v>689</v>
      </c>
      <c r="E119" s="8">
        <v>-6253.3694005918796</v>
      </c>
      <c r="F119" s="7">
        <f>(E119-(D119-$B$116)*C119)*27.2114</f>
        <v>-170162.93610726588</v>
      </c>
      <c r="G119" s="42"/>
    </row>
    <row r="120" spans="1:7" x14ac:dyDescent="0.25">
      <c r="A120" s="2">
        <v>0.8</v>
      </c>
      <c r="B120" s="7">
        <f>A120-0.0592*$B$17</f>
        <v>0.8</v>
      </c>
      <c r="C120" s="3">
        <f>-(A120+4.66)/27.2114</f>
        <v>-0.20065119765980433</v>
      </c>
      <c r="D120" s="9">
        <v>688.70405200000005</v>
      </c>
      <c r="E120" s="8">
        <v>-6253.3127090612197</v>
      </c>
      <c r="F120" s="7">
        <f>(E120-(D120-$B$116)*C120)*27.2114</f>
        <v>-170163.0093274285</v>
      </c>
      <c r="G120" s="8">
        <f>(F120+$D$10/2-1*A120)-(F22+$J$14)+$E$5+$D$116-0.0592*$B$17</f>
        <v>-1.0500578562106584</v>
      </c>
    </row>
    <row r="121" spans="1:7" x14ac:dyDescent="0.25">
      <c r="A121" s="1">
        <v>0.4</v>
      </c>
      <c r="B121" s="7">
        <f t="shared" ref="B121:B122" si="24">A121-0.0592*$B$17</f>
        <v>0.4</v>
      </c>
      <c r="C121" s="3">
        <f>-(A121+4.66)/27.2114</f>
        <v>-0.18595147621952565</v>
      </c>
      <c r="D121" s="9">
        <v>688.93147799999997</v>
      </c>
      <c r="E121" s="8">
        <v>-6253.3568245313299</v>
      </c>
      <c r="F121" s="7">
        <f t="shared" ref="F121:F122" si="25">(E121-(D121-$B$116)*C121)*27.2114</f>
        <v>-170162.94061637184</v>
      </c>
      <c r="G121" s="8">
        <f t="shared" ref="G121:G122" si="26">(F121+$D$10/2-1*A121)-(F23+$J$14)+$E$5+$D$116-0.0592*$B$17</f>
        <v>-0.72732115829890787</v>
      </c>
    </row>
    <row r="122" spans="1:7" x14ac:dyDescent="0.25">
      <c r="A122" s="2">
        <v>0</v>
      </c>
      <c r="B122" s="7">
        <f t="shared" si="24"/>
        <v>0</v>
      </c>
      <c r="C122" s="3">
        <f>-(A122+4.66)/27.2114</f>
        <v>-0.17125175477924692</v>
      </c>
      <c r="D122" s="9">
        <v>689.14475900000002</v>
      </c>
      <c r="E122" s="8">
        <v>-6253.3949132236503</v>
      </c>
      <c r="F122" s="7">
        <f t="shared" si="25"/>
        <v>-170162.95576475404</v>
      </c>
      <c r="G122" s="8">
        <f t="shared" si="26"/>
        <v>-0.35924010312479177</v>
      </c>
    </row>
  </sheetData>
  <mergeCells count="14">
    <mergeCell ref="A54:F54"/>
    <mergeCell ref="B7:E7"/>
    <mergeCell ref="C15:D15"/>
    <mergeCell ref="A19:F19"/>
    <mergeCell ref="A27:F27"/>
    <mergeCell ref="A36:F36"/>
    <mergeCell ref="A45:F45"/>
    <mergeCell ref="A117:F117"/>
    <mergeCell ref="A108:F108"/>
    <mergeCell ref="A63:F63"/>
    <mergeCell ref="A72:F72"/>
    <mergeCell ref="A81:F81"/>
    <mergeCell ref="A90:F90"/>
    <mergeCell ref="A99:F99"/>
  </mergeCells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95939-4D74-4B23-96E7-6C6CB8F00F2F}">
  <sheetPr>
    <tabColor theme="5" tint="0.39997558519241921"/>
  </sheetPr>
  <dimension ref="A1:AF210"/>
  <sheetViews>
    <sheetView showGridLines="0" topLeftCell="A188" zoomScale="85" zoomScaleNormal="85" workbookViewId="0">
      <selection activeCell="F168" sqref="F168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  <col min="14" max="14" width="14.140625" customWidth="1"/>
    <col min="15" max="15" width="15" customWidth="1"/>
    <col min="16" max="16" width="11.42578125" customWidth="1"/>
    <col min="18" max="18" width="11.42578125" customWidth="1"/>
    <col min="19" max="19" width="14.28515625" customWidth="1"/>
    <col min="20" max="20" width="16" customWidth="1"/>
    <col min="21" max="21" width="10.85546875" customWidth="1"/>
    <col min="22" max="22" width="12.28515625" customWidth="1"/>
    <col min="23" max="23" width="13.42578125" customWidth="1"/>
    <col min="24" max="24" width="10.28515625" customWidth="1"/>
    <col min="25" max="25" width="10" customWidth="1"/>
    <col min="26" max="26" width="12.28515625" customWidth="1"/>
    <col min="27" max="27" width="13.42578125" customWidth="1"/>
    <col min="28" max="28" width="12" customWidth="1"/>
  </cols>
  <sheetData>
    <row r="1" spans="1:8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5.5983892E-2</v>
      </c>
    </row>
    <row r="2" spans="1:8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8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8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8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7" spans="1:8" ht="18.75" x14ac:dyDescent="0.3">
      <c r="B7" s="76" t="s">
        <v>137</v>
      </c>
      <c r="C7" s="76"/>
      <c r="D7" s="76"/>
      <c r="E7" s="76"/>
    </row>
    <row r="9" spans="1:8" hidden="1" x14ac:dyDescent="0.25">
      <c r="A9" s="25" t="s">
        <v>73</v>
      </c>
    </row>
    <row r="10" spans="1:8" hidden="1" x14ac:dyDescent="0.25">
      <c r="B10" s="5" t="s">
        <v>4</v>
      </c>
      <c r="C10" s="5" t="s">
        <v>96</v>
      </c>
      <c r="D10" s="5" t="s">
        <v>11</v>
      </c>
    </row>
    <row r="11" spans="1:8" hidden="1" x14ac:dyDescent="0.25">
      <c r="A11" s="5" t="s">
        <v>10</v>
      </c>
      <c r="B11" s="10">
        <v>-1.1771435480339401</v>
      </c>
      <c r="C11" s="8">
        <v>-3.9E-2</v>
      </c>
      <c r="D11" s="2">
        <f>B11*27.2114+C11+'Exp. thermo'!$G$5/96.49</f>
        <v>-31.988642304733084</v>
      </c>
    </row>
    <row r="12" spans="1:8" hidden="1" x14ac:dyDescent="0.25">
      <c r="A12" s="5" t="s">
        <v>29</v>
      </c>
      <c r="B12" s="10">
        <v>-37.922756066077497</v>
      </c>
      <c r="C12" s="8">
        <v>-0.253</v>
      </c>
      <c r="D12" s="2">
        <f>B12*27.2114+C12+'Exp. thermo'!$G$5/96.49</f>
        <v>-1032.1022027782235</v>
      </c>
    </row>
    <row r="13" spans="1:8" hidden="1" x14ac:dyDescent="0.25">
      <c r="A13" s="5" t="s">
        <v>30</v>
      </c>
      <c r="B13" s="10">
        <v>-17.2946955359131</v>
      </c>
      <c r="C13" s="8">
        <v>9.4E-2</v>
      </c>
      <c r="D13" s="2">
        <f>B13*27.2114+C13+'Exp. thermo'!$G$5/96.49</f>
        <v>-470.43679646770806</v>
      </c>
    </row>
    <row r="14" spans="1:8" hidden="1" x14ac:dyDescent="0.25">
      <c r="A14" s="5" t="s">
        <v>9</v>
      </c>
      <c r="B14" s="10">
        <v>-58.735501479807802</v>
      </c>
      <c r="C14" s="8">
        <v>-1.2999999999999999E-2</v>
      </c>
      <c r="D14" s="2">
        <f>B14*27.2114+C14+'Exp. thermo'!$G$5/96.49</f>
        <v>-1598.2061433294043</v>
      </c>
    </row>
    <row r="15" spans="1:8" hidden="1" x14ac:dyDescent="0.25">
      <c r="A15" s="5" t="s">
        <v>49</v>
      </c>
      <c r="B15" s="10">
        <v>-42.679147793998197</v>
      </c>
      <c r="C15" s="8">
        <v>-0.128</v>
      </c>
      <c r="D15" s="2">
        <f>B15*27.2114+C15+'Exp. thermo'!$G$5/96.49</f>
        <v>-1161.4052806433649</v>
      </c>
    </row>
    <row r="16" spans="1:8" hidden="1" x14ac:dyDescent="0.25"/>
    <row r="17" spans="1:32" hidden="1" x14ac:dyDescent="0.25"/>
    <row r="18" spans="1:32" ht="18.75" hidden="1" x14ac:dyDescent="0.3">
      <c r="C18" s="76" t="s">
        <v>118</v>
      </c>
      <c r="D18" s="76"/>
      <c r="O18" s="76" t="s">
        <v>119</v>
      </c>
      <c r="P18" s="76"/>
      <c r="W18" s="76" t="s">
        <v>120</v>
      </c>
      <c r="X18" s="76"/>
    </row>
    <row r="19" spans="1:32" hidden="1" x14ac:dyDescent="0.25">
      <c r="A19" s="25" t="s">
        <v>77</v>
      </c>
    </row>
    <row r="20" spans="1:32" hidden="1" x14ac:dyDescent="0.25">
      <c r="A20" s="20" t="s">
        <v>12</v>
      </c>
      <c r="B20" s="21">
        <v>1</v>
      </c>
    </row>
    <row r="21" spans="1:32" hidden="1" x14ac:dyDescent="0.25">
      <c r="A21" s="2" t="s">
        <v>3</v>
      </c>
      <c r="B21" s="2">
        <v>684</v>
      </c>
    </row>
    <row r="22" spans="1:32" hidden="1" x14ac:dyDescent="0.25">
      <c r="A22" s="73" t="s">
        <v>81</v>
      </c>
      <c r="B22" s="74"/>
      <c r="C22" s="74"/>
      <c r="D22" s="74"/>
      <c r="E22" s="75"/>
      <c r="N22" s="73" t="s">
        <v>81</v>
      </c>
      <c r="O22" s="74"/>
      <c r="P22" s="74"/>
      <c r="Q22" s="74"/>
      <c r="R22" s="75"/>
      <c r="V22" s="73" t="s">
        <v>81</v>
      </c>
      <c r="W22" s="74"/>
      <c r="X22" s="74"/>
      <c r="Y22" s="74"/>
      <c r="Z22" s="75"/>
    </row>
    <row r="23" spans="1:32" hidden="1" x14ac:dyDescent="0.25">
      <c r="A23" s="4" t="s">
        <v>1</v>
      </c>
      <c r="B23" s="4" t="s">
        <v>100</v>
      </c>
      <c r="C23" s="4" t="s">
        <v>0</v>
      </c>
      <c r="D23" s="5" t="s">
        <v>2</v>
      </c>
      <c r="E23" s="5" t="s">
        <v>4</v>
      </c>
      <c r="F23" s="4" t="s">
        <v>5</v>
      </c>
      <c r="N23" s="4" t="s">
        <v>1</v>
      </c>
      <c r="O23" s="4" t="s">
        <v>100</v>
      </c>
      <c r="P23" s="4" t="s">
        <v>0</v>
      </c>
      <c r="Q23" s="5" t="s">
        <v>2</v>
      </c>
      <c r="R23" s="5" t="s">
        <v>4</v>
      </c>
      <c r="S23" s="4" t="s">
        <v>5</v>
      </c>
      <c r="V23" s="4" t="s">
        <v>1</v>
      </c>
      <c r="W23" s="4" t="s">
        <v>100</v>
      </c>
      <c r="X23" s="4" t="s">
        <v>0</v>
      </c>
      <c r="Y23" s="5" t="s">
        <v>2</v>
      </c>
      <c r="Z23" s="5" t="s">
        <v>4</v>
      </c>
      <c r="AA23" s="4" t="s">
        <v>5</v>
      </c>
    </row>
    <row r="24" spans="1:32" hidden="1" x14ac:dyDescent="0.25">
      <c r="A24" s="7">
        <f>-C24*27.2114-4.66</f>
        <v>-0.37378492742339997</v>
      </c>
      <c r="B24" s="7">
        <f>A24-0.0592*$B$20</f>
        <v>-0.4329849274234</v>
      </c>
      <c r="C24" s="1">
        <v>-0.15751541899999999</v>
      </c>
      <c r="D24" s="9">
        <v>684</v>
      </c>
      <c r="E24" s="8">
        <v>-7267.4660899636301</v>
      </c>
      <c r="F24" s="7">
        <f t="shared" ref="F24:F29" si="0">(E24-(D24-$B$21)*C24)*27.2114</f>
        <v>-197757.92676043633</v>
      </c>
      <c r="N24" s="2">
        <v>0.8</v>
      </c>
      <c r="O24" s="7">
        <f t="shared" ref="O24:O26" si="1">N24-0.0592*$B$20</f>
        <v>0.74080000000000001</v>
      </c>
      <c r="P24" s="3">
        <f>-(N24+4.66)/27.2114</f>
        <v>-0.20065119765980433</v>
      </c>
      <c r="Q24" s="9">
        <v>683.53508999999997</v>
      </c>
      <c r="R24" s="8">
        <v>-7267.3811097758298</v>
      </c>
      <c r="S24" s="7">
        <f>(R24-(Q24-$B$21)*P24)*27.2114</f>
        <v>-197758.152739154</v>
      </c>
      <c r="V24" s="2">
        <v>0.8</v>
      </c>
      <c r="W24" s="7">
        <f t="shared" ref="W24:W26" si="2">V24-0.0592*$B$20</f>
        <v>0.74080000000000001</v>
      </c>
      <c r="X24" s="3">
        <f>-(V24+4.66)/27.2114</f>
        <v>-0.20065119765980433</v>
      </c>
      <c r="Y24" s="9">
        <v>683.68827499999998</v>
      </c>
      <c r="Z24" s="8">
        <v>-7267.4085346653101</v>
      </c>
      <c r="AA24" s="7">
        <f>(Z24-(Y24-$B$21)*X24)*27.2114</f>
        <v>-197758.06261869162</v>
      </c>
    </row>
    <row r="25" spans="1:32" hidden="1" x14ac:dyDescent="0.25">
      <c r="A25" s="2">
        <v>0.8</v>
      </c>
      <c r="B25" s="7">
        <f t="shared" ref="B25:B29" si="3">A25-0.0592*$B$20</f>
        <v>0.74080000000000001</v>
      </c>
      <c r="C25" s="3">
        <f>-(A25+4.66)/27.2114</f>
        <v>-0.20065119765980433</v>
      </c>
      <c r="D25" s="9">
        <v>682.86927600000001</v>
      </c>
      <c r="E25" s="8">
        <v>-7267.2627739502404</v>
      </c>
      <c r="F25" s="7">
        <f t="shared" si="0"/>
        <v>-197758.56800010958</v>
      </c>
      <c r="N25" s="1">
        <v>0.4</v>
      </c>
      <c r="O25" s="7">
        <f t="shared" si="1"/>
        <v>0.34079999999999999</v>
      </c>
      <c r="P25" s="3">
        <f>-(N25+4.66)/27.2114</f>
        <v>-0.18595147621952565</v>
      </c>
      <c r="Q25" s="9">
        <v>683.72002899999995</v>
      </c>
      <c r="R25" s="8">
        <v>-7267.4168667596496</v>
      </c>
      <c r="S25" s="7">
        <f>(R25-(Q25-$B$21)*P25)*27.2114</f>
        <v>-197758.00398140354</v>
      </c>
      <c r="V25" s="1">
        <v>0.4</v>
      </c>
      <c r="W25" s="7">
        <f t="shared" si="2"/>
        <v>0.34079999999999999</v>
      </c>
      <c r="X25" s="3">
        <f>-(V25+4.66)/27.2114</f>
        <v>-0.18595147621952565</v>
      </c>
      <c r="Y25" s="9">
        <v>683.81673899999998</v>
      </c>
      <c r="Z25" s="8">
        <v>-7267.43337737206</v>
      </c>
      <c r="AA25" s="7">
        <f>(Z25-(Y25-$B$21)*X25)*27.2114</f>
        <v>-197757.96390568206</v>
      </c>
    </row>
    <row r="26" spans="1:32" hidden="1" x14ac:dyDescent="0.25">
      <c r="A26" s="1">
        <v>0.4</v>
      </c>
      <c r="B26" s="7">
        <f t="shared" si="3"/>
        <v>0.34079999999999999</v>
      </c>
      <c r="C26" s="3">
        <f>-(A26+4.66)/27.2114</f>
        <v>-0.18595147621952565</v>
      </c>
      <c r="D26" s="9">
        <v>683.29075599999999</v>
      </c>
      <c r="E26" s="8">
        <v>-7267.3442672741703</v>
      </c>
      <c r="F26" s="7">
        <f t="shared" si="0"/>
        <v>-197758.20056914436</v>
      </c>
      <c r="N26" s="2">
        <v>0</v>
      </c>
      <c r="O26" s="7">
        <f t="shared" si="1"/>
        <v>-5.9200000000000003E-2</v>
      </c>
      <c r="P26" s="3">
        <f>-(N26+4.66)/27.2114</f>
        <v>-0.17125175477924692</v>
      </c>
      <c r="Q26" s="9">
        <v>683.898775</v>
      </c>
      <c r="R26" s="8">
        <v>-7267.4487950777602</v>
      </c>
      <c r="S26" s="7">
        <f>(R26-(Q26-$B$21)*P26)*27.2114</f>
        <v>-197757.92785087897</v>
      </c>
      <c r="V26" s="2">
        <v>0</v>
      </c>
      <c r="W26" s="7">
        <f t="shared" si="2"/>
        <v>-5.9200000000000003E-2</v>
      </c>
      <c r="X26" s="3">
        <f>-(V26+4.66)/27.2114</f>
        <v>-0.17125175477924692</v>
      </c>
      <c r="Y26" s="9">
        <v>683.94256600000006</v>
      </c>
      <c r="Z26" s="8">
        <v>-7267.4558551178498</v>
      </c>
      <c r="AA26" s="7">
        <f>(Z26-(Y26-$B$21)*X26)*27.2114</f>
        <v>-197757.91589839387</v>
      </c>
    </row>
    <row r="27" spans="1:32" hidden="1" x14ac:dyDescent="0.25">
      <c r="A27" s="2">
        <v>0</v>
      </c>
      <c r="B27" s="7">
        <f t="shared" si="3"/>
        <v>-5.9200000000000003E-2</v>
      </c>
      <c r="C27" s="3">
        <f>-(A27+4.66)/27.2114</f>
        <v>-0.17125175477924692</v>
      </c>
      <c r="D27" s="9">
        <v>683.68182899999999</v>
      </c>
      <c r="E27" s="8">
        <v>-7267.4141477479097</v>
      </c>
      <c r="F27" s="7">
        <f t="shared" si="0"/>
        <v>-197757.99601688748</v>
      </c>
      <c r="AF27">
        <v>1</v>
      </c>
    </row>
    <row r="28" spans="1:32" hidden="1" x14ac:dyDescent="0.25">
      <c r="A28" s="1">
        <v>-0.4</v>
      </c>
      <c r="B28" s="7">
        <f t="shared" si="3"/>
        <v>-0.45920000000000005</v>
      </c>
      <c r="C28" s="3">
        <f>-(A28+4.66)/27.2114</f>
        <v>-0.15655203333896822</v>
      </c>
      <c r="D28" s="9">
        <v>684.04554299999995</v>
      </c>
      <c r="E28" s="8">
        <v>-7267.4737820144001</v>
      </c>
      <c r="F28" s="7">
        <f t="shared" si="0"/>
        <v>-197757.94205872668</v>
      </c>
    </row>
    <row r="29" spans="1:32" hidden="1" x14ac:dyDescent="0.25">
      <c r="A29" s="2">
        <v>-0.8</v>
      </c>
      <c r="B29" s="7">
        <f t="shared" si="3"/>
        <v>-0.85920000000000007</v>
      </c>
      <c r="C29" s="3">
        <f>-(A29+4.66)/27.2114</f>
        <v>-0.14185231189868952</v>
      </c>
      <c r="D29" s="9">
        <v>684.53420800000004</v>
      </c>
      <c r="E29" s="8">
        <v>-7267.5464149638401</v>
      </c>
      <c r="F29" s="7">
        <f t="shared" si="0"/>
        <v>-197758.05047326707</v>
      </c>
    </row>
    <row r="30" spans="1:32" hidden="1" x14ac:dyDescent="0.25"/>
    <row r="31" spans="1:32" hidden="1" x14ac:dyDescent="0.25">
      <c r="A31" s="5" t="s">
        <v>3</v>
      </c>
      <c r="B31" s="2">
        <v>707</v>
      </c>
      <c r="C31" s="5" t="s">
        <v>96</v>
      </c>
      <c r="D31" s="2">
        <v>0.621</v>
      </c>
    </row>
    <row r="32" spans="1:32" hidden="1" x14ac:dyDescent="0.25">
      <c r="A32" s="73" t="s">
        <v>117</v>
      </c>
      <c r="B32" s="74"/>
      <c r="C32" s="74"/>
      <c r="D32" s="74"/>
      <c r="E32" s="74"/>
      <c r="F32" s="75"/>
      <c r="G32" s="2" t="s">
        <v>31</v>
      </c>
      <c r="H32" s="2" t="s">
        <v>32</v>
      </c>
      <c r="N32" s="73" t="s">
        <v>117</v>
      </c>
      <c r="O32" s="74"/>
      <c r="P32" s="74"/>
      <c r="Q32" s="74"/>
      <c r="R32" s="74"/>
      <c r="S32" s="75"/>
      <c r="T32" s="2" t="s">
        <v>31</v>
      </c>
      <c r="V32" s="73" t="s">
        <v>117</v>
      </c>
      <c r="W32" s="74"/>
      <c r="X32" s="74"/>
      <c r="Y32" s="74"/>
      <c r="Z32" s="74"/>
      <c r="AA32" s="75"/>
      <c r="AB32" s="2" t="s">
        <v>31</v>
      </c>
    </row>
    <row r="33" spans="1:28" hidden="1" x14ac:dyDescent="0.25">
      <c r="A33" s="4" t="s">
        <v>1</v>
      </c>
      <c r="B33" s="4" t="s">
        <v>100</v>
      </c>
      <c r="C33" s="4" t="s">
        <v>0</v>
      </c>
      <c r="D33" s="5" t="s">
        <v>2</v>
      </c>
      <c r="E33" s="5" t="s">
        <v>4</v>
      </c>
      <c r="F33" s="4" t="s">
        <v>5</v>
      </c>
      <c r="G33" s="6" t="s">
        <v>7</v>
      </c>
      <c r="H33" s="6" t="s">
        <v>7</v>
      </c>
      <c r="N33" s="4" t="s">
        <v>1</v>
      </c>
      <c r="O33" s="4" t="s">
        <v>100</v>
      </c>
      <c r="P33" s="4" t="s">
        <v>0</v>
      </c>
      <c r="Q33" s="5" t="s">
        <v>2</v>
      </c>
      <c r="R33" s="5" t="s">
        <v>4</v>
      </c>
      <c r="S33" s="4" t="s">
        <v>5</v>
      </c>
      <c r="T33" s="6" t="s">
        <v>7</v>
      </c>
      <c r="V33" s="4" t="s">
        <v>1</v>
      </c>
      <c r="W33" s="4" t="s">
        <v>100</v>
      </c>
      <c r="X33" s="4" t="s">
        <v>0</v>
      </c>
      <c r="Y33" s="5" t="s">
        <v>2</v>
      </c>
      <c r="Z33" s="5" t="s">
        <v>4</v>
      </c>
      <c r="AA33" s="4" t="s">
        <v>5</v>
      </c>
      <c r="AB33" s="6" t="s">
        <v>7</v>
      </c>
    </row>
    <row r="34" spans="1:28" hidden="1" x14ac:dyDescent="0.25">
      <c r="A34" s="7">
        <f>-C34*27.2114-4.66</f>
        <v>-0.22063778044199989</v>
      </c>
      <c r="B34" s="7">
        <f>A34-0.0592*$B$20</f>
        <v>-0.27983778044199992</v>
      </c>
      <c r="C34" s="1">
        <v>-0.16314347000000001</v>
      </c>
      <c r="D34" s="9">
        <v>707</v>
      </c>
      <c r="E34" s="8">
        <v>-7322.0890726277603</v>
      </c>
      <c r="F34" s="7">
        <f t="shared" ref="F34:F39" si="4">(E34-(D34-$B$31)*C34)*27.2114</f>
        <v>-199244.29459090304</v>
      </c>
      <c r="G34" s="77"/>
      <c r="H34" s="78"/>
      <c r="N34" s="2">
        <v>0.8</v>
      </c>
      <c r="O34" s="7">
        <f t="shared" ref="O34:O36" si="5">N34-0.0592*$B$20</f>
        <v>0.74080000000000001</v>
      </c>
      <c r="P34" s="3">
        <f>-(N34+4.66)/27.2114</f>
        <v>-0.20065119765980433</v>
      </c>
      <c r="Q34" s="9">
        <v>706.61579700000004</v>
      </c>
      <c r="R34" s="8">
        <v>-7322.0123623131503</v>
      </c>
      <c r="S34" s="7">
        <f>(R34-(Q34-$B$31)*P34)*27.2114</f>
        <v>-199244.30494422806</v>
      </c>
      <c r="T34" s="8">
        <f>(S34+$D$11/2-1*N34)-(S24+$D$13+$D$12)+$B$2+$D$31-0.0592*$B$20</f>
        <v>-7.0980672097020275E-2</v>
      </c>
      <c r="V34" s="2">
        <v>0.8</v>
      </c>
      <c r="W34" s="7">
        <f t="shared" ref="W34:W36" si="6">V34-0.0592*$B$20</f>
        <v>0.74080000000000001</v>
      </c>
      <c r="X34" s="3">
        <f>-(V34+4.66)/27.2114</f>
        <v>-0.20065119765980433</v>
      </c>
      <c r="Y34" s="9">
        <v>706.73324000000002</v>
      </c>
      <c r="Z34" s="8">
        <v>-7322.0314920114397</v>
      </c>
      <c r="AA34" s="7">
        <f>(Z34-(Y34-$B$31)*X34)*27.2114</f>
        <v>-199244.18425132011</v>
      </c>
      <c r="AB34" s="8">
        <f>(AA34+$D$11/2-1*V34)-(AA24+$D$13+$D$12)+$B$2+$D$31-0.0592*$B$20</f>
        <v>-4.0408226528624497E-2</v>
      </c>
    </row>
    <row r="35" spans="1:28" hidden="1" x14ac:dyDescent="0.25">
      <c r="A35" s="2">
        <v>0.8</v>
      </c>
      <c r="B35" s="7">
        <f t="shared" ref="B35:B39" si="7">A35-0.0592*$B$20</f>
        <v>0.74080000000000001</v>
      </c>
      <c r="C35" s="3">
        <f>-(A35+4.66)/27.2114</f>
        <v>-0.20065119765980433</v>
      </c>
      <c r="D35" s="9">
        <v>706.08298400000001</v>
      </c>
      <c r="E35" s="8">
        <v>-7321.9216013714004</v>
      </c>
      <c r="F35" s="7">
        <f t="shared" si="4"/>
        <v>-199244.74437091773</v>
      </c>
      <c r="G35" s="8">
        <f>(F35+$D$11/2-1*A25)-(F25+$D$13+$D$12)+$B$2+$D$31-0.0592*$B$20</f>
        <v>-9.5146406192752025E-2</v>
      </c>
      <c r="H35" s="8">
        <f>($F$34+$D$11/2-1*A25)-($F$24+$D$13+$D$12)+$B$2</f>
        <v>-0.84840606474843849</v>
      </c>
      <c r="N35" s="1">
        <v>0.4</v>
      </c>
      <c r="O35" s="7">
        <f t="shared" si="5"/>
        <v>0.34079999999999999</v>
      </c>
      <c r="P35" s="3">
        <f>-(N35+4.66)/27.2114</f>
        <v>-0.18595147621952565</v>
      </c>
      <c r="Q35" s="9">
        <v>706.79351799999995</v>
      </c>
      <c r="R35" s="8">
        <v>-7322.0467206517196</v>
      </c>
      <c r="S35" s="7">
        <f>(R35-(Q35-$B$31)*P35)*27.2114</f>
        <v>-199244.18693326222</v>
      </c>
      <c r="T35" s="8">
        <f>(S35+$D$11/2-1*N35)-(S25+$D$13+$D$12)+$B$2+$D$31-0.0592*$B$20</f>
        <v>0.29827254328299269</v>
      </c>
      <c r="V35" s="1">
        <v>0.4</v>
      </c>
      <c r="W35" s="7">
        <f t="shared" si="6"/>
        <v>0.34079999999999999</v>
      </c>
      <c r="X35" s="3">
        <f>-(V35+4.66)/27.2114</f>
        <v>-0.18595147621952565</v>
      </c>
      <c r="Y35" s="9">
        <v>706.86187299999995</v>
      </c>
      <c r="Z35" s="8">
        <v>-7322.0563736148097</v>
      </c>
      <c r="AA35" s="7">
        <f>(Z35-(Y35-$B$31)*X35)*27.2114</f>
        <v>-199244.10372760205</v>
      </c>
      <c r="AB35" s="8">
        <f>(AA35+$D$11/2-1*V35)-(AA25+$D$13+$D$12)+$B$2+$D$31-0.0592*$B$20</f>
        <v>0.34140248196669809</v>
      </c>
    </row>
    <row r="36" spans="1:28" hidden="1" x14ac:dyDescent="0.25">
      <c r="A36" s="1">
        <v>0.4</v>
      </c>
      <c r="B36" s="7">
        <f t="shared" si="7"/>
        <v>0.34079999999999999</v>
      </c>
      <c r="C36" s="3">
        <f>-(A36+4.66)/27.2114</f>
        <v>-0.18595147621952565</v>
      </c>
      <c r="D36" s="9">
        <v>706.45682799999997</v>
      </c>
      <c r="E36" s="8">
        <v>-7321.9941797696201</v>
      </c>
      <c r="F36" s="7">
        <f t="shared" si="4"/>
        <v>-199244.46087370304</v>
      </c>
      <c r="G36" s="8">
        <f>(F36+$D$11/2-1*A26)-(F26+$D$13+$D$12)+$B$2+$D$31-0.0592*$B$20</f>
        <v>0.22091984328469219</v>
      </c>
      <c r="H36" s="8">
        <f>($F$34+$D$11/2-1*A26)-($F$24+$D$13+$D$12)+$B$2</f>
        <v>-0.44840606475425926</v>
      </c>
      <c r="N36" s="2">
        <v>0</v>
      </c>
      <c r="O36" s="7">
        <f t="shared" si="5"/>
        <v>-5.9200000000000003E-2</v>
      </c>
      <c r="P36" s="3">
        <f>-(N36+4.66)/27.2114</f>
        <v>-0.17125175477924692</v>
      </c>
      <c r="Q36" s="9">
        <v>706.96220900000003</v>
      </c>
      <c r="R36" s="8">
        <v>-7322.0768310663598</v>
      </c>
      <c r="S36" s="7">
        <f>(R36-(Q36-$B$31)*P36)*27.2114</f>
        <v>-199244.13758693915</v>
      </c>
      <c r="T36" s="8">
        <f>(S36+$D$11/2-1*N36)-(S26+$D$13+$D$12)+$B$2+$D$31-0.0592*$B$20</f>
        <v>0.67148834177530325</v>
      </c>
      <c r="V36" s="2">
        <v>0</v>
      </c>
      <c r="W36" s="7">
        <f t="shared" si="6"/>
        <v>-5.9200000000000003E-2</v>
      </c>
      <c r="X36" s="3">
        <f>-(V36+4.66)/27.2114</f>
        <v>-0.17125175477924692</v>
      </c>
      <c r="Y36" s="9">
        <v>706.98484900000005</v>
      </c>
      <c r="Z36" s="8">
        <v>-7322.0783215900601</v>
      </c>
      <c r="AA36" s="7">
        <f>(Z36-(Y36-$B$31)*X36)*27.2114</f>
        <v>-199244.07264377575</v>
      </c>
      <c r="AB36" s="8">
        <f>(AA36+$D$11/2-1*V36)-(AA26+$D$13+$D$12)+$B$2+$D$31-0.0592*$B$20</f>
        <v>0.72447902006567411</v>
      </c>
    </row>
    <row r="37" spans="1:28" hidden="1" x14ac:dyDescent="0.25">
      <c r="A37" s="2">
        <v>0</v>
      </c>
      <c r="B37" s="7">
        <f t="shared" si="7"/>
        <v>-5.9200000000000003E-2</v>
      </c>
      <c r="C37" s="3">
        <f>-(A37+4.66)/27.2114</f>
        <v>-0.17125175477924692</v>
      </c>
      <c r="D37" s="9">
        <v>706.81133899999998</v>
      </c>
      <c r="E37" s="8">
        <v>-7322.0575282516402</v>
      </c>
      <c r="F37" s="7">
        <f t="shared" si="4"/>
        <v>-199244.31538452668</v>
      </c>
      <c r="G37" s="8">
        <f>(F37+$D$11/2-1*A27)-(F27+$D$13+$D$12)+$B$2+$D$31-0.0592*$B$20</f>
        <v>0.56185676275524266</v>
      </c>
      <c r="H37" s="8">
        <f>($F$34+$D$11/2-1*A27)-($F$24+$D$13+$D$12)+$B$2</f>
        <v>-4.8406064760079998E-2</v>
      </c>
    </row>
    <row r="38" spans="1:28" hidden="1" x14ac:dyDescent="0.25">
      <c r="A38" s="1">
        <v>-0.4</v>
      </c>
      <c r="B38" s="7">
        <f t="shared" si="7"/>
        <v>-0.45920000000000005</v>
      </c>
      <c r="C38" s="3">
        <f>-(A38+4.66)/27.2114</f>
        <v>-0.15655203333896822</v>
      </c>
      <c r="D38" s="9">
        <v>707.15336400000001</v>
      </c>
      <c r="E38" s="8">
        <v>-7322.1136027372604</v>
      </c>
      <c r="F38" s="7">
        <f t="shared" si="4"/>
        <v>-199244.3087588847</v>
      </c>
      <c r="G38" s="8">
        <f>(F38+$D$11/2-1*A28)-(F28+$D$13+$D$12)+$B$2+$D$31-0.0592*$B$20</f>
        <v>0.91452424392807252</v>
      </c>
      <c r="H38" s="8">
        <f>($F$34+$D$11/2-1*A28)-($F$24+$D$13+$D$12)+$B$2</f>
        <v>0.35159393523409921</v>
      </c>
    </row>
    <row r="39" spans="1:28" hidden="1" x14ac:dyDescent="0.25">
      <c r="A39" s="2">
        <v>-0.8</v>
      </c>
      <c r="B39" s="7">
        <f t="shared" si="7"/>
        <v>-0.85920000000000007</v>
      </c>
      <c r="C39" s="3">
        <f>-(A39+4.66)/27.2114</f>
        <v>-0.14185231189868952</v>
      </c>
      <c r="D39" s="9">
        <v>707.56656999999996</v>
      </c>
      <c r="E39" s="8">
        <v>-7322.1751715910104</v>
      </c>
      <c r="F39" s="7">
        <f t="shared" si="4"/>
        <v>-199244.45050403164</v>
      </c>
      <c r="G39" s="8">
        <f>(F39+$D$11/2-1*A29)-(F29+$D$13+$D$12)+$B$2+$D$31-0.0592*$B$20</f>
        <v>1.281193637363659</v>
      </c>
      <c r="H39" s="8">
        <f>($F$34+$D$11/2-1*A29)-($F$24+$D$13+$D$12)+$B$2</f>
        <v>0.75159393522827844</v>
      </c>
    </row>
    <row r="40" spans="1:28" hidden="1" x14ac:dyDescent="0.25">
      <c r="C40" s="15"/>
    </row>
    <row r="41" spans="1:28" hidden="1" x14ac:dyDescent="0.25"/>
    <row r="42" spans="1:28" hidden="1" x14ac:dyDescent="0.25">
      <c r="A42" s="2" t="s">
        <v>3</v>
      </c>
      <c r="B42" s="2">
        <v>706</v>
      </c>
      <c r="C42" s="5" t="s">
        <v>96</v>
      </c>
      <c r="D42" s="2">
        <v>0.26700000000000002</v>
      </c>
    </row>
    <row r="43" spans="1:28" hidden="1" x14ac:dyDescent="0.25">
      <c r="A43" s="73" t="s">
        <v>33</v>
      </c>
      <c r="B43" s="74"/>
      <c r="C43" s="74"/>
      <c r="D43" s="74"/>
      <c r="E43" s="74"/>
      <c r="F43" s="75"/>
      <c r="G43" s="2" t="s">
        <v>31</v>
      </c>
      <c r="H43" s="2" t="s">
        <v>32</v>
      </c>
      <c r="N43" s="73" t="s">
        <v>33</v>
      </c>
      <c r="O43" s="74"/>
      <c r="P43" s="74"/>
      <c r="Q43" s="74"/>
      <c r="R43" s="74"/>
      <c r="S43" s="75"/>
      <c r="T43" s="2" t="s">
        <v>31</v>
      </c>
      <c r="V43" s="73" t="s">
        <v>33</v>
      </c>
      <c r="W43" s="74"/>
      <c r="X43" s="74"/>
      <c r="Y43" s="74"/>
      <c r="Z43" s="74"/>
      <c r="AA43" s="75"/>
      <c r="AB43" s="2" t="s">
        <v>31</v>
      </c>
    </row>
    <row r="44" spans="1:28" hidden="1" x14ac:dyDescent="0.25">
      <c r="A44" s="4" t="s">
        <v>1</v>
      </c>
      <c r="B44" s="4" t="s">
        <v>100</v>
      </c>
      <c r="C44" s="4" t="s">
        <v>0</v>
      </c>
      <c r="D44" s="5" t="s">
        <v>2</v>
      </c>
      <c r="E44" s="5" t="s">
        <v>4</v>
      </c>
      <c r="F44" s="4" t="s">
        <v>5</v>
      </c>
      <c r="G44" s="6" t="s">
        <v>7</v>
      </c>
      <c r="H44" s="6" t="s">
        <v>7</v>
      </c>
      <c r="N44" s="4" t="s">
        <v>1</v>
      </c>
      <c r="O44" s="4" t="s">
        <v>100</v>
      </c>
      <c r="P44" s="4" t="s">
        <v>0</v>
      </c>
      <c r="Q44" s="5" t="s">
        <v>2</v>
      </c>
      <c r="R44" s="5" t="s">
        <v>4</v>
      </c>
      <c r="S44" s="4" t="s">
        <v>5</v>
      </c>
      <c r="T44" s="6" t="s">
        <v>7</v>
      </c>
      <c r="V44" s="4" t="s">
        <v>1</v>
      </c>
      <c r="W44" s="4" t="s">
        <v>100</v>
      </c>
      <c r="X44" s="4" t="s">
        <v>0</v>
      </c>
      <c r="Y44" s="5" t="s">
        <v>2</v>
      </c>
      <c r="Z44" s="5" t="s">
        <v>4</v>
      </c>
      <c r="AA44" s="4" t="s">
        <v>5</v>
      </c>
      <c r="AB44" s="6" t="s">
        <v>7</v>
      </c>
    </row>
    <row r="45" spans="1:28" hidden="1" x14ac:dyDescent="0.25">
      <c r="A45" s="7">
        <f>-C45*27.2114-4.66</f>
        <v>0.53873919451300001</v>
      </c>
      <c r="B45" s="7">
        <f>A45-0.0592*$B$20</f>
        <v>0.47953919451299998</v>
      </c>
      <c r="C45" s="1">
        <v>-0.191050045</v>
      </c>
      <c r="D45" s="9">
        <v>706</v>
      </c>
      <c r="E45" s="8">
        <v>-7321.4633974685703</v>
      </c>
      <c r="F45" s="7">
        <f t="shared" ref="F45:F50" si="8">(E45-(D45-$B$42)*C45)*27.2114</f>
        <v>-199227.26909387627</v>
      </c>
      <c r="G45" s="79"/>
      <c r="H45" s="78"/>
      <c r="N45" s="2">
        <v>0.8</v>
      </c>
      <c r="O45" s="7">
        <f t="shared" ref="O45:O47" si="9">N45-0.0592*$B$20</f>
        <v>0.74080000000000001</v>
      </c>
      <c r="P45" s="3">
        <f>-(N45+4.66)/27.2114</f>
        <v>-0.20065119765980433</v>
      </c>
      <c r="Q45" s="9">
        <v>706.00292200000001</v>
      </c>
      <c r="R45" s="8">
        <v>-7321.4496829559503</v>
      </c>
      <c r="S45" s="7">
        <f>(R45-(Q45-$B$42)*P45)*27.2114</f>
        <v>-199226.87994866754</v>
      </c>
      <c r="T45" s="8">
        <f>(S45+$D$11-2*N45)-(S24+$D$13+$D$12)+$B$3+$D$42-0.0592*$B$20</f>
        <v>-0.40327765629441492</v>
      </c>
      <c r="V45" s="2">
        <v>0.8</v>
      </c>
      <c r="W45" s="7">
        <f t="shared" ref="W45:W47" si="10">V45-0.0592*$B$20</f>
        <v>0.74080000000000001</v>
      </c>
      <c r="X45" s="3">
        <f>-(V45+4.66)/27.2114</f>
        <v>-0.20065119765980433</v>
      </c>
      <c r="Y45" s="9">
        <v>706.04549699999995</v>
      </c>
      <c r="Z45" s="8">
        <v>-7321.4530500231103</v>
      </c>
      <c r="AA45" s="7">
        <f>(Z45-(Y45-$B$42)*X45)*27.2114</f>
        <v>-199226.73911177888</v>
      </c>
      <c r="AB45" s="8">
        <f>(AA45+$D$11-2*V45)-(AA24+$D$13+$D$12)+$B$3+$D$42-0.0592*$B$20</f>
        <v>-0.3525612300126908</v>
      </c>
    </row>
    <row r="46" spans="1:28" hidden="1" x14ac:dyDescent="0.25">
      <c r="A46" s="2">
        <v>0.8</v>
      </c>
      <c r="B46" s="7">
        <f t="shared" ref="B46:B50" si="11">A46-0.0592*$B$20</f>
        <v>0.74080000000000001</v>
      </c>
      <c r="C46" s="3">
        <f>-(A46+4.66)/27.2114</f>
        <v>-0.20065119765980433</v>
      </c>
      <c r="D46" s="9">
        <v>705.725281</v>
      </c>
      <c r="E46" s="8">
        <v>-7321.4092531032102</v>
      </c>
      <c r="F46" s="7">
        <f t="shared" si="8"/>
        <v>-199227.2957156327</v>
      </c>
      <c r="G46" s="8">
        <f>(F46+$D$11-2*A25)-(F25+$D$13+$D$12)+$B$3+$D$42-0.0592*$B$20</f>
        <v>-0.40378366588080317</v>
      </c>
      <c r="H46" s="8">
        <f>($F$45+$D$11-2*A46)-($F$24+$D$13+$D$12)+$B$3</f>
        <v>-1.2262015826943891</v>
      </c>
      <c r="N46" s="1">
        <v>0.4</v>
      </c>
      <c r="O46" s="7">
        <f t="shared" si="9"/>
        <v>0.34079999999999999</v>
      </c>
      <c r="P46" s="3">
        <f>-(N46+4.66)/27.2114</f>
        <v>-0.18595147621952565</v>
      </c>
      <c r="Q46" s="9">
        <v>706.21320000000003</v>
      </c>
      <c r="R46" s="8">
        <v>-7321.4902813627596</v>
      </c>
      <c r="S46" s="7">
        <f t="shared" ref="S46:S47" si="12">(R46-(Q46-$B$42)*P46)*27.2114</f>
        <v>-199226.92185027461</v>
      </c>
      <c r="T46" s="8">
        <f>(S46+$D$11-2*N46)-(S25+$D$13+$D$12)+$B$3+$D$42-0.0592*$B$20</f>
        <v>0.20606298619717348</v>
      </c>
      <c r="V46" s="1">
        <v>0.4</v>
      </c>
      <c r="W46" s="7">
        <f t="shared" si="10"/>
        <v>0.34079999999999999</v>
      </c>
      <c r="X46" s="3">
        <f>-(V46+4.66)/27.2114</f>
        <v>-0.18595147621952565</v>
      </c>
      <c r="Y46" s="9">
        <v>706.18659100000002</v>
      </c>
      <c r="Z46" s="8">
        <v>-7321.48032051481</v>
      </c>
      <c r="AA46" s="7">
        <f t="shared" ref="AA46:AA47" si="13">(Z46-(Y46-$B$42)*X46)*27.2114</f>
        <v>-199226.78544319671</v>
      </c>
      <c r="AB46" s="8">
        <f>(AA46+$D$11-2*V46)-(AA25+$D$13+$D$12)+$B$3+$D$42-0.0592*$B$20</f>
        <v>0.30239434261060305</v>
      </c>
    </row>
    <row r="47" spans="1:28" hidden="1" x14ac:dyDescent="0.25">
      <c r="A47" s="1">
        <v>0.4</v>
      </c>
      <c r="B47" s="7">
        <f t="shared" si="11"/>
        <v>0.34079999999999999</v>
      </c>
      <c r="C47" s="3">
        <f>-(A47+4.66)/27.2114</f>
        <v>-0.18595147621952565</v>
      </c>
      <c r="D47" s="9">
        <v>706.13548600000001</v>
      </c>
      <c r="E47" s="8">
        <v>-7321.4889402533099</v>
      </c>
      <c r="F47" s="7">
        <f t="shared" si="8"/>
        <v>-199227.27858964892</v>
      </c>
      <c r="G47" s="8">
        <f>(F47+$D$11-2*A26)-(F26+$D$13+$D$12)+$B$3+$D$42-0.0592*$B$20</f>
        <v>4.5911352704968184E-2</v>
      </c>
      <c r="H47" s="8">
        <f>($F$45+$D$11-2*A47)-($F$24+$D$13+$D$12)+$B$3</f>
        <v>-0.42620158267692676</v>
      </c>
      <c r="N47" s="2">
        <v>0</v>
      </c>
      <c r="O47" s="7">
        <f t="shared" si="9"/>
        <v>-5.9200000000000003E-2</v>
      </c>
      <c r="P47" s="3">
        <f>-(N47+4.66)/27.2114</f>
        <v>-0.17125175477924692</v>
      </c>
      <c r="Q47" s="9">
        <v>706.41704000000004</v>
      </c>
      <c r="R47" s="8">
        <v>-7321.5267051597502</v>
      </c>
      <c r="S47" s="7">
        <f t="shared" si="12"/>
        <v>-199227.04837838403</v>
      </c>
      <c r="T47" s="8">
        <f>(S47+$D$11-2*N47)-(S26+$D$13+$D$12)+$B$3+$D$42-0.0592*$B$20</f>
        <v>0.80340435219299033</v>
      </c>
      <c r="V47" s="2">
        <v>0</v>
      </c>
      <c r="W47" s="7">
        <f t="shared" si="10"/>
        <v>-5.9200000000000003E-2</v>
      </c>
      <c r="X47" s="3">
        <f>-(V47+4.66)/27.2114</f>
        <v>-0.17125175477924692</v>
      </c>
      <c r="Y47" s="9">
        <v>706.33209699999998</v>
      </c>
      <c r="Z47" s="8">
        <v>-7321.50626745723</v>
      </c>
      <c r="AA47" s="7">
        <f t="shared" si="13"/>
        <v>-199226.88807426568</v>
      </c>
      <c r="AB47" s="8">
        <f>(AA47+$D$11-2*V47)-(AA26+$D$13+$D$12)+$B$3+$D$42-0.0592*$B$20</f>
        <v>0.95175598544486795</v>
      </c>
    </row>
    <row r="48" spans="1:28" hidden="1" x14ac:dyDescent="0.25">
      <c r="A48" s="2">
        <v>0</v>
      </c>
      <c r="B48" s="7">
        <f t="shared" si="11"/>
        <v>-5.9200000000000003E-2</v>
      </c>
      <c r="C48" s="3">
        <f>-(A48+4.66)/27.2114</f>
        <v>-0.17125175477924692</v>
      </c>
      <c r="D48" s="9">
        <v>706.51842899999997</v>
      </c>
      <c r="E48" s="8">
        <v>-7321.5573928162903</v>
      </c>
      <c r="F48" s="7">
        <f t="shared" si="8"/>
        <v>-199227.41095974122</v>
      </c>
      <c r="G48" s="8">
        <f>(F48+$D$11-2*A27)-(F27+$D$13+$D$12)+$B$3+$D$42-0.0592*$B$20</f>
        <v>0.50898900351788834</v>
      </c>
      <c r="H48" s="8">
        <f>($F$45+$D$11-2*A48)-($F$24+$D$13+$D$12)+$B$3</f>
        <v>0.37379841731143171</v>
      </c>
    </row>
    <row r="49" spans="1:28" hidden="1" x14ac:dyDescent="0.25">
      <c r="A49" s="1">
        <v>-0.4</v>
      </c>
      <c r="B49" s="7">
        <f t="shared" si="11"/>
        <v>-0.45920000000000005</v>
      </c>
      <c r="C49" s="3">
        <f>-(A49+4.66)/27.2114</f>
        <v>-0.15655203333896822</v>
      </c>
      <c r="D49" s="9">
        <v>706.89628400000004</v>
      </c>
      <c r="E49" s="8">
        <v>-7321.6192858981904</v>
      </c>
      <c r="F49" s="7">
        <f t="shared" si="8"/>
        <v>-199227.69286645003</v>
      </c>
      <c r="G49" s="8">
        <f>(F49+$D$11-2*A28)-(F28+$D$13+$D$12)+$B$3+$D$42-0.0592*$B$20</f>
        <v>0.97312413389048535</v>
      </c>
      <c r="H49" s="8">
        <f>($F$45+$D$11-2*A49)-($F$24+$D$13+$D$12)+$B$3</f>
        <v>1.1737984172997902</v>
      </c>
    </row>
    <row r="50" spans="1:28" hidden="1" x14ac:dyDescent="0.25">
      <c r="A50" s="2">
        <v>-0.8</v>
      </c>
      <c r="B50" s="7">
        <f t="shared" si="11"/>
        <v>-0.85920000000000007</v>
      </c>
      <c r="C50" s="3">
        <f>-(A50+4.66)/27.2114</f>
        <v>-0.14185231189868952</v>
      </c>
      <c r="D50" s="9">
        <v>707.34315800000002</v>
      </c>
      <c r="E50" s="8">
        <v>-7321.6859394284902</v>
      </c>
      <c r="F50" s="7">
        <f t="shared" si="8"/>
        <v>-199228.14018228443</v>
      </c>
      <c r="G50" s="8">
        <f>(F50+$D$11-2*A29)-(F29+$D$13+$D$12)+$B$3+$D$42-0.0592*$B$20</f>
        <v>1.43422283989097</v>
      </c>
      <c r="H50" s="8">
        <f>($F$45+$D$11-2*A50)-($F$24+$D$13+$D$12)+$B$3</f>
        <v>1.9737984173172525</v>
      </c>
    </row>
    <row r="51" spans="1:28" hidden="1" x14ac:dyDescent="0.25"/>
    <row r="52" spans="1:28" hidden="1" x14ac:dyDescent="0.25"/>
    <row r="53" spans="1:28" hidden="1" x14ac:dyDescent="0.25">
      <c r="A53" s="2" t="s">
        <v>3</v>
      </c>
      <c r="B53" s="2">
        <v>707</v>
      </c>
      <c r="C53" s="5" t="s">
        <v>96</v>
      </c>
      <c r="D53" s="2">
        <v>0.22900000000000001</v>
      </c>
    </row>
    <row r="54" spans="1:28" hidden="1" x14ac:dyDescent="0.25">
      <c r="A54" s="73" t="s">
        <v>6</v>
      </c>
      <c r="B54" s="74"/>
      <c r="C54" s="74"/>
      <c r="D54" s="74"/>
      <c r="E54" s="74"/>
      <c r="F54" s="75"/>
      <c r="G54" s="2" t="s">
        <v>31</v>
      </c>
      <c r="H54" s="2" t="s">
        <v>32</v>
      </c>
      <c r="N54" s="73" t="s">
        <v>6</v>
      </c>
      <c r="O54" s="74"/>
      <c r="P54" s="74"/>
      <c r="Q54" s="74"/>
      <c r="R54" s="74"/>
      <c r="S54" s="75"/>
      <c r="T54" s="2" t="s">
        <v>31</v>
      </c>
      <c r="V54" s="73" t="s">
        <v>6</v>
      </c>
      <c r="W54" s="74"/>
      <c r="X54" s="74"/>
      <c r="Y54" s="74"/>
      <c r="Z54" s="74"/>
      <c r="AA54" s="75"/>
      <c r="AB54" s="2" t="s">
        <v>31</v>
      </c>
    </row>
    <row r="55" spans="1:28" hidden="1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  <c r="H55" s="6" t="s">
        <v>7</v>
      </c>
      <c r="N55" s="4" t="s">
        <v>1</v>
      </c>
      <c r="O55" s="4" t="s">
        <v>100</v>
      </c>
      <c r="P55" s="4" t="s">
        <v>0</v>
      </c>
      <c r="Q55" s="5" t="s">
        <v>2</v>
      </c>
      <c r="R55" s="5" t="s">
        <v>4</v>
      </c>
      <c r="S55" s="4" t="s">
        <v>5</v>
      </c>
      <c r="T55" s="6" t="s">
        <v>7</v>
      </c>
      <c r="V55" s="4" t="s">
        <v>1</v>
      </c>
      <c r="W55" s="4" t="s">
        <v>100</v>
      </c>
      <c r="X55" s="4" t="s">
        <v>0</v>
      </c>
      <c r="Y55" s="5" t="s">
        <v>2</v>
      </c>
      <c r="Z55" s="5" t="s">
        <v>4</v>
      </c>
      <c r="AA55" s="4" t="s">
        <v>5</v>
      </c>
      <c r="AB55" s="6" t="s">
        <v>7</v>
      </c>
    </row>
    <row r="56" spans="1:28" hidden="1" x14ac:dyDescent="0.25">
      <c r="A56" s="7">
        <f>-C56*27.2114-4.66</f>
        <v>6.0703959046199962E-2</v>
      </c>
      <c r="B56" s="7">
        <f>A56-0.0592*$B$20</f>
        <v>1.5039590461999597E-3</v>
      </c>
      <c r="C56" s="1">
        <v>-0.173482583</v>
      </c>
      <c r="D56" s="9">
        <v>707</v>
      </c>
      <c r="E56" s="8">
        <v>-7325.6162906910304</v>
      </c>
      <c r="F56" s="7">
        <f t="shared" ref="F56:F61" si="14">(E56-(D56-$B$53)*C56)*27.2114</f>
        <v>-199340.27513250991</v>
      </c>
      <c r="G56" s="22"/>
      <c r="H56" s="23"/>
      <c r="N56" s="2">
        <v>0.8</v>
      </c>
      <c r="O56" s="7">
        <f t="shared" ref="O56:O58" si="15">N56-0.0592*$B$20</f>
        <v>0.74080000000000001</v>
      </c>
      <c r="P56" s="3">
        <f>-(N56+4.66)/27.2114</f>
        <v>-0.20065119765980433</v>
      </c>
      <c r="Q56" s="9">
        <v>706.77804900000001</v>
      </c>
      <c r="R56" s="8">
        <v>-7325.56902570892</v>
      </c>
      <c r="S56" s="7">
        <f>(R56-(Q56-$B$53)*P56)*27.2114</f>
        <v>-199340.2008386357</v>
      </c>
      <c r="T56" s="8">
        <f>(S56+$D$11/2-1*N56)-(S24+$D$14)+$B$4+$D$53-0.0592*$B$20</f>
        <v>1.2200553893538524E-2</v>
      </c>
      <c r="V56" s="2">
        <v>0.8</v>
      </c>
      <c r="W56" s="7">
        <f t="shared" ref="W56:W58" si="16">V56-0.0592*$B$20</f>
        <v>0.74080000000000001</v>
      </c>
      <c r="X56" s="3">
        <f>-(V56+4.66)/27.2114</f>
        <v>-0.20065119765980433</v>
      </c>
      <c r="Y56" s="9">
        <v>706.88095199999998</v>
      </c>
      <c r="Z56" s="8">
        <v>-7325.5865686919096</v>
      </c>
      <c r="AA56" s="7">
        <f>(Z56-(Y56-$B$53)*X56)*27.2114</f>
        <v>-199340.11635738303</v>
      </c>
      <c r="AB56" s="8">
        <f>(AA56+$D$11/2-1*V56)-(AA24+$D$14)+$B$4+$D$53-0.0592*$B$20</f>
        <v>6.561344190461893E-3</v>
      </c>
    </row>
    <row r="57" spans="1:28" hidden="1" x14ac:dyDescent="0.25">
      <c r="A57" s="2">
        <v>0.8</v>
      </c>
      <c r="B57" s="7">
        <f t="shared" ref="B57:B61" si="17">A57-0.0592*$B$20</f>
        <v>0.74080000000000001</v>
      </c>
      <c r="C57" s="3">
        <f>-(A57+4.66)/27.2114</f>
        <v>-0.20065119765980433</v>
      </c>
      <c r="D57" s="9">
        <v>706.27967000000001</v>
      </c>
      <c r="E57" s="8">
        <v>-7325.4814600789696</v>
      </c>
      <c r="F57" s="7">
        <f t="shared" si="14"/>
        <v>-199340.53920459287</v>
      </c>
      <c r="G57" s="8">
        <f>(F57+$D$11/2-1*A57)-(F25+$D$14)+$B$4+$D$53-0.0592*$B$20</f>
        <v>8.9095552298434411E-2</v>
      </c>
      <c r="H57" s="8">
        <f>($F$56+$D$11/2-1*A57)-($F$24+$D$14)+$B$4</f>
        <v>-0.45787203798419018</v>
      </c>
      <c r="N57" s="1">
        <v>0.4</v>
      </c>
      <c r="O57" s="7">
        <f t="shared" si="15"/>
        <v>0.34079999999999999</v>
      </c>
      <c r="P57" s="3">
        <f>-(N57+4.66)/27.2114</f>
        <v>-0.18595147621952565</v>
      </c>
      <c r="Q57" s="9">
        <v>706.95750799999996</v>
      </c>
      <c r="R57" s="8">
        <v>-7325.6037747068704</v>
      </c>
      <c r="S57" s="7">
        <f t="shared" ref="S57:S58" si="18">(R57-(Q57-$B$53)*P57)*27.2114</f>
        <v>-199340.14956457855</v>
      </c>
      <c r="T57" s="8">
        <f>(S57+$D$11/2-1*N57)-(S25+$D$14)+$B$4+$D$53-0.0592*$B$20</f>
        <v>0.31471686058580717</v>
      </c>
      <c r="V57" s="1">
        <v>0.4</v>
      </c>
      <c r="W57" s="7">
        <f t="shared" si="16"/>
        <v>0.34079999999999999</v>
      </c>
      <c r="X57" s="3">
        <f>-(V57+4.66)/27.2114</f>
        <v>-0.18595147621952565</v>
      </c>
      <c r="Y57" s="9">
        <v>707.01011000000005</v>
      </c>
      <c r="Z57" s="8">
        <v>-7325.6115760971197</v>
      </c>
      <c r="AA57" s="7">
        <f t="shared" ref="AA57:AA58" si="19">(Z57-(Y57-$B$53)*X57)*27.2114</f>
        <v>-199340.09568520918</v>
      </c>
      <c r="AB57" s="8">
        <f>(AA57+$D$11/2-1*V57)-(AA25+$D$14)+$B$4+$D$53-0.0592*$B$20</f>
        <v>0.32852050847509717</v>
      </c>
    </row>
    <row r="58" spans="1:28" hidden="1" x14ac:dyDescent="0.25">
      <c r="A58" s="1">
        <v>0.4</v>
      </c>
      <c r="B58" s="7">
        <f t="shared" si="17"/>
        <v>0.34079999999999999</v>
      </c>
      <c r="C58" s="3">
        <f>-(A58+4.66)/27.2114</f>
        <v>-0.18595147621952565</v>
      </c>
      <c r="D58" s="9">
        <v>706.67159100000003</v>
      </c>
      <c r="E58" s="8">
        <v>-7325.5572196842504</v>
      </c>
      <c r="F58" s="7">
        <f t="shared" si="14"/>
        <v>-199340.32947725602</v>
      </c>
      <c r="G58" s="8">
        <f>(F58+$D$11/2-1*A58)-(F26+$D$14)+$B$4+$D$53-0.0592*$B$20</f>
        <v>0.33139192393651073</v>
      </c>
      <c r="H58" s="8">
        <f>($F$56+$D$11/2-1*A58)-($F$24+$D$14)+$B$4</f>
        <v>-5.7872037990010949E-2</v>
      </c>
      <c r="N58" s="2">
        <v>0</v>
      </c>
      <c r="O58" s="7">
        <f t="shared" si="15"/>
        <v>-5.9200000000000003E-2</v>
      </c>
      <c r="P58" s="3">
        <f>-(N58+4.66)/27.2114</f>
        <v>-0.17125175477924692</v>
      </c>
      <c r="Q58" s="9">
        <v>707.13652300000001</v>
      </c>
      <c r="R58" s="8">
        <v>-7325.6357614102899</v>
      </c>
      <c r="S58" s="7">
        <f t="shared" si="18"/>
        <v>-199340.16876085996</v>
      </c>
      <c r="T58" s="8">
        <f>(S58+$D$11/2-1*N58)-(S26+$D$14)+$B$4+$D$53-0.0592*$B$20</f>
        <v>0.61939005459794616</v>
      </c>
      <c r="V58" s="2">
        <v>0</v>
      </c>
      <c r="W58" s="7">
        <f t="shared" si="16"/>
        <v>-5.9200000000000003E-2</v>
      </c>
      <c r="X58" s="3">
        <f>-(V58+4.66)/27.2114</f>
        <v>-0.17125175477924692</v>
      </c>
      <c r="Y58" s="9">
        <v>707.13944200000003</v>
      </c>
      <c r="Z58" s="8">
        <v>-7325.6346546882996</v>
      </c>
      <c r="AA58" s="7">
        <f t="shared" si="19"/>
        <v>-199340.1250428652</v>
      </c>
      <c r="AB58" s="8">
        <f>(AA58+$D$11/2-1*V58)-(AA26+$D$14)+$B$4+$D$53-0.0592*$B$20</f>
        <v>0.65115556425667209</v>
      </c>
    </row>
    <row r="59" spans="1:28" hidden="1" x14ac:dyDescent="0.25">
      <c r="A59" s="2">
        <v>0</v>
      </c>
      <c r="B59" s="7">
        <f t="shared" si="17"/>
        <v>-5.9200000000000003E-2</v>
      </c>
      <c r="C59" s="3">
        <f>-(A59+4.66)/27.2114</f>
        <v>-0.17125175477924692</v>
      </c>
      <c r="D59" s="9">
        <v>707.05395999999996</v>
      </c>
      <c r="E59" s="8">
        <v>-7325.6255660557999</v>
      </c>
      <c r="F59" s="7">
        <f t="shared" si="14"/>
        <v>-199340.27607457081</v>
      </c>
      <c r="G59" s="8">
        <f>(F59+$D$11/2-1*A59)-(F27+$D$14)+$B$4+$D$53-0.0592*$B$20</f>
        <v>0.58024235226116916</v>
      </c>
      <c r="H59" s="8">
        <f>($F$56+$D$11/2-1*A59)-($F$24+$D$14)+$B$4</f>
        <v>0.34212796200416828</v>
      </c>
    </row>
    <row r="60" spans="1:28" hidden="1" x14ac:dyDescent="0.25">
      <c r="A60" s="1">
        <v>-0.4</v>
      </c>
      <c r="B60" s="7">
        <f t="shared" si="17"/>
        <v>-0.45920000000000005</v>
      </c>
      <c r="C60" s="3">
        <f>-(A60+4.66)/27.2114</f>
        <v>-0.15655203333896822</v>
      </c>
      <c r="D60" s="9">
        <v>707.41885500000001</v>
      </c>
      <c r="E60" s="8">
        <v>-7325.6854356696203</v>
      </c>
      <c r="F60" s="7">
        <f t="shared" si="14"/>
        <v>-199340.37234188031</v>
      </c>
      <c r="G60" s="8">
        <f>(F60+$D$11/2-1*A60)-(F28+$D$14)+$B$4+$D$53-0.0592*$B$20</f>
        <v>0.83001688194713397</v>
      </c>
      <c r="H60" s="8">
        <f>($F$56+$D$11/2-1*A60)-($F$24+$D$14)+$B$4</f>
        <v>0.74212796199834752</v>
      </c>
    </row>
    <row r="61" spans="1:28" hidden="1" x14ac:dyDescent="0.25">
      <c r="A61" s="2">
        <v>-0.8</v>
      </c>
      <c r="B61" s="7">
        <f t="shared" si="17"/>
        <v>-0.85920000000000007</v>
      </c>
      <c r="C61" s="3">
        <f>-(A61+4.66)/27.2114</f>
        <v>-0.14185231189868952</v>
      </c>
      <c r="D61" s="9">
        <v>707.84213499999998</v>
      </c>
      <c r="E61" s="8">
        <v>-7325.7485564400304</v>
      </c>
      <c r="F61" s="7">
        <f t="shared" si="14"/>
        <v>-199340.62362761225</v>
      </c>
      <c r="G61" s="8">
        <f>(F61+$D$11/2-1*A61)-(F29+$D$14)+$B$4+$D$53-0.0592*$B$20</f>
        <v>1.0871456903908014</v>
      </c>
      <c r="H61" s="8">
        <f>($F$56+$D$11/2-1*A61)-($F$24+$D$14)+$B$4</f>
        <v>1.1421279619925269</v>
      </c>
    </row>
    <row r="62" spans="1:28" hidden="1" x14ac:dyDescent="0.25"/>
    <row r="63" spans="1:28" hidden="1" x14ac:dyDescent="0.25"/>
    <row r="64" spans="1:28" hidden="1" x14ac:dyDescent="0.25">
      <c r="A64" s="2" t="s">
        <v>3</v>
      </c>
      <c r="B64" s="2">
        <v>701</v>
      </c>
      <c r="C64" s="5" t="s">
        <v>96</v>
      </c>
      <c r="D64" s="2">
        <v>0.14699999999999999</v>
      </c>
    </row>
    <row r="65" spans="1:28" hidden="1" x14ac:dyDescent="0.25">
      <c r="A65" s="73" t="s">
        <v>78</v>
      </c>
      <c r="B65" s="74"/>
      <c r="C65" s="74"/>
      <c r="D65" s="74"/>
      <c r="E65" s="74"/>
      <c r="F65" s="75"/>
      <c r="G65" s="2" t="s">
        <v>31</v>
      </c>
      <c r="H65" s="2" t="s">
        <v>32</v>
      </c>
      <c r="N65" s="73" t="s">
        <v>78</v>
      </c>
      <c r="O65" s="74"/>
      <c r="P65" s="74"/>
      <c r="Q65" s="74"/>
      <c r="R65" s="74"/>
      <c r="S65" s="75"/>
      <c r="T65" s="2" t="s">
        <v>31</v>
      </c>
      <c r="V65" s="73" t="s">
        <v>78</v>
      </c>
      <c r="W65" s="74"/>
      <c r="X65" s="74"/>
      <c r="Y65" s="74"/>
      <c r="Z65" s="74"/>
      <c r="AA65" s="75"/>
      <c r="AB65" s="2" t="s">
        <v>31</v>
      </c>
    </row>
    <row r="66" spans="1:28" hidden="1" x14ac:dyDescent="0.25">
      <c r="A66" s="4" t="s">
        <v>1</v>
      </c>
      <c r="B66" s="4" t="s">
        <v>100</v>
      </c>
      <c r="C66" s="4" t="s">
        <v>0</v>
      </c>
      <c r="D66" s="5" t="s">
        <v>2</v>
      </c>
      <c r="E66" s="5" t="s">
        <v>4</v>
      </c>
      <c r="F66" s="4" t="s">
        <v>5</v>
      </c>
      <c r="G66" s="6" t="s">
        <v>7</v>
      </c>
      <c r="H66" s="6" t="s">
        <v>7</v>
      </c>
      <c r="N66" s="4" t="s">
        <v>1</v>
      </c>
      <c r="O66" s="4" t="s">
        <v>100</v>
      </c>
      <c r="P66" s="4" t="s">
        <v>0</v>
      </c>
      <c r="Q66" s="5" t="s">
        <v>2</v>
      </c>
      <c r="R66" s="5" t="s">
        <v>4</v>
      </c>
      <c r="S66" s="4" t="s">
        <v>5</v>
      </c>
      <c r="T66" s="6" t="s">
        <v>7</v>
      </c>
      <c r="V66" s="4" t="s">
        <v>1</v>
      </c>
      <c r="W66" s="4" t="s">
        <v>100</v>
      </c>
      <c r="X66" s="4" t="s">
        <v>0</v>
      </c>
      <c r="Y66" s="5" t="s">
        <v>2</v>
      </c>
      <c r="Z66" s="5" t="s">
        <v>4</v>
      </c>
      <c r="AA66" s="4" t="s">
        <v>5</v>
      </c>
      <c r="AB66" s="6" t="s">
        <v>7</v>
      </c>
    </row>
    <row r="67" spans="1:28" hidden="1" x14ac:dyDescent="0.25">
      <c r="A67" s="7">
        <f>-C67*27.2114-4.66</f>
        <v>-7.8199407816599731E-2</v>
      </c>
      <c r="B67" s="7">
        <f>A67-0.0592*$B$20</f>
        <v>-0.13739940781659973</v>
      </c>
      <c r="C67" s="1">
        <v>-0.16837798100000001</v>
      </c>
      <c r="D67" s="9">
        <v>701</v>
      </c>
      <c r="E67" s="8">
        <v>-7309.5620369067001</v>
      </c>
      <c r="F67" s="7">
        <f>(E67-(D67-$B$64)*C67)*27.2114</f>
        <v>-198903.41641108299</v>
      </c>
      <c r="G67" s="22"/>
      <c r="H67" s="23"/>
      <c r="N67" s="2">
        <v>0.8</v>
      </c>
      <c r="O67" s="7">
        <f t="shared" ref="O67:O69" si="20">N67-0.0592*$B$20</f>
        <v>0.74080000000000001</v>
      </c>
      <c r="P67" s="3">
        <f>-(N67+4.66)/27.2114</f>
        <v>-0.20065119765980433</v>
      </c>
      <c r="Q67" s="9">
        <v>700.69771900000001</v>
      </c>
      <c r="R67" s="8">
        <v>-7309.5026182913398</v>
      </c>
      <c r="S67" s="7">
        <f>(R67-(Q67-$B$64)*P67)*27.2114</f>
        <v>-198903.45000163297</v>
      </c>
      <c r="T67" s="8">
        <f>(S67+$D$11/2-1*N67)-(S24+$D$15)+$B$5+$D$64-0.0592*$B$20</f>
        <v>-0.61474611608940744</v>
      </c>
      <c r="V67" s="2">
        <v>0.8</v>
      </c>
      <c r="W67" s="7">
        <f t="shared" ref="W67:W69" si="21">V67-0.0592*$B$20</f>
        <v>0.74080000000000001</v>
      </c>
      <c r="X67" s="3">
        <f>-(V67+4.66)/27.2114</f>
        <v>-0.20065119765980433</v>
      </c>
      <c r="Y67" s="9">
        <v>700.81079699999998</v>
      </c>
      <c r="Z67" s="8">
        <v>-7309.5226199375402</v>
      </c>
      <c r="AA67" s="7">
        <f>(Z67-(Y67-$B$64)*X67)*27.2114</f>
        <v>-198903.3768685484</v>
      </c>
      <c r="AB67" s="8">
        <f>(AA67+$D$11/2-1*V67)-(AA24+$D$15)+$B$5+$D$64-0.0592*$B$20</f>
        <v>-0.63173349389620692</v>
      </c>
    </row>
    <row r="68" spans="1:28" hidden="1" x14ac:dyDescent="0.25">
      <c r="A68" s="2">
        <v>0.8</v>
      </c>
      <c r="B68" s="7">
        <f t="shared" ref="B68:B72" si="22">A68-0.0592*$B$20</f>
        <v>0.74080000000000001</v>
      </c>
      <c r="C68" s="3">
        <f>-(A68+4.66)/27.2114</f>
        <v>-0.20065119765980433</v>
      </c>
      <c r="D68" s="9">
        <v>700.18559900000002</v>
      </c>
      <c r="E68" s="8">
        <v>-7309.4115882986198</v>
      </c>
      <c r="F68" s="7">
        <f>(E68-(D68-$B$64)*C68)*27.2114</f>
        <v>-198903.76912328906</v>
      </c>
      <c r="G68" s="8">
        <f>(F68+$D$11/2-1*A68)-(F25+$D$15)+$B$5+$D$64-0.0592*$B$20</f>
        <v>-0.51860681660986141</v>
      </c>
      <c r="H68" s="8">
        <f>($F$67+$D$11/2-1*A68)-($F$24+$D$15)+$B$5</f>
        <v>-0.89493428378152295</v>
      </c>
      <c r="N68" s="1">
        <v>0.4</v>
      </c>
      <c r="O68" s="7">
        <f t="shared" si="20"/>
        <v>0.34079999999999999</v>
      </c>
      <c r="P68" s="3">
        <f>-(N68+4.66)/27.2114</f>
        <v>-0.18595147621952565</v>
      </c>
      <c r="Q68" s="9">
        <v>700.87244599999997</v>
      </c>
      <c r="R68" s="8">
        <v>-7309.5363846887203</v>
      </c>
      <c r="S68" s="7">
        <f t="shared" ref="S68:S69" si="23">(R68-(Q68-$B$64)*P68)*27.2114</f>
        <v>-198903.36380155865</v>
      </c>
      <c r="T68" s="8">
        <f>(S68+$D$11/2-1*N68)-(S25+$D$15)+$B$5+$D$64-0.0592*$B$20</f>
        <v>-0.27730379223288604</v>
      </c>
      <c r="V68" s="1">
        <v>0.4</v>
      </c>
      <c r="W68" s="7">
        <f t="shared" si="21"/>
        <v>0.34079999999999999</v>
      </c>
      <c r="X68" s="3">
        <f>-(V68+4.66)/27.2114</f>
        <v>-0.18595147621952565</v>
      </c>
      <c r="Y68" s="9">
        <v>700.93541600000003</v>
      </c>
      <c r="Z68" s="8">
        <v>-7309.5466969280296</v>
      </c>
      <c r="AA68" s="7">
        <f t="shared" ref="AA68:AA69" si="24">(Z68-(Y68-$B$64)*X68)*27.2114</f>
        <v>-198903.3257838274</v>
      </c>
      <c r="AB68" s="8">
        <f>(AA68+$D$11/2-1*V68)-(AA25+$D$15)+$B$5+$D$64-0.0592*$B$20</f>
        <v>-0.27936178246676557</v>
      </c>
    </row>
    <row r="69" spans="1:28" hidden="1" x14ac:dyDescent="0.25">
      <c r="A69" s="1">
        <v>0.4</v>
      </c>
      <c r="B69" s="7">
        <f t="shared" si="22"/>
        <v>0.34079999999999999</v>
      </c>
      <c r="C69" s="3">
        <f>-(A69+4.66)/27.2114</f>
        <v>-0.18595147621952565</v>
      </c>
      <c r="D69" s="9">
        <v>700.56437200000005</v>
      </c>
      <c r="E69" s="8">
        <v>-7309.4848359403904</v>
      </c>
      <c r="F69" s="7">
        <f>(E69-(D69-$B$64)*C69)*27.2114</f>
        <v>-198903.51994238835</v>
      </c>
      <c r="G69" s="8">
        <f>(F69+$D$11/2-1*A69)-(F26+$D$15)+$B$5+$D$64-0.0592*$B$20</f>
        <v>-0.23685688110930481</v>
      </c>
      <c r="H69" s="8">
        <f>($F$67+$D$11/2-1*A69)-($F$24+$D$15)+$B$5</f>
        <v>-0.49493428378734372</v>
      </c>
      <c r="N69" s="2">
        <v>0</v>
      </c>
      <c r="O69" s="7">
        <f t="shared" si="20"/>
        <v>-5.9200000000000003E-2</v>
      </c>
      <c r="P69" s="3">
        <f>-(N69+4.66)/27.2114</f>
        <v>-0.17125175477924692</v>
      </c>
      <c r="Q69" s="9">
        <v>701.04442400000005</v>
      </c>
      <c r="R69" s="8">
        <v>-7309.5671200848601</v>
      </c>
      <c r="S69" s="7">
        <f t="shared" si="23"/>
        <v>-198903.34771563718</v>
      </c>
      <c r="T69" s="8">
        <f>(S69+$D$11/2-1*N69)-(S26+$D$15)+$B$5+$D$64-0.0592*$B$20</f>
        <v>6.2651604659151205E-2</v>
      </c>
      <c r="V69" s="2">
        <v>0</v>
      </c>
      <c r="W69" s="7">
        <f t="shared" si="21"/>
        <v>-5.9200000000000003E-2</v>
      </c>
      <c r="X69" s="3">
        <f>-(V69+4.66)/27.2114</f>
        <v>-0.17125175477924692</v>
      </c>
      <c r="Y69" s="9">
        <v>701.05928600000004</v>
      </c>
      <c r="Z69" s="8">
        <v>-7309.5688312808297</v>
      </c>
      <c r="AA69" s="7">
        <f t="shared" si="24"/>
        <v>-198903.32502275519</v>
      </c>
      <c r="AB69" s="8">
        <f>(AA69+$D$11/2-1*V69)-(AA26+$D$15)+$B$5+$D$64-0.0592*$B$20</f>
        <v>7.3392001545982355E-2</v>
      </c>
    </row>
    <row r="70" spans="1:28" hidden="1" x14ac:dyDescent="0.25">
      <c r="A70" s="2">
        <v>0</v>
      </c>
      <c r="B70" s="7">
        <f t="shared" si="22"/>
        <v>-5.9200000000000003E-2</v>
      </c>
      <c r="C70" s="3">
        <f>-(A70+4.66)/27.2114</f>
        <v>-0.17125175477924692</v>
      </c>
      <c r="D70" s="9">
        <v>700.93054700000005</v>
      </c>
      <c r="E70" s="8">
        <v>-7309.5502448954903</v>
      </c>
      <c r="F70" s="7">
        <f t="shared" ref="F70:F72" si="25">(E70-(D70-$B$64)*C70)*27.2114</f>
        <v>-198903.41918492914</v>
      </c>
      <c r="G70" s="8">
        <f>(F70+$D$11/2-1*A70)-(F27+$D$15)+$B$5+$D$64-0.0592*$B$20</f>
        <v>5.9348321211984301E-2</v>
      </c>
      <c r="H70" s="8">
        <f>($F$67+$D$11/2-1*A70)-($F$24+$D$15)+$B$5</f>
        <v>-9.4934283793164487E-2</v>
      </c>
    </row>
    <row r="71" spans="1:28" hidden="1" x14ac:dyDescent="0.25">
      <c r="A71" s="1">
        <v>-0.4</v>
      </c>
      <c r="B71" s="7">
        <f t="shared" si="22"/>
        <v>-0.45920000000000005</v>
      </c>
      <c r="C71" s="3">
        <f>-(A71+4.66)/27.2114</f>
        <v>-0.15655203333896822</v>
      </c>
      <c r="D71" s="9">
        <v>701.29575</v>
      </c>
      <c r="E71" s="8">
        <v>-7309.6101460899299</v>
      </c>
      <c r="F71" s="7">
        <f t="shared" si="25"/>
        <v>-198903.46563431152</v>
      </c>
      <c r="G71" s="8">
        <f>(F71+$D$11/2-1*A71)-(F28+$D$15)+$B$5+$D$64-0.0592*$B$20</f>
        <v>0.35894077802146218</v>
      </c>
      <c r="H71" s="8">
        <f>($F$67+$D$11/2-1*A71)-($F$24+$D$15)+$B$5</f>
        <v>0.30506571620101475</v>
      </c>
    </row>
    <row r="72" spans="1:28" hidden="1" x14ac:dyDescent="0.25">
      <c r="A72" s="2">
        <v>-0.8</v>
      </c>
      <c r="B72" s="7">
        <f t="shared" si="22"/>
        <v>-0.85920000000000007</v>
      </c>
      <c r="C72" s="3">
        <f>-(A72+4.66)/27.2114</f>
        <v>-0.14185231189868952</v>
      </c>
      <c r="D72" s="9">
        <v>701.730009</v>
      </c>
      <c r="E72" s="8">
        <v>-7309.67481531877</v>
      </c>
      <c r="F72" s="7">
        <f t="shared" si="25"/>
        <v>-198903.66743482518</v>
      </c>
      <c r="G72" s="8">
        <f>(F72+$D$11/2-1*A72)-(F29+$D$15)+$B$5+$D$64-0.0592*$B$20</f>
        <v>0.66555480473976947</v>
      </c>
      <c r="H72" s="8">
        <f>($F$67+$D$11/2-1*A72)-($F$24+$D$15)+$B$5</f>
        <v>0.70506571619519398</v>
      </c>
    </row>
    <row r="73" spans="1:28" hidden="1" x14ac:dyDescent="0.25"/>
    <row r="74" spans="1:28" hidden="1" x14ac:dyDescent="0.25"/>
    <row r="75" spans="1:28" hidden="1" x14ac:dyDescent="0.25">
      <c r="A75" s="25" t="s">
        <v>105</v>
      </c>
      <c r="B75" s="25"/>
    </row>
    <row r="76" spans="1:28" hidden="1" x14ac:dyDescent="0.25">
      <c r="B76" s="73" t="s">
        <v>110</v>
      </c>
      <c r="C76" s="74"/>
      <c r="D76" s="74"/>
      <c r="E76" s="74"/>
      <c r="F76" s="74"/>
      <c r="G76" s="75"/>
    </row>
    <row r="77" spans="1:28" hidden="1" x14ac:dyDescent="0.25">
      <c r="B77" s="4" t="s">
        <v>1</v>
      </c>
      <c r="C77" s="4" t="s">
        <v>3</v>
      </c>
      <c r="D77" s="4" t="s">
        <v>0</v>
      </c>
      <c r="E77" s="5" t="s">
        <v>2</v>
      </c>
      <c r="F77" s="5" t="s">
        <v>4</v>
      </c>
      <c r="G77" s="4" t="s">
        <v>5</v>
      </c>
      <c r="H77" s="6" t="s">
        <v>7</v>
      </c>
    </row>
    <row r="78" spans="1:28" hidden="1" x14ac:dyDescent="0.25">
      <c r="A78" s="5" t="s">
        <v>106</v>
      </c>
      <c r="B78" s="32">
        <v>0.8</v>
      </c>
      <c r="C78" s="13">
        <v>715</v>
      </c>
      <c r="D78" s="3">
        <f>-(B78+4.66)/27.2114</f>
        <v>-0.20065119765980433</v>
      </c>
      <c r="E78" s="9">
        <v>714.02822600000002</v>
      </c>
      <c r="F78" s="8">
        <v>-7339.2228358967504</v>
      </c>
      <c r="G78" s="7">
        <f>(F78-(E78-C78)*D78)*27.2114</f>
        <v>-199715.83416276085</v>
      </c>
      <c r="H78" s="9">
        <f>G78-F35-B84</f>
        <v>-0.13791630673966893</v>
      </c>
      <c r="L78" t="s">
        <v>141</v>
      </c>
    </row>
    <row r="79" spans="1:28" hidden="1" x14ac:dyDescent="0.25">
      <c r="A79" s="33" t="s">
        <v>107</v>
      </c>
      <c r="B79" s="34">
        <v>0.8</v>
      </c>
      <c r="C79" s="35">
        <v>714</v>
      </c>
      <c r="D79" s="36">
        <f>-(B79+4.66)/27.2114</f>
        <v>-0.20065119765980433</v>
      </c>
      <c r="E79" s="37">
        <v>713.68973800000003</v>
      </c>
      <c r="F79" s="38">
        <v>-7338.7086546055298</v>
      </c>
      <c r="G79" s="39">
        <f>(F79-(E79-C79)*D79)*27.2114</f>
        <v>-199698.23071445292</v>
      </c>
      <c r="H79" s="37">
        <f>G79-F46-B84</f>
        <v>1.6876716159288208E-2</v>
      </c>
    </row>
    <row r="80" spans="1:28" hidden="1" x14ac:dyDescent="0.25">
      <c r="A80" s="33" t="s">
        <v>108</v>
      </c>
      <c r="B80" s="34">
        <v>0.8</v>
      </c>
      <c r="C80" s="39">
        <v>715</v>
      </c>
      <c r="D80" s="36">
        <f t="shared" ref="D80:D81" si="26">-(B80+4.66)/27.2114</f>
        <v>-0.20065119765980433</v>
      </c>
      <c r="E80" s="37">
        <v>714.342175</v>
      </c>
      <c r="F80" s="38">
        <v>-7342.7978921265803</v>
      </c>
      <c r="G80" s="39">
        <f>(F80-(E80-C80)*D80)*27.2114</f>
        <v>-199811.40228631324</v>
      </c>
      <c r="H80" s="37">
        <f>G80-F57-B84</f>
        <v>8.8793816008376325E-2</v>
      </c>
    </row>
    <row r="81" spans="1:8" hidden="1" x14ac:dyDescent="0.25">
      <c r="A81" s="33" t="s">
        <v>109</v>
      </c>
      <c r="B81" s="34">
        <v>0.8</v>
      </c>
      <c r="C81" s="39">
        <v>709</v>
      </c>
      <c r="D81" s="36">
        <f t="shared" si="26"/>
        <v>-0.20065119765980433</v>
      </c>
      <c r="E81" s="37">
        <v>708.18532500000003</v>
      </c>
      <c r="F81" s="38">
        <v>-7326.7155274598599</v>
      </c>
      <c r="G81" s="39">
        <f>(F81-(E81-C81)*D81)*27.2114</f>
        <v>-199374.63502942125</v>
      </c>
      <c r="H81" s="37">
        <f>G81-F68-B84</f>
        <v>8.5969404193576793E-2</v>
      </c>
    </row>
    <row r="82" spans="1:8" hidden="1" x14ac:dyDescent="0.25"/>
    <row r="83" spans="1:8" hidden="1" x14ac:dyDescent="0.25">
      <c r="A83" s="15"/>
      <c r="B83" s="5" t="s">
        <v>112</v>
      </c>
    </row>
    <row r="84" spans="1:8" hidden="1" x14ac:dyDescent="0.25">
      <c r="A84" s="5" t="s">
        <v>111</v>
      </c>
      <c r="B84" s="7">
        <f>-17.3071534554038*27.2114</f>
        <v>-470.95187553637498</v>
      </c>
    </row>
    <row r="85" spans="1:8" hidden="1" x14ac:dyDescent="0.25"/>
    <row r="86" spans="1:8" hidden="1" x14ac:dyDescent="0.25"/>
    <row r="87" spans="1:8" hidden="1" x14ac:dyDescent="0.25">
      <c r="A87" s="5" t="s">
        <v>3</v>
      </c>
      <c r="B87" s="2">
        <v>715</v>
      </c>
    </row>
    <row r="88" spans="1:8" hidden="1" x14ac:dyDescent="0.25">
      <c r="A88" s="73" t="s">
        <v>113</v>
      </c>
      <c r="B88" s="74"/>
      <c r="C88" s="74"/>
      <c r="D88" s="74"/>
      <c r="E88" s="74"/>
      <c r="F88" s="75"/>
      <c r="G88" s="2" t="s">
        <v>31</v>
      </c>
    </row>
    <row r="89" spans="1:8" hidden="1" x14ac:dyDescent="0.25">
      <c r="A89" s="4" t="s">
        <v>1</v>
      </c>
      <c r="B89" s="4" t="s">
        <v>100</v>
      </c>
      <c r="C89" s="4" t="s">
        <v>0</v>
      </c>
      <c r="D89" s="5" t="s">
        <v>2</v>
      </c>
      <c r="E89" s="5" t="s">
        <v>4</v>
      </c>
      <c r="F89" s="4" t="s">
        <v>5</v>
      </c>
      <c r="G89" s="6" t="s">
        <v>7</v>
      </c>
    </row>
    <row r="90" spans="1:8" hidden="1" x14ac:dyDescent="0.25">
      <c r="A90" s="2">
        <v>0.8</v>
      </c>
      <c r="B90" s="7">
        <f t="shared" ref="B90:B92" si="27">A90-0.0592*$B$20</f>
        <v>0.74080000000000001</v>
      </c>
      <c r="C90" s="3">
        <f>-(A90+4.66)/27.2114</f>
        <v>-0.20065119765980433</v>
      </c>
      <c r="D90" s="9">
        <v>714.02822600000002</v>
      </c>
      <c r="E90" s="8">
        <v>-7339.2228358967504</v>
      </c>
      <c r="F90" s="7">
        <f>(E90-(D90-$B$87)*C90)*27.2114</f>
        <v>-199715.83416276085</v>
      </c>
      <c r="G90" s="8">
        <f>(F90+$D$11/2-1*A25)-(F25+$D$13+$D$12)+$B$2+$D$31-0.0592*$B$20-$B$84</f>
        <v>-0.23306271293239433</v>
      </c>
      <c r="H90" s="40"/>
    </row>
    <row r="91" spans="1:8" hidden="1" x14ac:dyDescent="0.25">
      <c r="A91" s="2">
        <v>0</v>
      </c>
      <c r="B91" s="7">
        <f t="shared" si="27"/>
        <v>-5.9200000000000003E-2</v>
      </c>
      <c r="C91" s="3">
        <f>-(A91+4.66)/27.2114</f>
        <v>-0.17125175477924692</v>
      </c>
      <c r="D91" s="9">
        <v>714.73419799999999</v>
      </c>
      <c r="E91" s="8">
        <v>-7339.3543465059001</v>
      </c>
      <c r="F91" s="7">
        <f t="shared" ref="F91:F92" si="28">(E91-(D91-$B$87)*C91)*27.2114</f>
        <v>-199715.34550183066</v>
      </c>
      <c r="G91" s="8">
        <f>(F91+$D$11/2-1*A26)-(F26+$D$13+$D$12)+$B$2+$D$31-0.0592*$B$20-$B$84</f>
        <v>0.28816725203961369</v>
      </c>
    </row>
    <row r="92" spans="1:8" hidden="1" x14ac:dyDescent="0.25">
      <c r="A92" s="2">
        <v>-0.8</v>
      </c>
      <c r="B92" s="7">
        <f t="shared" si="27"/>
        <v>-0.85920000000000007</v>
      </c>
      <c r="C92" s="3">
        <f>-(A92+4.66)/27.2114</f>
        <v>-0.14185231189868952</v>
      </c>
      <c r="D92" s="9">
        <v>715.48739799999998</v>
      </c>
      <c r="E92" s="8">
        <v>-7339.4715735379996</v>
      </c>
      <c r="F92" s="7">
        <f t="shared" si="28"/>
        <v>-199715.41541989194</v>
      </c>
      <c r="G92" s="8">
        <f>(F92+$D$11/2-1*A27)-(F27+$D$13+$D$12)+$B$2+$D$31-0.0592*$B$20-$B$84</f>
        <v>0.41369693386678819</v>
      </c>
    </row>
    <row r="93" spans="1:8" hidden="1" x14ac:dyDescent="0.25"/>
    <row r="94" spans="1:8" hidden="1" x14ac:dyDescent="0.25"/>
    <row r="95" spans="1:8" ht="18.75" x14ac:dyDescent="0.3">
      <c r="B95" s="76" t="s">
        <v>134</v>
      </c>
      <c r="C95" s="76"/>
      <c r="D95" s="76"/>
      <c r="E95" s="76"/>
    </row>
    <row r="97" spans="1:10" x14ac:dyDescent="0.25">
      <c r="B97" s="5" t="s">
        <v>4</v>
      </c>
      <c r="C97" s="5" t="s">
        <v>96</v>
      </c>
      <c r="D97" s="5" t="s">
        <v>11</v>
      </c>
      <c r="H97" s="5" t="s">
        <v>4</v>
      </c>
      <c r="I97" s="5" t="s">
        <v>96</v>
      </c>
      <c r="J97" s="5" t="s">
        <v>11</v>
      </c>
    </row>
    <row r="98" spans="1:10" x14ac:dyDescent="0.25">
      <c r="A98" s="5" t="s">
        <v>10</v>
      </c>
      <c r="B98" s="10">
        <v>-1.1651204227085801</v>
      </c>
      <c r="C98" s="8">
        <v>-4.2000000000000003E-2</v>
      </c>
      <c r="D98" s="2">
        <f>B98*27.2114+C98</f>
        <v>-31.746557870492257</v>
      </c>
      <c r="G98" s="5" t="s">
        <v>191</v>
      </c>
      <c r="H98" s="10">
        <v>-30.0430223619964</v>
      </c>
      <c r="I98" s="8">
        <v>-0.56100000000000005</v>
      </c>
      <c r="J98" s="2">
        <f>H98*27.2114+I98</f>
        <v>-818.07369870122886</v>
      </c>
    </row>
    <row r="99" spans="1:10" x14ac:dyDescent="0.25">
      <c r="A99" s="5" t="s">
        <v>29</v>
      </c>
      <c r="B99" s="10">
        <v>-37.8808477704033</v>
      </c>
      <c r="C99" s="8">
        <v>-0.251</v>
      </c>
      <c r="D99" s="2">
        <f>B99*27.2114+C99+'Exp. thermo'!$G$5/96.49</f>
        <v>-1030.9598193813147</v>
      </c>
      <c r="G99" s="5" t="s">
        <v>200</v>
      </c>
      <c r="H99" s="10">
        <v>-42.413044169722198</v>
      </c>
      <c r="I99" s="8">
        <v>-0.496</v>
      </c>
      <c r="J99" s="2">
        <f>H99*27.2114+I99 +'Exp. thermo'!$G$5/96.49</f>
        <v>-1154.5322284817412</v>
      </c>
    </row>
    <row r="100" spans="1:10" x14ac:dyDescent="0.25">
      <c r="A100" s="5" t="s">
        <v>30</v>
      </c>
      <c r="B100" s="10">
        <v>-17.268355960477901</v>
      </c>
      <c r="C100" s="8">
        <v>9.2999999999999999E-2</v>
      </c>
      <c r="D100" s="2">
        <f>B100*27.2114+C100+'Exp. thermo'!$G$5/96.49</f>
        <v>-469.72105974471066</v>
      </c>
      <c r="G100" s="5" t="s">
        <v>253</v>
      </c>
      <c r="H100" s="10">
        <v>-8.3935110948132401</v>
      </c>
      <c r="I100" s="8">
        <v>5.6000000000000001E-2</v>
      </c>
      <c r="J100" s="2">
        <f>H100*27.2114+I100 +'Exp. thermo'!$G$5/96.49</f>
        <v>-228.26110616716332</v>
      </c>
    </row>
    <row r="101" spans="1:10" x14ac:dyDescent="0.25">
      <c r="A101" s="5" t="s">
        <v>9</v>
      </c>
      <c r="B101" s="10">
        <v>-58.677193166200901</v>
      </c>
      <c r="C101" s="8">
        <v>-1.0999999999999999E-2</v>
      </c>
      <c r="D101" s="2">
        <f>B101*27.2114+C101+'Exp. thermo'!$G$5/96.49</f>
        <v>-1596.6174924845216</v>
      </c>
      <c r="G101" s="5" t="s">
        <v>48</v>
      </c>
      <c r="H101" s="10">
        <v>-45.958970677356099</v>
      </c>
      <c r="I101" s="8">
        <v>0.88400000000000001</v>
      </c>
      <c r="J101" s="2">
        <f>H101*27.2114+I101+'Exp. thermo'!$G$5/96.49</f>
        <v>-1249.64185305157</v>
      </c>
    </row>
    <row r="102" spans="1:10" x14ac:dyDescent="0.25">
      <c r="A102" s="5" t="s">
        <v>49</v>
      </c>
      <c r="B102" s="10">
        <v>-42.632854517177599</v>
      </c>
      <c r="C102" s="8">
        <v>-0.126</v>
      </c>
      <c r="D102" s="2">
        <f>B102*27.2114+C102+'Exp. thermo'!$G$5/96.49</f>
        <v>-1160.1435757704887</v>
      </c>
      <c r="G102" s="5" t="s">
        <v>231</v>
      </c>
      <c r="H102" s="10">
        <v>-89.257170769677202</v>
      </c>
      <c r="I102" s="8">
        <v>-3.2000000000000001E-2</v>
      </c>
      <c r="J102" s="2">
        <f>H102*27.2114+I102+'Exp. thermo'!$G$5/96.49</f>
        <v>-2428.7624950437571</v>
      </c>
    </row>
    <row r="104" spans="1:10" x14ac:dyDescent="0.25">
      <c r="A104" s="25" t="s">
        <v>77</v>
      </c>
    </row>
    <row r="105" spans="1:10" x14ac:dyDescent="0.25">
      <c r="A105" s="20" t="s">
        <v>12</v>
      </c>
      <c r="B105" s="21">
        <v>0</v>
      </c>
    </row>
    <row r="106" spans="1:10" x14ac:dyDescent="0.25">
      <c r="A106" s="2" t="s">
        <v>3</v>
      </c>
      <c r="B106" s="2">
        <v>684</v>
      </c>
    </row>
    <row r="107" spans="1:10" x14ac:dyDescent="0.25">
      <c r="A107" s="73" t="s">
        <v>142</v>
      </c>
      <c r="B107" s="74"/>
      <c r="C107" s="74"/>
      <c r="D107" s="74"/>
      <c r="E107" s="75"/>
    </row>
    <row r="108" spans="1:10" x14ac:dyDescent="0.25">
      <c r="A108" s="4" t="s">
        <v>1</v>
      </c>
      <c r="B108" s="4" t="s">
        <v>100</v>
      </c>
      <c r="C108" s="4" t="s">
        <v>0</v>
      </c>
      <c r="D108" s="5" t="s">
        <v>2</v>
      </c>
      <c r="E108" s="5" t="s">
        <v>4</v>
      </c>
      <c r="F108" s="4" t="s">
        <v>5</v>
      </c>
    </row>
    <row r="109" spans="1:10" x14ac:dyDescent="0.25">
      <c r="A109" s="7">
        <f>-C109*27.2114-4.66</f>
        <v>-0.10093058686360035</v>
      </c>
      <c r="B109" s="7">
        <f>A109-0.0592*$B$129</f>
        <v>-9.7425946863600343E-2</v>
      </c>
      <c r="C109" s="3">
        <v>-0.167542626</v>
      </c>
      <c r="D109" s="9">
        <v>684</v>
      </c>
      <c r="E109" s="8">
        <v>-7266.5885996234501</v>
      </c>
      <c r="F109" s="7">
        <f>(E109-(D109-$B$106)*C109)*27.2114</f>
        <v>-197734.04901979357</v>
      </c>
    </row>
    <row r="110" spans="1:10" x14ac:dyDescent="0.25">
      <c r="A110" s="2">
        <v>0.8</v>
      </c>
      <c r="B110" s="7">
        <f t="shared" ref="B110:B112" si="29">A110-0.0592*$B$20</f>
        <v>0.74080000000000001</v>
      </c>
      <c r="C110" s="3">
        <f>-(A110+4.66)/27.2114</f>
        <v>-0.20065119765980433</v>
      </c>
      <c r="D110" s="9">
        <v>683.21011999999996</v>
      </c>
      <c r="E110" s="8">
        <v>-7266.4427982120797</v>
      </c>
      <c r="F110" s="7">
        <f t="shared" ref="F110:F112" si="30">(E110-(D110-$B$106)*C110)*27.2114</f>
        <v>-197734.39430406821</v>
      </c>
    </row>
    <row r="111" spans="1:10" x14ac:dyDescent="0.25">
      <c r="A111" s="1">
        <v>0.4</v>
      </c>
      <c r="B111" s="7">
        <f t="shared" si="29"/>
        <v>0.34079999999999999</v>
      </c>
      <c r="C111" s="3">
        <f>-(A111+4.66)/27.2114</f>
        <v>-0.18595147621952565</v>
      </c>
      <c r="D111" s="9">
        <v>683.57740000000001</v>
      </c>
      <c r="E111" s="8">
        <v>-7266.5138350060197</v>
      </c>
      <c r="F111" s="7">
        <f t="shared" si="30"/>
        <v>-197734.15292588281</v>
      </c>
    </row>
    <row r="112" spans="1:10" x14ac:dyDescent="0.25">
      <c r="A112" s="2">
        <v>0</v>
      </c>
      <c r="B112" s="7">
        <f t="shared" si="29"/>
        <v>-5.9200000000000003E-2</v>
      </c>
      <c r="C112" s="3">
        <f>-(A112+4.66)/27.2114</f>
        <v>-0.17125175477924692</v>
      </c>
      <c r="D112" s="9">
        <v>683.91845599999999</v>
      </c>
      <c r="E112" s="8">
        <v>-7266.5747866161901</v>
      </c>
      <c r="F112" s="7">
        <f t="shared" si="30"/>
        <v>-197734.05314356781</v>
      </c>
    </row>
    <row r="114" spans="1:7" x14ac:dyDescent="0.25">
      <c r="A114" s="5" t="s">
        <v>3</v>
      </c>
      <c r="B114" s="2">
        <v>707</v>
      </c>
      <c r="C114" s="5" t="s">
        <v>96</v>
      </c>
      <c r="D114" s="2">
        <v>0.60699999999999998</v>
      </c>
    </row>
    <row r="115" spans="1:7" x14ac:dyDescent="0.25">
      <c r="A115" s="73" t="s">
        <v>117</v>
      </c>
      <c r="B115" s="74"/>
      <c r="C115" s="74"/>
      <c r="D115" s="74"/>
      <c r="E115" s="74"/>
      <c r="F115" s="75"/>
      <c r="G115" s="2" t="s">
        <v>31</v>
      </c>
    </row>
    <row r="116" spans="1:7" x14ac:dyDescent="0.25">
      <c r="A116" s="4" t="s">
        <v>1</v>
      </c>
      <c r="B116" s="4" t="s">
        <v>100</v>
      </c>
      <c r="C116" s="4" t="s">
        <v>0</v>
      </c>
      <c r="D116" s="5" t="s">
        <v>2</v>
      </c>
      <c r="E116" s="5" t="s">
        <v>4</v>
      </c>
      <c r="F116" s="4" t="s">
        <v>5</v>
      </c>
      <c r="G116" s="6" t="s">
        <v>7</v>
      </c>
    </row>
    <row r="117" spans="1:7" x14ac:dyDescent="0.25">
      <c r="A117" s="7">
        <f>-C117*27.2114-4.66</f>
        <v>-1.0333223817600157E-2</v>
      </c>
      <c r="B117" s="7">
        <f>A117-0.0592*$B$129</f>
        <v>-6.8285838176001569E-3</v>
      </c>
      <c r="C117" s="3">
        <v>-0.17087201599999999</v>
      </c>
      <c r="D117" s="9">
        <v>707</v>
      </c>
      <c r="E117" s="8">
        <v>-7321.1761516001297</v>
      </c>
      <c r="F117" s="7">
        <f>(E117-(D117-$B$114)*C117)*27.2114</f>
        <v>-199219.45273165178</v>
      </c>
      <c r="G117" s="47"/>
    </row>
    <row r="118" spans="1:7" x14ac:dyDescent="0.25">
      <c r="A118" s="2">
        <v>0.8</v>
      </c>
      <c r="B118" s="7">
        <f t="shared" ref="B118:B120" si="31">A118-0.0592*$B$20</f>
        <v>0.74080000000000001</v>
      </c>
      <c r="C118" s="3">
        <f>-(A118+4.66)/27.2114</f>
        <v>-0.20065119765980433</v>
      </c>
      <c r="D118" s="9">
        <v>706.33971699999995</v>
      </c>
      <c r="E118" s="8">
        <v>-7321.0533493527601</v>
      </c>
      <c r="F118" s="7">
        <f t="shared" ref="F118:F120" si="32">(E118-(D118-$B$114)*C118)*27.2114</f>
        <v>-199219.71625575772</v>
      </c>
      <c r="G118" s="8">
        <f>(F118+$D$98/2-1*A118)-(F110+$D$100+$D$99)+$B$2+$D$114-0.0592*$B$105</f>
        <v>-0.93260519032496991</v>
      </c>
    </row>
    <row r="119" spans="1:7" x14ac:dyDescent="0.25">
      <c r="A119" s="1">
        <v>0.4</v>
      </c>
      <c r="B119" s="7">
        <f t="shared" si="31"/>
        <v>0.34079999999999999</v>
      </c>
      <c r="C119" s="3">
        <f>-(A119+4.66)/27.2114</f>
        <v>-0.18595147621952565</v>
      </c>
      <c r="D119" s="9">
        <v>706.67629299999999</v>
      </c>
      <c r="E119" s="8">
        <v>-7321.1183923086401</v>
      </c>
      <c r="F119" s="7">
        <f t="shared" si="32"/>
        <v>-199219.51897788735</v>
      </c>
      <c r="G119" s="8">
        <f>(F119+$D$98/2-1*A119)-(F111+$D$100+$D$99)+$B$2+$D$114-0.0592*$B$105</f>
        <v>-0.57670550534981335</v>
      </c>
    </row>
    <row r="120" spans="1:7" x14ac:dyDescent="0.25">
      <c r="A120" s="2">
        <v>0</v>
      </c>
      <c r="B120" s="7">
        <f t="shared" si="31"/>
        <v>-5.9200000000000003E-2</v>
      </c>
      <c r="C120" s="3">
        <f>-(A120+4.66)/27.2114</f>
        <v>-0.17125175477924692</v>
      </c>
      <c r="D120" s="9">
        <v>706.992841</v>
      </c>
      <c r="E120" s="8">
        <v>-7321.1749270512801</v>
      </c>
      <c r="F120" s="7">
        <f t="shared" si="32"/>
        <v>-199219.45277090321</v>
      </c>
      <c r="G120" s="8">
        <f>(F120+$D$98/2-1*A120)-(F112+$D$100+$D$99)+$B$2+$D$114-0.0592*$B$105</f>
        <v>-0.21028083621654703</v>
      </c>
    </row>
    <row r="121" spans="1:7" x14ac:dyDescent="0.25">
      <c r="C121" s="15"/>
    </row>
    <row r="123" spans="1:7" x14ac:dyDescent="0.25">
      <c r="A123" s="2" t="s">
        <v>3</v>
      </c>
      <c r="B123" s="2">
        <v>706</v>
      </c>
      <c r="C123" s="5" t="s">
        <v>96</v>
      </c>
      <c r="D123" s="2">
        <v>0.25700000000000001</v>
      </c>
    </row>
    <row r="124" spans="1:7" x14ac:dyDescent="0.25">
      <c r="A124" s="73" t="s">
        <v>33</v>
      </c>
      <c r="B124" s="74"/>
      <c r="C124" s="74"/>
      <c r="D124" s="74"/>
      <c r="E124" s="74"/>
      <c r="F124" s="75"/>
      <c r="G124" s="2" t="s">
        <v>31</v>
      </c>
    </row>
    <row r="125" spans="1:7" x14ac:dyDescent="0.25">
      <c r="A125" s="4" t="s">
        <v>1</v>
      </c>
      <c r="B125" s="4" t="s">
        <v>100</v>
      </c>
      <c r="C125" s="4" t="s">
        <v>0</v>
      </c>
      <c r="D125" s="5" t="s">
        <v>2</v>
      </c>
      <c r="E125" s="5" t="s">
        <v>4</v>
      </c>
      <c r="F125" s="4" t="s">
        <v>5</v>
      </c>
      <c r="G125" s="6" t="s">
        <v>7</v>
      </c>
    </row>
    <row r="126" spans="1:7" x14ac:dyDescent="0.25">
      <c r="A126" s="7">
        <f>-C126*27.2114-4.66</f>
        <v>0.77916568248140017</v>
      </c>
      <c r="B126" s="7">
        <f>A126-0.0592*$B$129</f>
        <v>0.78267032248140012</v>
      </c>
      <c r="C126" s="3">
        <v>-0.19988555099999999</v>
      </c>
      <c r="D126" s="9">
        <v>706</v>
      </c>
      <c r="E126" s="8">
        <v>-7320.5469888889502</v>
      </c>
      <c r="F126" s="7">
        <f>(E126-(D126-$B$123)*C126)*27.2114</f>
        <v>-199202.3323334528</v>
      </c>
      <c r="G126" s="47"/>
    </row>
    <row r="127" spans="1:7" x14ac:dyDescent="0.25">
      <c r="A127" s="2">
        <v>0.8</v>
      </c>
      <c r="B127" s="7">
        <f t="shared" ref="B127:B129" si="33">A127-0.0592*$B$20</f>
        <v>0.74080000000000001</v>
      </c>
      <c r="C127" s="3">
        <f>-(A127+4.66)/27.2114</f>
        <v>-0.20065119765980433</v>
      </c>
      <c r="D127" s="9">
        <v>705.98079199999995</v>
      </c>
      <c r="E127" s="8">
        <v>-7320.5431443370298</v>
      </c>
      <c r="F127" s="7">
        <f t="shared" ref="F127:F129" si="34">(E127-(D127-$B$123)*C127)*27.2114</f>
        <v>-199202.33259349267</v>
      </c>
      <c r="G127" s="8">
        <f>(F127+$D$98-2*A127)-(F110+$D$100+$D$99)+$B$3+$D$123-0.0592*$B$105</f>
        <v>-1.1811932528866085</v>
      </c>
    </row>
    <row r="128" spans="1:7" x14ac:dyDescent="0.25">
      <c r="A128" s="1">
        <v>0.4</v>
      </c>
      <c r="B128" s="7">
        <f t="shared" si="33"/>
        <v>0.34079999999999999</v>
      </c>
      <c r="C128" s="3">
        <f>-(A128+4.66)/27.2114</f>
        <v>-0.18595147621952565</v>
      </c>
      <c r="D128" s="9">
        <v>706.34649300000001</v>
      </c>
      <c r="E128" s="8">
        <v>-7320.6139168643904</v>
      </c>
      <c r="F128" s="7">
        <f t="shared" si="34"/>
        <v>-199202.4002827837</v>
      </c>
      <c r="G128" s="8">
        <f t="shared" ref="G128" si="35">(F128+$D$98-2*A128)-(F111+$D$100+$D$99)+$B$3+$D$123-0.0592*$B$105</f>
        <v>-0.69026072929353466</v>
      </c>
    </row>
    <row r="129" spans="1:7" x14ac:dyDescent="0.25">
      <c r="A129" s="2">
        <v>0</v>
      </c>
      <c r="B129" s="7">
        <f t="shared" si="33"/>
        <v>-5.9200000000000003E-2</v>
      </c>
      <c r="C129" s="3">
        <f>-(A129+4.66)/27.2114</f>
        <v>-0.17125175477924692</v>
      </c>
      <c r="D129" s="9">
        <v>706.68947500000002</v>
      </c>
      <c r="E129" s="8">
        <v>-7320.6752261048196</v>
      </c>
      <c r="F129" s="7">
        <f t="shared" si="34"/>
        <v>-199202.6088941287</v>
      </c>
      <c r="G129" s="8">
        <f>(F129+$D$98-2*A129)-(F112+$D$100+$D$99)+$B$3+$D$123-0.0592*$B$105</f>
        <v>-0.19865438930663293</v>
      </c>
    </row>
    <row r="132" spans="1:7" x14ac:dyDescent="0.25">
      <c r="A132" s="2" t="s">
        <v>3</v>
      </c>
      <c r="B132" s="2">
        <v>707</v>
      </c>
      <c r="C132" s="5" t="s">
        <v>96</v>
      </c>
      <c r="D132" s="2">
        <v>0.25700000000000001</v>
      </c>
    </row>
    <row r="133" spans="1:7" x14ac:dyDescent="0.25">
      <c r="A133" s="73" t="s">
        <v>6</v>
      </c>
      <c r="B133" s="74"/>
      <c r="C133" s="74"/>
      <c r="D133" s="74"/>
      <c r="E133" s="74"/>
      <c r="F133" s="75"/>
      <c r="G133" s="2" t="s">
        <v>31</v>
      </c>
    </row>
    <row r="134" spans="1:7" x14ac:dyDescent="0.25">
      <c r="A134" s="4" t="s">
        <v>1</v>
      </c>
      <c r="B134" s="4" t="s">
        <v>100</v>
      </c>
      <c r="C134" s="4" t="s">
        <v>0</v>
      </c>
      <c r="D134" s="5" t="s">
        <v>2</v>
      </c>
      <c r="E134" s="5" t="s">
        <v>4</v>
      </c>
      <c r="F134" s="4" t="s">
        <v>5</v>
      </c>
      <c r="G134" s="6" t="s">
        <v>7</v>
      </c>
    </row>
    <row r="135" spans="1:7" x14ac:dyDescent="0.25">
      <c r="A135" s="7">
        <f>-C135*27.2114-4.66</f>
        <v>0.28464126380220023</v>
      </c>
      <c r="B135" s="7">
        <f>A135-0.0592*$B$129</f>
        <v>0.28814590380220023</v>
      </c>
      <c r="C135" s="3">
        <v>-0.181712123</v>
      </c>
      <c r="D135" s="9">
        <v>707</v>
      </c>
      <c r="E135" s="8">
        <v>-7324.7002672256303</v>
      </c>
      <c r="F135" s="7">
        <f>(E135-(D135-$B$132)*C135)*27.2114</f>
        <v>-199315.34885158352</v>
      </c>
      <c r="G135" s="47"/>
    </row>
    <row r="136" spans="1:7" x14ac:dyDescent="0.25">
      <c r="A136" s="2">
        <v>0.8</v>
      </c>
      <c r="B136" s="7">
        <f t="shared" ref="B136:B138" si="36">A136-0.0592*$B$20</f>
        <v>0.74080000000000001</v>
      </c>
      <c r="C136" s="3">
        <f>-(A136+4.66)/27.2114</f>
        <v>-0.20065119765980433</v>
      </c>
      <c r="D136" s="9">
        <v>706.55662900000004</v>
      </c>
      <c r="E136" s="8">
        <v>-7324.61548591877</v>
      </c>
      <c r="F136" s="7">
        <f t="shared" ref="F136:F138" si="37">(E136-(D136-$B$132)*C136)*27.2114</f>
        <v>-199315.46263919002</v>
      </c>
      <c r="G136" s="8">
        <f>(F136+$D$98/2-1*A136)-(F110+$D$101)+$B$4+$D$132-0.0592*$B$105</f>
        <v>-0.38844371399562028</v>
      </c>
    </row>
    <row r="137" spans="1:7" x14ac:dyDescent="0.25">
      <c r="A137" s="1">
        <v>0.4</v>
      </c>
      <c r="B137" s="7">
        <f t="shared" si="36"/>
        <v>0.34079999999999999</v>
      </c>
      <c r="C137" s="3">
        <f>-(A137+4.66)/27.2114</f>
        <v>-0.18595147621952565</v>
      </c>
      <c r="D137" s="9">
        <v>706.90652599999999</v>
      </c>
      <c r="E137" s="8">
        <v>-7324.6830854804703</v>
      </c>
      <c r="F137" s="7">
        <f t="shared" si="37"/>
        <v>-199315.35429068326</v>
      </c>
      <c r="G137" s="8">
        <f t="shared" ref="G137" si="38">(F137+$D$98/2-1*A137)-(F111+$D$101)+$B$4+$D$132-0.0592*$B$105</f>
        <v>-0.12147339263417911</v>
      </c>
    </row>
    <row r="138" spans="1:7" x14ac:dyDescent="0.25">
      <c r="A138" s="2">
        <v>0</v>
      </c>
      <c r="B138" s="7">
        <f t="shared" si="36"/>
        <v>-5.9200000000000003E-2</v>
      </c>
      <c r="C138" s="3">
        <f>-(A138+4.66)/27.2114</f>
        <v>-0.17125175477924692</v>
      </c>
      <c r="D138" s="9">
        <v>707.23674200000005</v>
      </c>
      <c r="E138" s="8">
        <v>-7324.7420924015796</v>
      </c>
      <c r="F138" s="7">
        <f t="shared" si="37"/>
        <v>-199315.38375545637</v>
      </c>
      <c r="G138" s="8">
        <f>(F138+$D$98/2-1*A138)-(F112+$D$101)+$B$4+$D$132-0.0592*$B$105</f>
        <v>0.14927951925830762</v>
      </c>
    </row>
    <row r="141" spans="1:7" x14ac:dyDescent="0.25">
      <c r="A141" s="2" t="s">
        <v>3</v>
      </c>
      <c r="B141" s="2">
        <v>701</v>
      </c>
      <c r="C141" s="5" t="s">
        <v>96</v>
      </c>
      <c r="D141" s="2">
        <v>0.153</v>
      </c>
    </row>
    <row r="142" spans="1:7" x14ac:dyDescent="0.25">
      <c r="A142" s="73" t="s">
        <v>78</v>
      </c>
      <c r="B142" s="74"/>
      <c r="C142" s="74"/>
      <c r="D142" s="74"/>
      <c r="E142" s="74"/>
      <c r="F142" s="75"/>
      <c r="G142" s="2" t="s">
        <v>31</v>
      </c>
    </row>
    <row r="143" spans="1:7" x14ac:dyDescent="0.25">
      <c r="A143" s="4" t="s">
        <v>1</v>
      </c>
      <c r="B143" s="4" t="s">
        <v>100</v>
      </c>
      <c r="C143" s="4" t="s">
        <v>0</v>
      </c>
      <c r="D143" s="5" t="s">
        <v>2</v>
      </c>
      <c r="E143" s="5" t="s">
        <v>4</v>
      </c>
      <c r="F143" s="4" t="s">
        <v>5</v>
      </c>
      <c r="G143" s="6" t="s">
        <v>7</v>
      </c>
    </row>
    <row r="144" spans="1:7" x14ac:dyDescent="0.25">
      <c r="A144" s="7">
        <f>-C144*27.2114-4.66</f>
        <v>0.14371483819499975</v>
      </c>
      <c r="B144" s="7">
        <f>A144-0.0592*$B$129</f>
        <v>0.14721947819499975</v>
      </c>
      <c r="C144" s="3">
        <v>-0.17653317499999999</v>
      </c>
      <c r="D144" s="9">
        <v>701</v>
      </c>
      <c r="E144" s="8">
        <v>-7308.6595235320201</v>
      </c>
      <c r="F144" s="7">
        <f>(E144-(D144-$B$141)*C144)*27.2114</f>
        <v>-198878.85775863921</v>
      </c>
      <c r="G144" s="47"/>
    </row>
    <row r="145" spans="1:7" x14ac:dyDescent="0.25">
      <c r="A145" s="2">
        <v>0.8</v>
      </c>
      <c r="B145" s="7">
        <f t="shared" ref="B145:B147" si="39">A145-0.0592*$B$20</f>
        <v>0.74080000000000001</v>
      </c>
      <c r="C145" s="3">
        <f>-(A145+4.66)/27.2114</f>
        <v>-0.20065119765980433</v>
      </c>
      <c r="D145" s="9">
        <v>700.46142699999996</v>
      </c>
      <c r="E145" s="8">
        <v>-7308.5579267782596</v>
      </c>
      <c r="F145" s="7">
        <f t="shared" ref="F145:F147" si="40">(E145-(D145-$B$141)*C145)*27.2114</f>
        <v>-198879.03377731395</v>
      </c>
      <c r="G145" s="8">
        <f>(F145+$D$98/2-1*A145)-(F110+$D$102)+$B$5+$D$141-0.0592*$B$105</f>
        <v>-1.0324195386196542</v>
      </c>
    </row>
    <row r="146" spans="1:7" x14ac:dyDescent="0.25">
      <c r="A146" s="1">
        <v>0.4</v>
      </c>
      <c r="B146" s="7">
        <f t="shared" si="39"/>
        <v>0.34079999999999999</v>
      </c>
      <c r="C146" s="3">
        <f>-(A146+4.66)/27.2114</f>
        <v>-0.18595147621952565</v>
      </c>
      <c r="D146" s="9">
        <v>700.79316600000004</v>
      </c>
      <c r="E146" s="8">
        <v>-7308.6220302519296</v>
      </c>
      <c r="F146" s="7">
        <f t="shared" si="40"/>
        <v>-198878.88409403738</v>
      </c>
      <c r="G146" s="8">
        <f t="shared" ref="G146:G147" si="41">(F146+$D$98/2-1*A146)-(F111+$D$102)+$B$5+$D$141-0.0592*$B$105</f>
        <v>-0.72411444745325115</v>
      </c>
    </row>
    <row r="147" spans="1:7" x14ac:dyDescent="0.25">
      <c r="A147" s="2">
        <v>0</v>
      </c>
      <c r="B147" s="7">
        <f t="shared" si="39"/>
        <v>-5.9200000000000003E-2</v>
      </c>
      <c r="C147" s="3">
        <f>-(A147+4.66)/27.2114</f>
        <v>-0.17125175477924692</v>
      </c>
      <c r="D147" s="9">
        <v>701.11292800000001</v>
      </c>
      <c r="E147" s="8">
        <v>-7308.6791614027698</v>
      </c>
      <c r="F147" s="7">
        <f t="shared" si="40"/>
        <v>-198878.86588811534</v>
      </c>
      <c r="G147" s="8">
        <f t="shared" si="41"/>
        <v>-0.40569084041584846</v>
      </c>
    </row>
    <row r="150" spans="1:7" x14ac:dyDescent="0.25">
      <c r="A150" s="2" t="s">
        <v>3</v>
      </c>
      <c r="B150" s="2">
        <v>691</v>
      </c>
      <c r="C150" s="5" t="s">
        <v>96</v>
      </c>
      <c r="D150" s="2">
        <v>0.20699999999999999</v>
      </c>
    </row>
    <row r="151" spans="1:7" x14ac:dyDescent="0.25">
      <c r="A151" s="73" t="s">
        <v>293</v>
      </c>
      <c r="B151" s="74"/>
      <c r="C151" s="74"/>
      <c r="D151" s="74"/>
      <c r="E151" s="74"/>
      <c r="F151" s="75"/>
      <c r="G151" s="2" t="s">
        <v>31</v>
      </c>
    </row>
    <row r="152" spans="1:7" x14ac:dyDescent="0.25">
      <c r="A152" s="4" t="s">
        <v>1</v>
      </c>
      <c r="B152" s="4" t="s">
        <v>100</v>
      </c>
      <c r="C152" s="4" t="s">
        <v>0</v>
      </c>
      <c r="D152" s="5" t="s">
        <v>2</v>
      </c>
      <c r="E152" s="5" t="s">
        <v>4</v>
      </c>
      <c r="F152" s="4" t="s">
        <v>5</v>
      </c>
      <c r="G152" s="6" t="s">
        <v>7</v>
      </c>
    </row>
    <row r="153" spans="1:7" x14ac:dyDescent="0.25">
      <c r="A153" s="7">
        <f>-C153*27.2114-4.66</f>
        <v>0.10884353794059987</v>
      </c>
      <c r="B153" s="7">
        <f>A153-0.0592*$B$129</f>
        <v>0.11234817794059987</v>
      </c>
      <c r="C153" s="3">
        <v>-0.17525167899999999</v>
      </c>
      <c r="D153" s="9">
        <v>691</v>
      </c>
      <c r="E153" s="8">
        <v>-7283.2611662896597</v>
      </c>
      <c r="F153" s="7">
        <f>(E153-(D153-$B$150)*C153)*27.2114</f>
        <v>-198187.73290037445</v>
      </c>
      <c r="G153" s="47"/>
    </row>
    <row r="154" spans="1:7" x14ac:dyDescent="0.25">
      <c r="A154" s="2">
        <v>0.8</v>
      </c>
      <c r="B154" s="7">
        <f t="shared" ref="B154:B156" si="42">A154-0.0592*$B$20</f>
        <v>0.74080000000000001</v>
      </c>
      <c r="C154" s="3">
        <f>-(A154+4.66)/27.2114</f>
        <v>-0.20065119765980433</v>
      </c>
      <c r="D154" s="9">
        <v>690.34531800000002</v>
      </c>
      <c r="E154" s="8">
        <v>-7283.1382460760897</v>
      </c>
      <c r="F154" s="7">
        <f t="shared" ref="F154:F156" si="43">(E154-(D154-$B$150)*C154)*27.2114</f>
        <v>-198187.96263299492</v>
      </c>
      <c r="G154" s="8">
        <f>(F154+1/2*$D$98-1*A154)-(F110 + $D$100)+$D$150-0.0592*$B$105 + $E$2</f>
        <v>-0.98669170691830954</v>
      </c>
    </row>
    <row r="155" spans="1:7" x14ac:dyDescent="0.25">
      <c r="A155" s="1">
        <v>0.4</v>
      </c>
      <c r="B155" s="7">
        <f t="shared" si="42"/>
        <v>0.34079999999999999</v>
      </c>
      <c r="C155" s="3">
        <f>-(A155+4.66)/27.2114</f>
        <v>-0.18595147621952565</v>
      </c>
      <c r="D155" s="9">
        <v>690.72222199999999</v>
      </c>
      <c r="E155" s="8">
        <v>-7283.2110282515896</v>
      </c>
      <c r="F155" s="7">
        <f t="shared" si="43"/>
        <v>-198187.77413084533</v>
      </c>
      <c r="G155" s="8">
        <f>(F155+1/2*$D$98-1*A155)-(F111 + $D$100)+$D$150-0.0592*$B$105 + $E$2</f>
        <v>-0.63956774272340267</v>
      </c>
    </row>
    <row r="156" spans="1:7" x14ac:dyDescent="0.25">
      <c r="A156" s="2">
        <v>0</v>
      </c>
      <c r="B156" s="7">
        <f t="shared" si="42"/>
        <v>-5.9200000000000003E-2</v>
      </c>
      <c r="C156" s="3">
        <f>-(A156+4.66)/27.2114</f>
        <v>-0.17125175477924692</v>
      </c>
      <c r="D156" s="9">
        <v>691.12141699999995</v>
      </c>
      <c r="E156" s="8">
        <v>-7283.2822443678597</v>
      </c>
      <c r="F156" s="7">
        <f t="shared" si="43"/>
        <v>-198187.74066117159</v>
      </c>
      <c r="G156" s="8">
        <f t="shared" ref="G156" si="44">(F156+1/2*$D$98-1*A156)-(F112 + $D$100)+$D$150-0.0592*$B$105 + $E$2</f>
        <v>-0.30588038398384965</v>
      </c>
    </row>
    <row r="159" spans="1:7" x14ac:dyDescent="0.25">
      <c r="A159" s="2" t="s">
        <v>3</v>
      </c>
      <c r="B159" s="2">
        <v>685</v>
      </c>
      <c r="C159" s="5" t="s">
        <v>96</v>
      </c>
      <c r="D159" s="2">
        <v>0.17199999999999999</v>
      </c>
    </row>
    <row r="160" spans="1:7" x14ac:dyDescent="0.25">
      <c r="A160" s="73" t="s">
        <v>294</v>
      </c>
      <c r="B160" s="74"/>
      <c r="C160" s="74"/>
      <c r="D160" s="74"/>
      <c r="E160" s="74"/>
      <c r="F160" s="75"/>
      <c r="G160" s="2" t="s">
        <v>31</v>
      </c>
    </row>
    <row r="161" spans="1:7" x14ac:dyDescent="0.25">
      <c r="A161" s="4" t="s">
        <v>1</v>
      </c>
      <c r="B161" s="4" t="s">
        <v>100</v>
      </c>
      <c r="C161" s="4" t="s">
        <v>0</v>
      </c>
      <c r="D161" s="5" t="s">
        <v>2</v>
      </c>
      <c r="E161" s="5" t="s">
        <v>4</v>
      </c>
      <c r="F161" s="4" t="s">
        <v>5</v>
      </c>
      <c r="G161" s="6" t="s">
        <v>7</v>
      </c>
    </row>
    <row r="162" spans="1:7" x14ac:dyDescent="0.25">
      <c r="A162" s="7">
        <f>-C162*27.2114-4.66</f>
        <v>-0.10331321704759944</v>
      </c>
      <c r="B162" s="7">
        <f>A162-0.0592*$B$129</f>
        <v>-9.9808577047599434E-2</v>
      </c>
      <c r="C162" s="3">
        <v>-0.16745506600000001</v>
      </c>
      <c r="D162" s="9">
        <v>685</v>
      </c>
      <c r="E162" s="8">
        <v>-7267.1899080942703</v>
      </c>
      <c r="F162" s="7">
        <f>(E162-(D162-$B$159)*C162)*27.2114</f>
        <v>-197750.41146511643</v>
      </c>
      <c r="G162" s="47"/>
    </row>
    <row r="163" spans="1:7" x14ac:dyDescent="0.25">
      <c r="A163" s="2">
        <v>0.8</v>
      </c>
      <c r="B163" s="7">
        <f t="shared" ref="B163:B165" si="45">A163-0.0592*$B$20</f>
        <v>0.74080000000000001</v>
      </c>
      <c r="C163" s="3">
        <f>-(A163+4.66)/27.2114</f>
        <v>-0.20065119765980433</v>
      </c>
      <c r="D163" s="9">
        <v>684.23384599999997</v>
      </c>
      <c r="E163" s="8">
        <v>-7267.0485331443797</v>
      </c>
      <c r="F163" s="7">
        <f t="shared" ref="F163:F165" si="46">(E163-(D163-$B$159)*C163)*27.2114</f>
        <v>-197750.74765564498</v>
      </c>
      <c r="G163" s="8">
        <f>(F163)-(F110+$D$98/2-1*A163)+$D$159-0.0592*$B$105</f>
        <v>0.49192735844687557</v>
      </c>
    </row>
    <row r="164" spans="1:7" x14ac:dyDescent="0.25">
      <c r="A164" s="1">
        <v>0.4</v>
      </c>
      <c r="B164" s="7">
        <f t="shared" si="45"/>
        <v>0.34079999999999999</v>
      </c>
      <c r="C164" s="3">
        <f>-(A164+4.66)/27.2114</f>
        <v>-0.18595147621952565</v>
      </c>
      <c r="D164" s="9">
        <v>684.58846400000004</v>
      </c>
      <c r="E164" s="8">
        <v>-7267.11711706195</v>
      </c>
      <c r="F164" s="7">
        <f t="shared" si="46"/>
        <v>-197750.51309137954</v>
      </c>
      <c r="G164" s="8">
        <f t="shared" ref="G164:G165" si="47">(F164)-(F111+$D$98/2-1*A164)+$D$159-0.0592*$B$105</f>
        <v>8.5113438495201976E-2</v>
      </c>
    </row>
    <row r="165" spans="1:7" x14ac:dyDescent="0.25">
      <c r="A165" s="2">
        <v>0</v>
      </c>
      <c r="B165" s="7">
        <f t="shared" si="45"/>
        <v>-5.9200000000000003E-2</v>
      </c>
      <c r="C165" s="3">
        <f>-(A165+4.66)/27.2114</f>
        <v>-0.17125175477924692</v>
      </c>
      <c r="D165" s="9">
        <v>684.91891499999997</v>
      </c>
      <c r="E165" s="8">
        <v>-7267.1761753671399</v>
      </c>
      <c r="F165" s="7">
        <f t="shared" si="46"/>
        <v>-197750.4156344854</v>
      </c>
      <c r="G165" s="8">
        <f t="shared" si="47"/>
        <v>-0.31721198234893383</v>
      </c>
    </row>
    <row r="168" spans="1:7" x14ac:dyDescent="0.25">
      <c r="A168" s="2" t="s">
        <v>3</v>
      </c>
      <c r="B168" s="2">
        <v>691</v>
      </c>
      <c r="C168" s="5" t="s">
        <v>96</v>
      </c>
      <c r="D168" s="2">
        <v>-5.5E-2</v>
      </c>
      <c r="E168" s="5" t="s">
        <v>186</v>
      </c>
      <c r="F168" s="2">
        <v>1.36</v>
      </c>
    </row>
    <row r="169" spans="1:7" x14ac:dyDescent="0.25">
      <c r="A169" s="73" t="s">
        <v>295</v>
      </c>
      <c r="B169" s="74"/>
      <c r="C169" s="74"/>
      <c r="D169" s="74"/>
      <c r="E169" s="74"/>
      <c r="F169" s="75"/>
      <c r="G169" s="2" t="s">
        <v>31</v>
      </c>
    </row>
    <row r="170" spans="1:7" x14ac:dyDescent="0.25">
      <c r="A170" s="4" t="s">
        <v>1</v>
      </c>
      <c r="B170" s="4" t="s">
        <v>100</v>
      </c>
      <c r="C170" s="4" t="s">
        <v>0</v>
      </c>
      <c r="D170" s="5" t="s">
        <v>2</v>
      </c>
      <c r="E170" s="5" t="s">
        <v>4</v>
      </c>
      <c r="F170" s="4" t="s">
        <v>5</v>
      </c>
      <c r="G170" s="6" t="s">
        <v>7</v>
      </c>
    </row>
    <row r="171" spans="1:7" x14ac:dyDescent="0.25">
      <c r="A171" s="7">
        <f>-C171*27.2114-4.66</f>
        <v>-2.9522675886200389E-2</v>
      </c>
      <c r="B171" s="7">
        <f>A171-0.0592*$B$129</f>
        <v>-2.6018035886200389E-2</v>
      </c>
      <c r="C171" s="3">
        <v>-0.170166817</v>
      </c>
      <c r="D171" s="9">
        <v>691</v>
      </c>
      <c r="E171" s="8">
        <v>-7281.6826052003898</v>
      </c>
      <c r="F171" s="7">
        <f>(E171-(D171-$B$168)*C171)*27.2114</f>
        <v>-198144.77804314988</v>
      </c>
      <c r="G171" s="47"/>
    </row>
    <row r="172" spans="1:7" x14ac:dyDescent="0.25">
      <c r="A172" s="2">
        <v>0.8</v>
      </c>
      <c r="B172" s="7">
        <f t="shared" ref="B172:B174" si="48">A172-0.0592*$B$20</f>
        <v>0.74080000000000001</v>
      </c>
      <c r="C172" s="3">
        <f>-(A172+4.66)/27.2114</f>
        <v>-0.20065119765980433</v>
      </c>
      <c r="D172" s="9">
        <v>690.31143199999997</v>
      </c>
      <c r="E172" s="8">
        <v>-7281.5547434371501</v>
      </c>
      <c r="F172" s="7">
        <f>(E172-(D172-$B$168)*C172)*27.2114</f>
        <v>-198145.05832684567</v>
      </c>
      <c r="G172" s="8">
        <f>(F172+1*($F$168-A172)) - (F110+$J$98/2) + $D$168</f>
        <v>-1.1221734268544241</v>
      </c>
    </row>
    <row r="173" spans="1:7" x14ac:dyDescent="0.25">
      <c r="A173" s="1">
        <v>0.4</v>
      </c>
      <c r="B173" s="7">
        <f t="shared" si="48"/>
        <v>0.34079999999999999</v>
      </c>
      <c r="C173" s="3">
        <f>-(A173+4.66)/27.2114</f>
        <v>-0.18595147621952565</v>
      </c>
      <c r="D173" s="9">
        <v>690.65474400000005</v>
      </c>
      <c r="E173" s="8">
        <v>-7281.6211192075898</v>
      </c>
      <c r="F173" s="7">
        <f t="shared" ref="F173:F174" si="49">(E173-(D173-$B$168)*C173)*27.2114</f>
        <v>-198144.85191856543</v>
      </c>
      <c r="G173" s="8">
        <f t="shared" ref="G173:G174" si="50">(F173+1*($F$168-A173)) - (F111+$J$98/2) + $D$168</f>
        <v>-0.75714333201874984</v>
      </c>
    </row>
    <row r="174" spans="1:7" x14ac:dyDescent="0.25">
      <c r="A174" s="2">
        <v>0</v>
      </c>
      <c r="B174" s="7">
        <f t="shared" si="48"/>
        <v>-5.9200000000000003E-2</v>
      </c>
      <c r="C174" s="3">
        <f>-(A174+4.66)/27.2114</f>
        <v>-0.17125175477924692</v>
      </c>
      <c r="D174" s="9">
        <v>690.97814400000004</v>
      </c>
      <c r="E174" s="8">
        <v>-7281.6788745207596</v>
      </c>
      <c r="F174" s="7">
        <f t="shared" si="49"/>
        <v>-198144.7783750942</v>
      </c>
      <c r="G174" s="8">
        <f t="shared" si="50"/>
        <v>-0.38338217579410411</v>
      </c>
    </row>
    <row r="177" spans="1:7" x14ac:dyDescent="0.25">
      <c r="A177" s="2" t="s">
        <v>3</v>
      </c>
      <c r="B177" s="2">
        <v>714</v>
      </c>
      <c r="C177" s="5" t="s">
        <v>96</v>
      </c>
      <c r="D177" s="2">
        <v>0.30599999999999999</v>
      </c>
      <c r="E177" s="5" t="s">
        <v>186</v>
      </c>
      <c r="F177" s="2">
        <v>9.9000000000000005E-2</v>
      </c>
    </row>
    <row r="178" spans="1:7" x14ac:dyDescent="0.25">
      <c r="A178" s="73" t="s">
        <v>296</v>
      </c>
      <c r="B178" s="74"/>
      <c r="C178" s="74"/>
      <c r="D178" s="74"/>
      <c r="E178" s="74"/>
      <c r="F178" s="75"/>
      <c r="G178" s="2" t="s">
        <v>31</v>
      </c>
    </row>
    <row r="179" spans="1:7" x14ac:dyDescent="0.25">
      <c r="A179" s="4" t="s">
        <v>1</v>
      </c>
      <c r="B179" s="4" t="s">
        <v>100</v>
      </c>
      <c r="C179" s="4" t="s">
        <v>0</v>
      </c>
      <c r="D179" s="5" t="s">
        <v>2</v>
      </c>
      <c r="E179" s="5" t="s">
        <v>4</v>
      </c>
      <c r="F179" s="4" t="s">
        <v>5</v>
      </c>
      <c r="G179" s="6" t="s">
        <v>7</v>
      </c>
    </row>
    <row r="180" spans="1:7" x14ac:dyDescent="0.25">
      <c r="A180" s="7">
        <f>-C180*27.2114-4.66</f>
        <v>0.7108111626979996</v>
      </c>
      <c r="B180" s="7">
        <f>A180-0.0592*$B$129</f>
        <v>0.71431580269799955</v>
      </c>
      <c r="C180" s="3">
        <v>-0.19737357</v>
      </c>
      <c r="D180" s="9">
        <v>714</v>
      </c>
      <c r="E180" s="8">
        <v>-7341.2110134166496</v>
      </c>
      <c r="F180" s="7">
        <f>(E180-(D180-$B$177)*C180)*27.2114</f>
        <v>-199764.62937048584</v>
      </c>
      <c r="G180" s="47"/>
    </row>
    <row r="181" spans="1:7" x14ac:dyDescent="0.25">
      <c r="A181" s="2">
        <v>0.8</v>
      </c>
      <c r="B181" s="7">
        <f t="shared" ref="B181:B183" si="51">A181-0.0592*$B$20</f>
        <v>0.74080000000000001</v>
      </c>
      <c r="C181" s="3">
        <f>-(A181+4.66)/27.2114</f>
        <v>-0.20065119765980433</v>
      </c>
      <c r="D181" s="9">
        <v>713.92595300000005</v>
      </c>
      <c r="E181" s="8">
        <v>-7341.1962802117096</v>
      </c>
      <c r="F181" s="7">
        <f t="shared" ref="F181:F183" si="52">(E181-(D181-$B$177)*C181)*27.2114</f>
        <v>-199764.63275597291</v>
      </c>
      <c r="G181" s="8">
        <f>(F181+2*$D$98-2*(A181+$F$177))-(F110 + $J$99+'Exp. thermo'!$C$64/96.49 + 2*$D$100-2*'Exp. thermo'!$G$6/96.49+2*'Exp. thermo'!$B$71/96.49)+$D$177-0.0592*$B$105-'Exp. thermo'!$C$41/96.49</f>
        <v>-0.96441129259146707</v>
      </c>
    </row>
    <row r="182" spans="1:7" x14ac:dyDescent="0.25">
      <c r="A182" s="1">
        <v>0.4</v>
      </c>
      <c r="B182" s="7">
        <f t="shared" si="51"/>
        <v>0.34079999999999999</v>
      </c>
      <c r="C182" s="3">
        <f>-(A182+4.66)/27.2114</f>
        <v>-0.18595147621952565</v>
      </c>
      <c r="D182" s="9">
        <v>714.26456900000005</v>
      </c>
      <c r="E182" s="8">
        <v>-7341.2617630593704</v>
      </c>
      <c r="F182" s="7">
        <f t="shared" si="52"/>
        <v>-199764.67162017376</v>
      </c>
      <c r="G182" s="8">
        <f>(F182+2*$D$98-2*(A182+$F$177))-(F111 + $J$99+'Exp. thermo'!$C$64/96.49 + 2*$D$100-2*'Exp. thermo'!$G$6/96.49+2*'Exp. thermo'!$B$71/96.49)+$D$177-0.0592*$B$105-'Exp. thermo'!$C$41/96.49</f>
        <v>-0.4446536788189408</v>
      </c>
    </row>
    <row r="183" spans="1:7" x14ac:dyDescent="0.25">
      <c r="A183" s="2">
        <v>0</v>
      </c>
      <c r="B183" s="7">
        <f t="shared" si="51"/>
        <v>-5.9200000000000003E-2</v>
      </c>
      <c r="C183" s="3">
        <f>-(A183+4.66)/27.2114</f>
        <v>-0.17125175477924692</v>
      </c>
      <c r="D183" s="9">
        <v>714.58563100000003</v>
      </c>
      <c r="E183" s="8">
        <v>-7341.3191595953904</v>
      </c>
      <c r="F183" s="7">
        <f t="shared" si="52"/>
        <v>-199764.84313895402</v>
      </c>
      <c r="G183" s="8">
        <f>(F183+2*$D$98-2*(A183+$F$177))-(F112 + $J$99+'Exp. thermo'!$C$64/96.49 + 2*$D$100-2*'Exp. thermo'!$G$6/96.49+2*'Exp. thermo'!$B$71/96.49)+$D$177-0.0592*$B$105-'Exp. thermo'!$C$41/96.49</f>
        <v>8.404522591190447E-2</v>
      </c>
    </row>
    <row r="186" spans="1:7" x14ac:dyDescent="0.25">
      <c r="A186" s="2" t="s">
        <v>3</v>
      </c>
      <c r="B186" s="2">
        <v>713</v>
      </c>
      <c r="C186" s="5" t="s">
        <v>96</v>
      </c>
      <c r="D186" s="2">
        <v>0.251</v>
      </c>
      <c r="E186" s="5" t="s">
        <v>186</v>
      </c>
      <c r="F186" s="2">
        <v>-0.26900000000000002</v>
      </c>
    </row>
    <row r="187" spans="1:7" x14ac:dyDescent="0.25">
      <c r="A187" s="73" t="s">
        <v>297</v>
      </c>
      <c r="B187" s="74"/>
      <c r="C187" s="74"/>
      <c r="D187" s="74"/>
      <c r="E187" s="74"/>
      <c r="F187" s="75"/>
      <c r="G187" s="2" t="s">
        <v>31</v>
      </c>
    </row>
    <row r="188" spans="1:7" x14ac:dyDescent="0.25">
      <c r="A188" s="4" t="s">
        <v>1</v>
      </c>
      <c r="B188" s="4" t="s">
        <v>100</v>
      </c>
      <c r="C188" s="4" t="s">
        <v>0</v>
      </c>
      <c r="D188" s="5" t="s">
        <v>2</v>
      </c>
      <c r="E188" s="5" t="s">
        <v>4</v>
      </c>
      <c r="F188" s="4" t="s">
        <v>5</v>
      </c>
      <c r="G188" s="6" t="s">
        <v>7</v>
      </c>
    </row>
    <row r="189" spans="1:7" x14ac:dyDescent="0.25">
      <c r="A189" s="7">
        <f>-C189*27.2114-4.66</f>
        <v>1.1074177530803997</v>
      </c>
      <c r="B189" s="7">
        <f>A189-0.0592*$B$129</f>
        <v>1.1109223930803998</v>
      </c>
      <c r="C189" s="3">
        <v>-0.21194858599999999</v>
      </c>
      <c r="D189" s="9">
        <v>713</v>
      </c>
      <c r="E189" s="8">
        <v>-7337.6582063452297</v>
      </c>
      <c r="F189" s="7">
        <f>(E189-(D189-$B$186)*C189)*27.2114</f>
        <v>-199667.9525161426</v>
      </c>
      <c r="G189" s="47"/>
    </row>
    <row r="190" spans="1:7" x14ac:dyDescent="0.25">
      <c r="A190" s="2">
        <v>0.8</v>
      </c>
      <c r="B190" s="7">
        <f t="shared" ref="B190:B192" si="53">A190-0.0592*$B$20</f>
        <v>0.74080000000000001</v>
      </c>
      <c r="C190" s="3">
        <f>-(A190+4.66)/27.2114</f>
        <v>-0.20065119765980433</v>
      </c>
      <c r="D190" s="9">
        <v>713.27053999999998</v>
      </c>
      <c r="E190" s="8">
        <v>-7337.7140275281499</v>
      </c>
      <c r="F190" s="7">
        <f t="shared" ref="F190:F192" si="54">(E190-(D190-$B$186)*C190)*27.2114</f>
        <v>-199667.99434027952</v>
      </c>
      <c r="G190" s="8">
        <f>(F190+11/2*$D$98-3*A190-8*$F$186)-(F110 + $J$100 + 4*$D$100-4*'Exp. thermo'!$G$6/96.49+4*'Exp. thermo'!$B$71/96.49)+$D$186-0.0592*$B$105 + $E$3</f>
        <v>-1.7141225707799186</v>
      </c>
    </row>
    <row r="191" spans="1:7" x14ac:dyDescent="0.25">
      <c r="A191" s="1">
        <v>0.4</v>
      </c>
      <c r="B191" s="7">
        <f t="shared" si="53"/>
        <v>0.34079999999999999</v>
      </c>
      <c r="C191" s="3">
        <f>-(A191+4.66)/27.2114</f>
        <v>-0.18595147621952565</v>
      </c>
      <c r="D191" s="9">
        <v>713.61795099999995</v>
      </c>
      <c r="E191" s="8">
        <v>-7337.7812260869696</v>
      </c>
      <c r="F191" s="7">
        <f t="shared" si="54"/>
        <v>-199668.17322348297</v>
      </c>
      <c r="G191" s="8">
        <f>(F191+11/2*$D$98-3*A191-8*$F$186)-(F111 + $J$100 + 4*$D$100-4*'Exp. thermo'!$G$6/96.49+4*'Exp. thermo'!$B$71/96.49)+$D$186-0.0592*$B$105 + $E$3</f>
        <v>-0.93438395964568388</v>
      </c>
    </row>
    <row r="192" spans="1:7" x14ac:dyDescent="0.25">
      <c r="A192" s="2">
        <v>0</v>
      </c>
      <c r="B192" s="7">
        <f t="shared" si="53"/>
        <v>-5.9200000000000003E-2</v>
      </c>
      <c r="C192" s="3">
        <f>-(A192+4.66)/27.2114</f>
        <v>-0.17125175477924692</v>
      </c>
      <c r="D192" s="9">
        <v>713.96645100000001</v>
      </c>
      <c r="E192" s="8">
        <v>-7337.8434836705201</v>
      </c>
      <c r="F192" s="7">
        <f t="shared" si="54"/>
        <v>-199668.490509892</v>
      </c>
      <c r="G192" s="8">
        <f>(F192+11/2*$D$98-3*A192-8*$F$186)-(F112 + $J$100 + 4*$D$100-4*'Exp. thermo'!$G$6/96.49+4*'Exp. thermo'!$B$71/96.49)+$D$186-0.0592*$B$105 + $E$3</f>
        <v>-0.15145268365978182</v>
      </c>
    </row>
    <row r="195" spans="1:7" x14ac:dyDescent="0.25">
      <c r="A195" s="2" t="s">
        <v>3</v>
      </c>
      <c r="B195" s="2">
        <v>707</v>
      </c>
      <c r="C195" s="5" t="s">
        <v>96</v>
      </c>
      <c r="D195" s="2">
        <v>1.161</v>
      </c>
    </row>
    <row r="196" spans="1:7" x14ac:dyDescent="0.25">
      <c r="A196" s="73" t="s">
        <v>298</v>
      </c>
      <c r="B196" s="74"/>
      <c r="C196" s="74"/>
      <c r="D196" s="74"/>
      <c r="E196" s="74"/>
      <c r="F196" s="75"/>
      <c r="G196" s="2" t="s">
        <v>31</v>
      </c>
    </row>
    <row r="197" spans="1:7" x14ac:dyDescent="0.25">
      <c r="A197" s="4" t="s">
        <v>1</v>
      </c>
      <c r="B197" s="4" t="s">
        <v>100</v>
      </c>
      <c r="C197" s="4" t="s">
        <v>0</v>
      </c>
      <c r="D197" s="5" t="s">
        <v>2</v>
      </c>
      <c r="E197" s="5" t="s">
        <v>4</v>
      </c>
      <c r="F197" s="4" t="s">
        <v>5</v>
      </c>
      <c r="G197" s="6" t="s">
        <v>7</v>
      </c>
    </row>
    <row r="198" spans="1:7" x14ac:dyDescent="0.25">
      <c r="A198" s="7">
        <f>-C198*27.2114-4.66</f>
        <v>-0.10739982509959933</v>
      </c>
      <c r="B198" s="7">
        <f>A198-0.0592*$B$129</f>
        <v>-0.10389518509959933</v>
      </c>
      <c r="C198" s="3">
        <v>-0.16730488600000001</v>
      </c>
      <c r="D198" s="9">
        <v>707</v>
      </c>
      <c r="E198" s="8">
        <v>-7311.9877346182402</v>
      </c>
      <c r="F198" s="7">
        <f>(E198-(D198-$B$195)*C198)*27.2114</f>
        <v>-198969.42304179078</v>
      </c>
      <c r="G198" s="47"/>
    </row>
    <row r="199" spans="1:7" x14ac:dyDescent="0.25">
      <c r="A199" s="2">
        <v>0.8</v>
      </c>
      <c r="B199" s="7">
        <f t="shared" ref="B199:B201" si="55">A199-0.0592*$B$20</f>
        <v>0.74080000000000001</v>
      </c>
      <c r="C199" s="3">
        <f>-(A199+4.66)/27.2114</f>
        <v>-0.20065119765980433</v>
      </c>
      <c r="D199" s="9">
        <v>706.29391299999997</v>
      </c>
      <c r="E199" s="8">
        <v>-7311.8576337017103</v>
      </c>
      <c r="F199" s="7">
        <f t="shared" ref="F199:F201" si="56">(E199-(D199-$B$195)*C199)*27.2114</f>
        <v>-198969.73804873074</v>
      </c>
      <c r="G199" s="8">
        <f>(F199+$D$98/2-1*A199)-(F110+$J$101)+$E$4+$D$195-0.0592*$B$105</f>
        <v>-1.2002123143367927</v>
      </c>
    </row>
    <row r="200" spans="1:7" x14ac:dyDescent="0.25">
      <c r="A200" s="1">
        <v>0.4</v>
      </c>
      <c r="B200" s="7">
        <f t="shared" si="55"/>
        <v>0.34079999999999999</v>
      </c>
      <c r="C200" s="3">
        <f>-(A200+4.66)/27.2114</f>
        <v>-0.18595147621952565</v>
      </c>
      <c r="D200" s="9">
        <v>706.62029900000005</v>
      </c>
      <c r="E200" s="8">
        <v>-7311.9206688430904</v>
      </c>
      <c r="F200" s="7">
        <f t="shared" si="56"/>
        <v>-198969.51937521689</v>
      </c>
      <c r="G200" s="8">
        <f>(F200+$D$98/2-1*A200)-(F111+$J$101)+$E$4+$D$195-0.0592*$B$105</f>
        <v>-0.82291698588710194</v>
      </c>
    </row>
    <row r="201" spans="1:7" x14ac:dyDescent="0.25">
      <c r="A201" s="2">
        <v>0</v>
      </c>
      <c r="B201" s="7">
        <f t="shared" si="55"/>
        <v>-5.9200000000000003E-2</v>
      </c>
      <c r="C201" s="3">
        <f>-(A201+4.66)/27.2114</f>
        <v>-0.17125175477924692</v>
      </c>
      <c r="D201" s="9">
        <v>706.92176400000005</v>
      </c>
      <c r="E201" s="8">
        <v>-7311.9744935537501</v>
      </c>
      <c r="F201" s="7">
        <f t="shared" si="56"/>
        <v>-198969.42731364851</v>
      </c>
      <c r="G201" s="8">
        <f>(F201+$D$98/2-1*A201)-(F112+$J$101)+$E$4+$D$195-0.0592*$B$105</f>
        <v>-0.43063773251674053</v>
      </c>
    </row>
    <row r="204" spans="1:7" x14ac:dyDescent="0.25">
      <c r="A204" s="2" t="s">
        <v>3</v>
      </c>
      <c r="B204" s="2">
        <v>725</v>
      </c>
      <c r="C204" s="5" t="s">
        <v>96</v>
      </c>
      <c r="D204" s="2">
        <v>0.29199999999999998</v>
      </c>
    </row>
    <row r="205" spans="1:7" x14ac:dyDescent="0.25">
      <c r="A205" s="73" t="s">
        <v>369</v>
      </c>
      <c r="B205" s="74"/>
      <c r="C205" s="74"/>
      <c r="D205" s="74"/>
      <c r="E205" s="74"/>
      <c r="F205" s="75"/>
      <c r="G205" s="2" t="s">
        <v>31</v>
      </c>
    </row>
    <row r="206" spans="1:7" x14ac:dyDescent="0.25">
      <c r="A206" s="4" t="s">
        <v>1</v>
      </c>
      <c r="B206" s="4" t="s">
        <v>100</v>
      </c>
      <c r="C206" s="4" t="s">
        <v>0</v>
      </c>
      <c r="D206" s="5" t="s">
        <v>2</v>
      </c>
      <c r="E206" s="5" t="s">
        <v>4</v>
      </c>
      <c r="F206" s="4" t="s">
        <v>5</v>
      </c>
      <c r="G206" s="6" t="s">
        <v>7</v>
      </c>
    </row>
    <row r="207" spans="1:7" x14ac:dyDescent="0.25">
      <c r="A207" s="7">
        <f>-C207*27.2114-4.66</f>
        <v>0.10258042605959972</v>
      </c>
      <c r="B207" s="7">
        <f>A207-0.0592*$B$129</f>
        <v>0.10608506605959972</v>
      </c>
      <c r="C207" s="3">
        <v>-0.17502151399999999</v>
      </c>
      <c r="D207" s="9">
        <v>725</v>
      </c>
      <c r="E207" s="8">
        <v>-7355.2900421132299</v>
      </c>
      <c r="F207" s="7">
        <f>(E207-(D207-$B$204)*C207)*27.2114</f>
        <v>-200147.73945195996</v>
      </c>
      <c r="G207" s="47"/>
    </row>
    <row r="208" spans="1:7" x14ac:dyDescent="0.25">
      <c r="A208" s="2">
        <v>0.8</v>
      </c>
      <c r="B208" s="7">
        <f t="shared" ref="B208:B210" si="57">A208-0.0592*$B$20</f>
        <v>0.74080000000000001</v>
      </c>
      <c r="C208" s="3">
        <f>-(A208+4.66)/27.2114</f>
        <v>-0.20065119765980433</v>
      </c>
      <c r="D208" s="9">
        <v>724.56284400000004</v>
      </c>
      <c r="E208" s="8">
        <v>-7355.2079273581903</v>
      </c>
      <c r="F208" s="7">
        <f t="shared" ref="F208:F210" si="58">(E208-(D208-$B$204)*C208)*27.2114</f>
        <v>-200147.89186627467</v>
      </c>
      <c r="G208" s="8">
        <f>(F208+$D$98/2-1*A208)-(F110+$J$102)+$E$5+$D$204-0.0592*$B$105</f>
        <v>-0.77654306778233684</v>
      </c>
    </row>
    <row r="209" spans="1:7" x14ac:dyDescent="0.25">
      <c r="A209" s="1">
        <v>0.4</v>
      </c>
      <c r="B209" s="7">
        <f t="shared" si="57"/>
        <v>0.34079999999999999</v>
      </c>
      <c r="C209" s="3">
        <f>-(A209+4.66)/27.2114</f>
        <v>-0.18595147621952565</v>
      </c>
      <c r="D209" s="9">
        <v>724.82213300000001</v>
      </c>
      <c r="E209" s="8">
        <v>-7355.2579343172902</v>
      </c>
      <c r="F209" s="7">
        <f t="shared" si="58"/>
        <v>-200147.76576090153</v>
      </c>
      <c r="G209" s="8">
        <f t="shared" ref="G209:G210" si="59">(F209+$D$98/2-1*A209)-(F111+$J$102)+$E$5+$D$204-0.0592*$B$105</f>
        <v>-0.49181588004241888</v>
      </c>
    </row>
    <row r="210" spans="1:7" x14ac:dyDescent="0.25">
      <c r="A210" s="2">
        <v>0</v>
      </c>
      <c r="B210" s="7">
        <f t="shared" si="57"/>
        <v>-5.9200000000000003E-2</v>
      </c>
      <c r="C210" s="3">
        <f>-(A210+4.66)/27.2114</f>
        <v>-0.17125175477924692</v>
      </c>
      <c r="D210" s="9">
        <v>725.058538</v>
      </c>
      <c r="E210" s="8">
        <v>-7355.3001801095397</v>
      </c>
      <c r="F210" s="7">
        <f t="shared" si="58"/>
        <v>-200147.74253395275</v>
      </c>
      <c r="G210" s="8">
        <f t="shared" si="59"/>
        <v>-0.16837124626865796</v>
      </c>
    </row>
  </sheetData>
  <mergeCells count="36">
    <mergeCell ref="W18:X18"/>
    <mergeCell ref="V22:Z22"/>
    <mergeCell ref="V32:AA32"/>
    <mergeCell ref="A54:F54"/>
    <mergeCell ref="A65:F65"/>
    <mergeCell ref="V43:AA43"/>
    <mergeCell ref="V54:AA54"/>
    <mergeCell ref="V65:AA65"/>
    <mergeCell ref="B76:G76"/>
    <mergeCell ref="C18:D18"/>
    <mergeCell ref="O18:P18"/>
    <mergeCell ref="B7:E7"/>
    <mergeCell ref="B95:E95"/>
    <mergeCell ref="N65:S65"/>
    <mergeCell ref="N22:R22"/>
    <mergeCell ref="N32:S32"/>
    <mergeCell ref="N43:S43"/>
    <mergeCell ref="N54:S54"/>
    <mergeCell ref="A88:F88"/>
    <mergeCell ref="A22:E22"/>
    <mergeCell ref="G34:H34"/>
    <mergeCell ref="G45:H45"/>
    <mergeCell ref="A32:F32"/>
    <mergeCell ref="A43:F43"/>
    <mergeCell ref="A205:F205"/>
    <mergeCell ref="A142:F142"/>
    <mergeCell ref="A107:E107"/>
    <mergeCell ref="A115:F115"/>
    <mergeCell ref="A124:F124"/>
    <mergeCell ref="A133:F133"/>
    <mergeCell ref="A196:F196"/>
    <mergeCell ref="A151:F151"/>
    <mergeCell ref="A160:F160"/>
    <mergeCell ref="A169:F169"/>
    <mergeCell ref="A178:F178"/>
    <mergeCell ref="A187:F18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59797-D1EF-4BD8-8DBA-99FB3FD6F7ED}">
  <sheetPr>
    <tabColor theme="9" tint="0.79998168889431442"/>
  </sheetPr>
  <dimension ref="A1:J177"/>
  <sheetViews>
    <sheetView showGridLines="0" topLeftCell="A125" zoomScale="85" zoomScaleNormal="85" workbookViewId="0">
      <selection activeCell="F135" sqref="F135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</cols>
  <sheetData>
    <row r="1" spans="1:8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0.10873274600000001</v>
      </c>
    </row>
    <row r="2" spans="1:8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8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8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8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7" spans="1:8" ht="18.75" x14ac:dyDescent="0.3">
      <c r="B7" s="76" t="s">
        <v>137</v>
      </c>
      <c r="C7" s="76"/>
      <c r="D7" s="76"/>
      <c r="E7" s="76"/>
    </row>
    <row r="8" spans="1:8" hidden="1" x14ac:dyDescent="0.25">
      <c r="A8" s="25" t="s">
        <v>73</v>
      </c>
    </row>
    <row r="9" spans="1:8" hidden="1" x14ac:dyDescent="0.25">
      <c r="B9" s="5" t="s">
        <v>4</v>
      </c>
      <c r="C9" s="5" t="s">
        <v>96</v>
      </c>
      <c r="D9" s="5" t="s">
        <v>11</v>
      </c>
    </row>
    <row r="10" spans="1:8" hidden="1" x14ac:dyDescent="0.25">
      <c r="A10" s="5" t="s">
        <v>10</v>
      </c>
      <c r="B10" s="10">
        <v>-1.1771435480339401</v>
      </c>
      <c r="C10" s="8">
        <v>-3.9E-2</v>
      </c>
      <c r="D10" s="2">
        <f>B10*27.2114+C10+'Exp. thermo'!$G$5/96.49</f>
        <v>-31.988642304733084</v>
      </c>
    </row>
    <row r="11" spans="1:8" hidden="1" x14ac:dyDescent="0.25">
      <c r="A11" s="5" t="s">
        <v>29</v>
      </c>
      <c r="B11" s="10">
        <v>-37.922756066077497</v>
      </c>
      <c r="C11" s="8">
        <v>-0.253</v>
      </c>
      <c r="D11" s="2">
        <f>B11*27.2114+C11+'Exp. thermo'!$G$5/96.49</f>
        <v>-1032.1022027782235</v>
      </c>
    </row>
    <row r="12" spans="1:8" hidden="1" x14ac:dyDescent="0.25">
      <c r="A12" s="5" t="s">
        <v>30</v>
      </c>
      <c r="B12" s="10">
        <v>-17.2946955359131</v>
      </c>
      <c r="C12" s="8">
        <v>9.4E-2</v>
      </c>
      <c r="D12" s="2">
        <f>B12*27.2114+C12+'Exp. thermo'!$G$5/96.49</f>
        <v>-470.43679646770806</v>
      </c>
    </row>
    <row r="13" spans="1:8" hidden="1" x14ac:dyDescent="0.25">
      <c r="A13" s="5" t="s">
        <v>9</v>
      </c>
      <c r="B13" s="10">
        <v>-58.735501479807802</v>
      </c>
      <c r="C13" s="8">
        <v>-1.2999999999999999E-2</v>
      </c>
      <c r="D13" s="2">
        <f>B13*27.2114+C13+'Exp. thermo'!$G$5/96.49</f>
        <v>-1598.2061433294043</v>
      </c>
    </row>
    <row r="14" spans="1:8" hidden="1" x14ac:dyDescent="0.25">
      <c r="A14" s="5" t="s">
        <v>49</v>
      </c>
      <c r="B14" s="10">
        <v>-42.679147793998197</v>
      </c>
      <c r="C14" s="8">
        <v>-0.128</v>
      </c>
      <c r="D14" s="2">
        <f>B14*27.2114+C14+'Exp. thermo'!$G$5/96.49</f>
        <v>-1161.4052806433649</v>
      </c>
    </row>
    <row r="15" spans="1:8" ht="18.75" hidden="1" x14ac:dyDescent="0.3">
      <c r="C15" s="76"/>
      <c r="D15" s="76"/>
    </row>
    <row r="16" spans="1:8" hidden="1" x14ac:dyDescent="0.25">
      <c r="A16" s="25" t="s">
        <v>77</v>
      </c>
    </row>
    <row r="17" spans="1:7" hidden="1" x14ac:dyDescent="0.25">
      <c r="A17" s="20" t="s">
        <v>12</v>
      </c>
      <c r="B17" s="21">
        <v>1</v>
      </c>
    </row>
    <row r="18" spans="1:7" hidden="1" x14ac:dyDescent="0.25">
      <c r="A18" s="2" t="s">
        <v>3</v>
      </c>
      <c r="B18" s="2">
        <v>540</v>
      </c>
    </row>
    <row r="19" spans="1:7" hidden="1" x14ac:dyDescent="0.25">
      <c r="A19" s="73" t="s">
        <v>121</v>
      </c>
      <c r="B19" s="74"/>
      <c r="C19" s="74"/>
      <c r="D19" s="74"/>
      <c r="E19" s="75"/>
    </row>
    <row r="20" spans="1:7" hidden="1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hidden="1" x14ac:dyDescent="0.25">
      <c r="A21" s="7">
        <f>-C21*27.2114-4.66</f>
        <v>3.9815236322002789E-3</v>
      </c>
      <c r="B21" s="7">
        <f>A21-0.0592*$B$17</f>
        <v>-5.5218476367799724E-2</v>
      </c>
      <c r="C21" s="1">
        <v>-0.17139807300000001</v>
      </c>
      <c r="D21" s="9">
        <v>540</v>
      </c>
      <c r="E21" s="8">
        <v>-2935.63718662055</v>
      </c>
      <c r="F21" s="7">
        <f t="shared" ref="F21:F24" si="0">(E21-(D21-$B$18)*C21)*27.2114</f>
        <v>-79882.797740006441</v>
      </c>
    </row>
    <row r="22" spans="1:7" hidden="1" x14ac:dyDescent="0.25">
      <c r="A22" s="2">
        <v>0.8</v>
      </c>
      <c r="B22" s="7">
        <f>A22-0.0592*$B$17</f>
        <v>0.74080000000000001</v>
      </c>
      <c r="C22" s="3">
        <f>-(A22+4.66)/27.2114</f>
        <v>-0.20065119765980433</v>
      </c>
      <c r="D22" s="9">
        <v>539.18314199999998</v>
      </c>
      <c r="E22" s="8">
        <v>-2935.4849382919801</v>
      </c>
      <c r="F22" s="7">
        <f t="shared" si="0"/>
        <v>-79883.114894518396</v>
      </c>
    </row>
    <row r="23" spans="1:7" hidden="1" x14ac:dyDescent="0.25">
      <c r="A23" s="1">
        <v>0.4</v>
      </c>
      <c r="B23" s="7">
        <f>A23-0.0592*$B$17</f>
        <v>0.34079999999999999</v>
      </c>
      <c r="C23" s="3">
        <f>-(A23+4.66)/27.2114</f>
        <v>-0.18595147621952565</v>
      </c>
      <c r="D23" s="9">
        <v>539.608611</v>
      </c>
      <c r="E23" s="8">
        <v>-2935.56721684894</v>
      </c>
      <c r="F23" s="7">
        <f t="shared" si="0"/>
        <v>-79882.87419290324</v>
      </c>
    </row>
    <row r="24" spans="1:7" hidden="1" x14ac:dyDescent="0.25">
      <c r="A24" s="2">
        <v>0</v>
      </c>
      <c r="B24" s="7">
        <f>A24-0.0592*$B$17</f>
        <v>-5.9200000000000003E-2</v>
      </c>
      <c r="C24" s="3">
        <f>-(A24+4.66)/27.2114</f>
        <v>-0.17125175477924692</v>
      </c>
      <c r="D24" s="9">
        <v>540.00435000000004</v>
      </c>
      <c r="E24" s="8">
        <v>-2935.63793109786</v>
      </c>
      <c r="F24" s="7">
        <f t="shared" si="0"/>
        <v>-79882.797727276309</v>
      </c>
    </row>
    <row r="25" spans="1:7" hidden="1" x14ac:dyDescent="0.25"/>
    <row r="26" spans="1:7" hidden="1" x14ac:dyDescent="0.25">
      <c r="A26" s="5" t="s">
        <v>3</v>
      </c>
      <c r="B26" s="2">
        <v>563</v>
      </c>
      <c r="C26" s="5" t="s">
        <v>96</v>
      </c>
      <c r="D26" s="2">
        <v>0.61299999999999999</v>
      </c>
    </row>
    <row r="27" spans="1:7" hidden="1" x14ac:dyDescent="0.25">
      <c r="A27" s="73" t="s">
        <v>122</v>
      </c>
      <c r="B27" s="74"/>
      <c r="C27" s="74"/>
      <c r="D27" s="74"/>
      <c r="E27" s="74"/>
      <c r="F27" s="75"/>
      <c r="G27" s="2" t="s">
        <v>31</v>
      </c>
    </row>
    <row r="28" spans="1:7" hidden="1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hidden="1" x14ac:dyDescent="0.25">
      <c r="A29" s="7">
        <f>-C29*27.2114-4.66</f>
        <v>4.0258945770200505E-2</v>
      </c>
      <c r="B29" s="7">
        <f>A29-0.0592*$B$17</f>
        <v>-1.8941054229799498E-2</v>
      </c>
      <c r="C29" s="1">
        <v>-0.17273124300000001</v>
      </c>
      <c r="D29" s="9">
        <v>563</v>
      </c>
      <c r="E29" s="8">
        <v>-2990.26111613794</v>
      </c>
      <c r="F29" s="7">
        <f t="shared" ref="F29:F32" si="1">(E29-(D29-$B$26)*C29)*27.2114</f>
        <v>-81369.191335675947</v>
      </c>
      <c r="G29" s="42"/>
    </row>
    <row r="30" spans="1:7" hidden="1" x14ac:dyDescent="0.25">
      <c r="A30" s="2">
        <v>0.8</v>
      </c>
      <c r="B30" s="7">
        <f>A30-0.0592*$B$17</f>
        <v>0.74080000000000001</v>
      </c>
      <c r="C30" s="3">
        <f>-(A30+4.66)/27.2114</f>
        <v>-0.20065119765980433</v>
      </c>
      <c r="D30" s="9">
        <v>562.26293999999996</v>
      </c>
      <c r="E30" s="8">
        <v>-2990.1234121216899</v>
      </c>
      <c r="F30" s="7">
        <f t="shared" si="1"/>
        <v>-81369.468564208146</v>
      </c>
      <c r="G30" s="8">
        <f>(F30+$D$10/2-1*A22)-(F22+$D$12+$D$11)+$B$2+$D$26-0.0592*$B$17</f>
        <v>-0.2804452878155983</v>
      </c>
    </row>
    <row r="31" spans="1:7" hidden="1" x14ac:dyDescent="0.25">
      <c r="A31" s="1">
        <v>0.4</v>
      </c>
      <c r="B31" s="7">
        <f>A31-0.0592*$B$17</f>
        <v>0.34079999999999999</v>
      </c>
      <c r="C31" s="3">
        <f>-(A31+4.66)/27.2114</f>
        <v>-0.18595147621952565</v>
      </c>
      <c r="D31" s="9">
        <v>562.65671799999996</v>
      </c>
      <c r="E31" s="8">
        <v>-2990.1995816391</v>
      </c>
      <c r="F31" s="7">
        <f t="shared" si="1"/>
        <v>-81369.253902734214</v>
      </c>
      <c r="G31" s="8">
        <f>(F31+$D$10/2-1*A23)-(F23+$D$12+$D$11)+$B$2+$D$26-0.0592*$B$17</f>
        <v>9.3514570969785132E-2</v>
      </c>
    </row>
    <row r="32" spans="1:7" hidden="1" x14ac:dyDescent="0.25">
      <c r="A32" s="2">
        <v>0</v>
      </c>
      <c r="B32" s="7">
        <f>A32-0.0592*$B$17</f>
        <v>-5.9200000000000003E-2</v>
      </c>
      <c r="C32" s="3">
        <f>-(A32+4.66)/27.2114</f>
        <v>-0.17125175477924692</v>
      </c>
      <c r="D32" s="9">
        <v>563.03698799999995</v>
      </c>
      <c r="E32" s="8">
        <v>-2990.2674784020601</v>
      </c>
      <c r="F32" s="7">
        <f t="shared" si="1"/>
        <v>-81369.192097709834</v>
      </c>
      <c r="G32" s="8">
        <f>(F32+$D$10/2-1*A24)-(F24+$D$12+$D$11)+$B$2+$D$26-0.0592*$B$17</f>
        <v>0.47885396841207939</v>
      </c>
    </row>
    <row r="33" spans="1:7" hidden="1" x14ac:dyDescent="0.25">
      <c r="C33" s="15"/>
    </row>
    <row r="34" spans="1:7" hidden="1" x14ac:dyDescent="0.25"/>
    <row r="35" spans="1:7" hidden="1" x14ac:dyDescent="0.25">
      <c r="A35" s="2" t="s">
        <v>3</v>
      </c>
      <c r="B35" s="2">
        <v>562</v>
      </c>
      <c r="C35" s="5" t="s">
        <v>96</v>
      </c>
      <c r="D35" s="2">
        <v>0.27600000000000002</v>
      </c>
    </row>
    <row r="36" spans="1:7" hidden="1" x14ac:dyDescent="0.25">
      <c r="A36" s="73" t="s">
        <v>123</v>
      </c>
      <c r="B36" s="74"/>
      <c r="C36" s="74"/>
      <c r="D36" s="74"/>
      <c r="E36" s="74"/>
      <c r="F36" s="75"/>
      <c r="G36" s="2" t="s">
        <v>31</v>
      </c>
    </row>
    <row r="37" spans="1:7" hidden="1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hidden="1" x14ac:dyDescent="0.25">
      <c r="A38" s="7">
        <f>-C38*27.2114-4.66</f>
        <v>0.67243712940140021</v>
      </c>
      <c r="B38" s="7">
        <f>A38-0.0592*$B$17</f>
        <v>0.61323712940140018</v>
      </c>
      <c r="C38" s="1">
        <v>-0.19596335100000001</v>
      </c>
      <c r="D38" s="9">
        <v>562</v>
      </c>
      <c r="E38" s="8">
        <v>-2989.63720543818</v>
      </c>
      <c r="F38" s="7">
        <f>(E38-(D38-$B$35)*C38)*27.2114</f>
        <v>-81352.213852060493</v>
      </c>
      <c r="G38" s="42"/>
    </row>
    <row r="39" spans="1:7" hidden="1" x14ac:dyDescent="0.25">
      <c r="A39" s="2">
        <v>0.8</v>
      </c>
      <c r="B39" s="7">
        <f>A39-0.0592*$B$17</f>
        <v>0.74080000000000001</v>
      </c>
      <c r="C39" s="3">
        <f>-(A39+4.66)/27.2114</f>
        <v>-0.20065119765980433</v>
      </c>
      <c r="D39" s="9">
        <v>561.857619</v>
      </c>
      <c r="E39" s="8">
        <v>-2989.6089672390899</v>
      </c>
      <c r="F39" s="7">
        <f t="shared" ref="F39:F41" si="2">(E39-(D39-$B$35)*C39)*27.2114</f>
        <v>-81352.222851389786</v>
      </c>
      <c r="G39" s="8">
        <f>(F39+$D$10-2*A22)-(F22+$D$12+$D$11)+$B$3+$D$35-0.0592*$B$17</f>
        <v>-0.77502501415799852</v>
      </c>
    </row>
    <row r="40" spans="1:7" hidden="1" x14ac:dyDescent="0.25">
      <c r="A40" s="1">
        <v>0.4</v>
      </c>
      <c r="B40" s="7">
        <f>A40-0.0592*$B$17</f>
        <v>0.34079999999999999</v>
      </c>
      <c r="C40" s="3">
        <f>-(A40+4.66)/27.2114</f>
        <v>-0.18595147621952565</v>
      </c>
      <c r="D40" s="9">
        <v>562.29244700000004</v>
      </c>
      <c r="E40" s="8">
        <v>-2989.6930702265599</v>
      </c>
      <c r="F40" s="7">
        <f t="shared" si="2"/>
        <v>-81352.254229343016</v>
      </c>
      <c r="G40" s="8">
        <f>(F40+$D$10-2*A23)-(F23+$D$12+$D$11)+$B$3+$D$35-0.0592*$B$17</f>
        <v>-0.24710458254046749</v>
      </c>
    </row>
    <row r="41" spans="1:7" hidden="1" x14ac:dyDescent="0.25">
      <c r="A41" s="2">
        <v>0</v>
      </c>
      <c r="B41" s="7">
        <f>A41-0.0592*$B$17</f>
        <v>-5.9200000000000003E-2</v>
      </c>
      <c r="C41" s="3">
        <f>-(A41+4.66)/27.2114</f>
        <v>-0.17125175477924692</v>
      </c>
      <c r="D41" s="9">
        <v>562.69816000000003</v>
      </c>
      <c r="E41" s="8">
        <v>-2989.76559735826</v>
      </c>
      <c r="F41" s="7">
        <f t="shared" si="2"/>
        <v>-81352.454150354548</v>
      </c>
      <c r="G41" s="8">
        <f>(F41+$D$10-2*A24)-(F24+$D$12+$D$11)+$B$3+$D$35-0.0592*$B$17</f>
        <v>0.27650877899943371</v>
      </c>
    </row>
    <row r="42" spans="1:7" hidden="1" x14ac:dyDescent="0.25"/>
    <row r="43" spans="1:7" hidden="1" x14ac:dyDescent="0.25"/>
    <row r="44" spans="1:7" hidden="1" x14ac:dyDescent="0.25">
      <c r="A44" s="2" t="s">
        <v>3</v>
      </c>
      <c r="B44" s="2">
        <v>563</v>
      </c>
      <c r="C44" s="5" t="s">
        <v>96</v>
      </c>
      <c r="D44" s="2">
        <v>0.27900000000000003</v>
      </c>
    </row>
    <row r="45" spans="1:7" hidden="1" x14ac:dyDescent="0.25">
      <c r="A45" s="73" t="s">
        <v>124</v>
      </c>
      <c r="B45" s="74"/>
      <c r="C45" s="74"/>
      <c r="D45" s="74"/>
      <c r="E45" s="74"/>
      <c r="F45" s="75"/>
      <c r="G45" s="2" t="s">
        <v>31</v>
      </c>
    </row>
    <row r="46" spans="1:7" hidden="1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hidden="1" x14ac:dyDescent="0.25">
      <c r="A47" s="7">
        <f>-C47*27.2114-4.66</f>
        <v>0.28520170979659998</v>
      </c>
      <c r="B47" s="7">
        <f>A47-0.0592*$B$17</f>
        <v>0.22600170979659998</v>
      </c>
      <c r="C47" s="1">
        <v>-0.18173271899999999</v>
      </c>
      <c r="D47" s="9">
        <v>563</v>
      </c>
      <c r="E47" s="8">
        <v>-2993.78769841444</v>
      </c>
      <c r="F47" s="7">
        <f t="shared" ref="F47:F50" si="3">(E47-(D47-$B$44)*C47)*27.2114</f>
        <v>-81465.154576634697</v>
      </c>
      <c r="G47" s="38"/>
    </row>
    <row r="48" spans="1:7" hidden="1" x14ac:dyDescent="0.25">
      <c r="A48" s="2">
        <v>0.8</v>
      </c>
      <c r="B48" s="7">
        <f>A48-0.0592*$B$17</f>
        <v>0.74080000000000001</v>
      </c>
      <c r="C48" s="3">
        <f>-(A48+4.66)/27.2114</f>
        <v>-0.20065119765980433</v>
      </c>
      <c r="D48" s="9">
        <v>562.48092299999996</v>
      </c>
      <c r="E48" s="8">
        <v>-2993.6884278758198</v>
      </c>
      <c r="F48" s="7">
        <f t="shared" si="3"/>
        <v>-81465.287446720075</v>
      </c>
      <c r="G48" s="8">
        <f>(F48+$D$10/2-1*A48)-(F22+$D$13)+$B$4+$D$44-0.0592*$B$17</f>
        <v>-6.2252166109780432E-2</v>
      </c>
    </row>
    <row r="49" spans="1:10" hidden="1" x14ac:dyDescent="0.25">
      <c r="A49" s="1">
        <v>0.4</v>
      </c>
      <c r="B49" s="7">
        <f>A49-0.0592*$B$17</f>
        <v>0.34079999999999999</v>
      </c>
      <c r="C49" s="3">
        <f>-(A49+4.66)/27.2114</f>
        <v>-0.18595147621952565</v>
      </c>
      <c r="D49" s="9">
        <v>562.88797899999997</v>
      </c>
      <c r="E49" s="8">
        <v>-2993.76710582844</v>
      </c>
      <c r="F49" s="7">
        <f t="shared" si="3"/>
        <v>-81465.161049800008</v>
      </c>
      <c r="G49" s="8">
        <f>(F49+$D$10/2-1*A49)-(F23+$D$13)+$B$4+$D$44-0.0592*$B$17</f>
        <v>0.22344313880971947</v>
      </c>
    </row>
    <row r="50" spans="1:10" hidden="1" x14ac:dyDescent="0.25">
      <c r="A50" s="2">
        <v>0</v>
      </c>
      <c r="B50" s="7">
        <f>A50-0.0592*$B$17</f>
        <v>-5.9200000000000003E-2</v>
      </c>
      <c r="C50" s="3">
        <f>-(A50+4.66)/27.2114</f>
        <v>-0.17125175477924692</v>
      </c>
      <c r="D50" s="9">
        <v>563.27708600000005</v>
      </c>
      <c r="E50" s="8">
        <v>-2993.8366112938202</v>
      </c>
      <c r="F50" s="7">
        <f t="shared" si="3"/>
        <v>-81465.194343800656</v>
      </c>
      <c r="G50" s="8">
        <f>(F50+$D$10/2-1*A50)-(F24+$D$13)+$B$4+$D$44-0.0592*$B$17</f>
        <v>0.51368351122442013</v>
      </c>
    </row>
    <row r="51" spans="1:10" hidden="1" x14ac:dyDescent="0.25"/>
    <row r="52" spans="1:10" hidden="1" x14ac:dyDescent="0.25"/>
    <row r="53" spans="1:10" hidden="1" x14ac:dyDescent="0.25">
      <c r="A53" s="2" t="s">
        <v>3</v>
      </c>
      <c r="B53" s="2">
        <v>557</v>
      </c>
      <c r="C53" s="5" t="s">
        <v>96</v>
      </c>
      <c r="D53" s="2">
        <v>0.16700000000000001</v>
      </c>
    </row>
    <row r="54" spans="1:10" hidden="1" x14ac:dyDescent="0.25">
      <c r="A54" s="73" t="s">
        <v>125</v>
      </c>
      <c r="B54" s="74"/>
      <c r="C54" s="74"/>
      <c r="D54" s="74"/>
      <c r="E54" s="74"/>
      <c r="F54" s="75"/>
      <c r="G54" s="2" t="s">
        <v>31</v>
      </c>
    </row>
    <row r="55" spans="1:10" hidden="1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10" hidden="1" x14ac:dyDescent="0.25">
      <c r="A56" s="7">
        <f>-C56*27.2114-4.66</f>
        <v>0.18867283299000004</v>
      </c>
      <c r="B56" s="7">
        <f>A56-0.0592*$B$17</f>
        <v>0.12947283299000004</v>
      </c>
      <c r="C56" s="1">
        <v>-0.17818534999999999</v>
      </c>
      <c r="D56" s="9">
        <v>557</v>
      </c>
      <c r="E56" s="8">
        <v>-2977.7371098481699</v>
      </c>
      <c r="F56" s="7">
        <f>(E56-(D56-$B$53)*C56)*27.2114</f>
        <v>-81028.39559092249</v>
      </c>
      <c r="G56" s="42"/>
    </row>
    <row r="57" spans="1:10" hidden="1" x14ac:dyDescent="0.25">
      <c r="A57" s="2">
        <v>0.8</v>
      </c>
      <c r="B57" s="7">
        <f>A57-0.0592*$B$17</f>
        <v>0.74080000000000001</v>
      </c>
      <c r="C57" s="3">
        <f>-(A57+4.66)/27.2114</f>
        <v>-0.20065119765980433</v>
      </c>
      <c r="D57" s="9">
        <v>556.40694699999995</v>
      </c>
      <c r="E57" s="8">
        <v>-2977.6248057592102</v>
      </c>
      <c r="F57" s="7">
        <f>(E57-(D57-$B$53)*C57)*27.2114</f>
        <v>-81028.57770881617</v>
      </c>
      <c r="G57" s="8">
        <f>(F57+$D$10/2-1*A57)-(F22+$D$14)+$B$5+$D$53-0.0592*$B$17</f>
        <v>-0.76029793492390874</v>
      </c>
    </row>
    <row r="58" spans="1:10" hidden="1" x14ac:dyDescent="0.25">
      <c r="A58" s="1">
        <v>0.4</v>
      </c>
      <c r="B58" s="7">
        <f>A58-0.0592*$B$17</f>
        <v>0.34079999999999999</v>
      </c>
      <c r="C58" s="3">
        <f>-(A58+4.66)/27.2114</f>
        <v>-0.18595147621952565</v>
      </c>
      <c r="D58" s="9">
        <v>556.79746599999999</v>
      </c>
      <c r="E58" s="8">
        <v>-2977.70022968994</v>
      </c>
      <c r="F58" s="7">
        <f>(E58-(D58-$B$53)*C58)*27.2114</f>
        <v>-81028.416852224836</v>
      </c>
      <c r="G58" s="8">
        <f>(F58+$D$10/2-1*A58)-(F23+$D$14)+$B$5+$D$53-0.0592*$B$17</f>
        <v>-0.44014295873686771</v>
      </c>
    </row>
    <row r="59" spans="1:10" hidden="1" x14ac:dyDescent="0.25">
      <c r="A59" s="2">
        <v>0</v>
      </c>
      <c r="B59" s="7">
        <f>A59-0.0592*$B$17</f>
        <v>-5.9200000000000003E-2</v>
      </c>
      <c r="C59" s="3">
        <f>-(A59+4.66)/27.2114</f>
        <v>-0.17125175477924692</v>
      </c>
      <c r="D59" s="9">
        <v>557.17390999999998</v>
      </c>
      <c r="E59" s="8">
        <v>-2977.7675074307399</v>
      </c>
      <c r="F59" s="7">
        <f t="shared" ref="F59" si="4">(E59-(D59-$B$53)*C59)*27.2114</f>
        <v>-81028.412331100844</v>
      </c>
      <c r="G59" s="8">
        <f>(F59+$D$10/2-1*A59)-(F24+$D$14)+$B$5+$D$53-0.0592*$B$17</f>
        <v>-0.11208746168169292</v>
      </c>
    </row>
    <row r="60" spans="1:10" hidden="1" x14ac:dyDescent="0.25"/>
    <row r="62" spans="1:10" ht="18.75" x14ac:dyDescent="0.3">
      <c r="B62" s="76" t="s">
        <v>134</v>
      </c>
      <c r="C62" s="76"/>
      <c r="D62" s="76"/>
      <c r="E62" s="76"/>
    </row>
    <row r="63" spans="1:10" x14ac:dyDescent="0.25">
      <c r="A63" s="25" t="s">
        <v>73</v>
      </c>
    </row>
    <row r="64" spans="1:10" x14ac:dyDescent="0.25">
      <c r="B64" s="5" t="s">
        <v>4</v>
      </c>
      <c r="C64" s="5" t="s">
        <v>96</v>
      </c>
      <c r="D64" s="5" t="s">
        <v>11</v>
      </c>
      <c r="H64" s="5" t="s">
        <v>4</v>
      </c>
      <c r="I64" s="5" t="s">
        <v>96</v>
      </c>
      <c r="J64" s="5" t="s">
        <v>11</v>
      </c>
    </row>
    <row r="65" spans="1:10" x14ac:dyDescent="0.25">
      <c r="A65" s="5" t="s">
        <v>10</v>
      </c>
      <c r="B65" s="10">
        <v>-1.1651204227085801</v>
      </c>
      <c r="C65" s="8">
        <v>-4.2000000000000003E-2</v>
      </c>
      <c r="D65" s="2">
        <f>B65*27.2114+C65</f>
        <v>-31.746557870492257</v>
      </c>
      <c r="G65" s="5" t="s">
        <v>191</v>
      </c>
      <c r="H65" s="10">
        <v>-30.0430223619964</v>
      </c>
      <c r="I65" s="8">
        <v>-0.56100000000000005</v>
      </c>
      <c r="J65" s="2">
        <f>H65*27.2114+I65</f>
        <v>-818.07369870122886</v>
      </c>
    </row>
    <row r="66" spans="1:10" x14ac:dyDescent="0.25">
      <c r="A66" s="5" t="s">
        <v>29</v>
      </c>
      <c r="B66" s="10">
        <v>-37.8808477704033</v>
      </c>
      <c r="C66" s="8">
        <v>-0.251</v>
      </c>
      <c r="D66" s="2">
        <f>B66*27.2114+C66+'Exp. thermo'!$G$5/96.49</f>
        <v>-1030.9598193813147</v>
      </c>
      <c r="G66" s="5" t="s">
        <v>200</v>
      </c>
      <c r="H66" s="10">
        <v>-42.413044169722198</v>
      </c>
      <c r="I66" s="8">
        <v>-0.496</v>
      </c>
      <c r="J66" s="2">
        <f>H66*27.2114+I66 +'Exp. thermo'!$G$5/96.49</f>
        <v>-1154.5322284817412</v>
      </c>
    </row>
    <row r="67" spans="1:10" x14ac:dyDescent="0.25">
      <c r="A67" s="5" t="s">
        <v>30</v>
      </c>
      <c r="B67" s="10">
        <v>-17.268355960477901</v>
      </c>
      <c r="C67" s="8">
        <v>9.2999999999999999E-2</v>
      </c>
      <c r="D67" s="2">
        <f>B67*27.2114+C67+'Exp. thermo'!$G$5/96.49</f>
        <v>-469.72105974471066</v>
      </c>
      <c r="G67" s="5" t="s">
        <v>253</v>
      </c>
      <c r="H67" s="10">
        <v>-8.3935110948132401</v>
      </c>
      <c r="I67" s="8">
        <v>5.6000000000000001E-2</v>
      </c>
      <c r="J67" s="2">
        <f>H67*27.2114+I67 +'Exp. thermo'!$G$5/96.49</f>
        <v>-228.26110616716332</v>
      </c>
    </row>
    <row r="68" spans="1:10" x14ac:dyDescent="0.25">
      <c r="A68" s="5" t="s">
        <v>9</v>
      </c>
      <c r="B68" s="10">
        <v>-58.677193166200901</v>
      </c>
      <c r="C68" s="8">
        <v>-1.0999999999999999E-2</v>
      </c>
      <c r="D68" s="2">
        <f>B68*27.2114+C68+'Exp. thermo'!$G$5/96.49</f>
        <v>-1596.6174924845216</v>
      </c>
      <c r="G68" s="5" t="s">
        <v>48</v>
      </c>
      <c r="H68" s="10">
        <v>-45.958970677356099</v>
      </c>
      <c r="I68" s="8">
        <v>0.88400000000000001</v>
      </c>
      <c r="J68" s="2">
        <f>H68*27.2114+I68+'Exp. thermo'!$G$5/96.49</f>
        <v>-1249.64185305157</v>
      </c>
    </row>
    <row r="69" spans="1:10" x14ac:dyDescent="0.25">
      <c r="A69" s="5" t="s">
        <v>49</v>
      </c>
      <c r="B69" s="10">
        <v>-42.632854517177599</v>
      </c>
      <c r="C69" s="8">
        <v>-0.126</v>
      </c>
      <c r="D69" s="2">
        <f>B69*27.2114+C69+'Exp. thermo'!$G$5/96.49</f>
        <v>-1160.1435757704887</v>
      </c>
      <c r="G69" s="5" t="s">
        <v>231</v>
      </c>
      <c r="H69" s="10">
        <v>-89.257170769677202</v>
      </c>
      <c r="I69" s="8">
        <v>-3.2000000000000001E-2</v>
      </c>
      <c r="J69" s="2">
        <f>H69*27.2114+I69+'Exp. thermo'!$G$5/96.49</f>
        <v>-2428.7624950437571</v>
      </c>
    </row>
    <row r="70" spans="1:10" ht="18.75" x14ac:dyDescent="0.3">
      <c r="C70" s="76"/>
      <c r="D70" s="76"/>
    </row>
    <row r="71" spans="1:10" x14ac:dyDescent="0.25">
      <c r="A71" s="25" t="s">
        <v>77</v>
      </c>
    </row>
    <row r="72" spans="1:10" x14ac:dyDescent="0.25">
      <c r="A72" s="20" t="s">
        <v>12</v>
      </c>
      <c r="B72" s="21">
        <v>0</v>
      </c>
    </row>
    <row r="73" spans="1:10" x14ac:dyDescent="0.25">
      <c r="A73" s="2" t="s">
        <v>3</v>
      </c>
      <c r="B73" s="2">
        <v>540</v>
      </c>
    </row>
    <row r="74" spans="1:10" x14ac:dyDescent="0.25">
      <c r="A74" s="73" t="s">
        <v>143</v>
      </c>
      <c r="B74" s="74"/>
      <c r="C74" s="74"/>
      <c r="D74" s="74"/>
      <c r="E74" s="75"/>
    </row>
    <row r="75" spans="1:10" x14ac:dyDescent="0.25">
      <c r="A75" s="4" t="s">
        <v>1</v>
      </c>
      <c r="B75" s="4" t="s">
        <v>100</v>
      </c>
      <c r="C75" s="4" t="s">
        <v>0</v>
      </c>
      <c r="D75" s="5" t="s">
        <v>2</v>
      </c>
      <c r="E75" s="5" t="s">
        <v>4</v>
      </c>
      <c r="F75" s="4" t="s">
        <v>5</v>
      </c>
    </row>
    <row r="76" spans="1:10" x14ac:dyDescent="0.25">
      <c r="A76" s="7">
        <f>-C76*27.2114-4.66</f>
        <v>0.21052807707099941</v>
      </c>
      <c r="B76" s="7">
        <f>A76-0.0592*$B$72</f>
        <v>0.21052807707099941</v>
      </c>
      <c r="C76" s="3">
        <v>-0.17898851499999999</v>
      </c>
      <c r="D76" s="9">
        <v>540</v>
      </c>
      <c r="E76" s="8">
        <v>-2936.7174572648801</v>
      </c>
      <c r="F76" s="7">
        <f>(E76-(D76-$B$73)*C76)*27.2114</f>
        <v>-79912.193416617563</v>
      </c>
    </row>
    <row r="77" spans="1:10" x14ac:dyDescent="0.25">
      <c r="A77" s="2">
        <v>0.8</v>
      </c>
      <c r="B77" s="7">
        <f t="shared" ref="B77:B79" si="5">A77-0.0592*$B$72</f>
        <v>0.8</v>
      </c>
      <c r="C77" s="3">
        <f>-(A77+4.66)/27.2114</f>
        <v>-0.20065119765980433</v>
      </c>
      <c r="D77" s="9">
        <v>539.43989399999998</v>
      </c>
      <c r="E77" s="8">
        <v>-2936.6110109077699</v>
      </c>
      <c r="F77" s="7">
        <f>(E77-(D77-$B$73)*C77)*27.2114</f>
        <v>-79912.355040975701</v>
      </c>
    </row>
    <row r="78" spans="1:10" x14ac:dyDescent="0.25">
      <c r="A78" s="1">
        <v>0.4</v>
      </c>
      <c r="B78" s="7">
        <f t="shared" si="5"/>
        <v>0.4</v>
      </c>
      <c r="C78" s="3">
        <f>-(A78+4.66)/27.2114</f>
        <v>-0.18595147621952565</v>
      </c>
      <c r="D78" s="9">
        <v>539.82821000000001</v>
      </c>
      <c r="E78" s="8">
        <v>-2936.6861051259302</v>
      </c>
      <c r="F78" s="7">
        <f>(E78-(D78-$B$73)*C78)*27.2114</f>
        <v>-79912.209538423747</v>
      </c>
    </row>
    <row r="79" spans="1:10" x14ac:dyDescent="0.25">
      <c r="A79" s="2">
        <v>0</v>
      </c>
      <c r="B79" s="7">
        <f t="shared" si="5"/>
        <v>0</v>
      </c>
      <c r="C79" s="3">
        <f>-(A79+4.66)/27.2114</f>
        <v>-0.17125175477924692</v>
      </c>
      <c r="D79" s="9">
        <v>540.23026300000004</v>
      </c>
      <c r="E79" s="8">
        <v>-2936.7577253554</v>
      </c>
      <c r="F79" s="7">
        <f t="shared" ref="F79" si="6">(E79-(D79-$B$73)*C79)*27.2114</f>
        <v>-79912.216142155929</v>
      </c>
    </row>
    <row r="81" spans="1:7" x14ac:dyDescent="0.25">
      <c r="A81" s="5" t="s">
        <v>3</v>
      </c>
      <c r="B81" s="2">
        <v>563</v>
      </c>
      <c r="C81" s="5" t="s">
        <v>96</v>
      </c>
      <c r="D81" s="2">
        <v>0.60799999999999998</v>
      </c>
    </row>
    <row r="82" spans="1:7" x14ac:dyDescent="0.25">
      <c r="A82" s="73" t="s">
        <v>122</v>
      </c>
      <c r="B82" s="74"/>
      <c r="C82" s="74"/>
      <c r="D82" s="74"/>
      <c r="E82" s="74"/>
      <c r="F82" s="75"/>
      <c r="G82" s="2" t="s">
        <v>31</v>
      </c>
    </row>
    <row r="83" spans="1:7" x14ac:dyDescent="0.25">
      <c r="A83" s="4" t="s">
        <v>1</v>
      </c>
      <c r="B83" s="4" t="s">
        <v>100</v>
      </c>
      <c r="C83" s="4" t="s">
        <v>0</v>
      </c>
      <c r="D83" s="5" t="s">
        <v>2</v>
      </c>
      <c r="E83" s="5" t="s">
        <v>4</v>
      </c>
      <c r="F83" s="4" t="s">
        <v>5</v>
      </c>
      <c r="G83" s="6" t="s">
        <v>7</v>
      </c>
    </row>
    <row r="84" spans="1:7" x14ac:dyDescent="0.25">
      <c r="A84" s="7">
        <f>-C84*27.2114-4.66</f>
        <v>0.1978854973626003</v>
      </c>
      <c r="B84" s="7">
        <f>A84-0.0592*$B$72</f>
        <v>0.1978854973626003</v>
      </c>
      <c r="C84" s="3">
        <v>-0.17852390900000001</v>
      </c>
      <c r="D84" s="9">
        <v>563</v>
      </c>
      <c r="E84" s="8">
        <v>-2991.3118120120798</v>
      </c>
      <c r="F84" s="7">
        <f>(E84-(D84-$B$81)*C84)*27.2114</f>
        <v>-81397.782241385517</v>
      </c>
      <c r="G84" s="47"/>
    </row>
    <row r="85" spans="1:7" x14ac:dyDescent="0.25">
      <c r="A85" s="2">
        <v>0.8</v>
      </c>
      <c r="B85" s="7">
        <f t="shared" ref="B85:B87" si="7">A85-0.0592*$B$72</f>
        <v>0.8</v>
      </c>
      <c r="C85" s="3">
        <f>-(A85+4.66)/27.2114</f>
        <v>-0.20065119765980433</v>
      </c>
      <c r="D85" s="9">
        <v>562.45944899999995</v>
      </c>
      <c r="E85" s="8">
        <v>-2991.2093203540899</v>
      </c>
      <c r="F85" s="7">
        <f>(E85-(D85-$B$81)*C85)*27.2114</f>
        <v>-81397.94470834329</v>
      </c>
      <c r="G85" s="8">
        <f>(F85+$D$65/2-1*A77)-(F77+$D$66+$D$67)+$B$2+$D$81-0.0592*$B$72</f>
        <v>-1.1993208684387153</v>
      </c>
    </row>
    <row r="86" spans="1:7" x14ac:dyDescent="0.25">
      <c r="A86" s="1">
        <v>0.4</v>
      </c>
      <c r="B86" s="7">
        <f t="shared" si="7"/>
        <v>0.4</v>
      </c>
      <c r="C86" s="3">
        <f>-(A86+4.66)/27.2114</f>
        <v>-0.18595147621952565</v>
      </c>
      <c r="D86" s="9">
        <v>562.82090600000004</v>
      </c>
      <c r="E86" s="8">
        <v>-2991.2791903673001</v>
      </c>
      <c r="F86" s="7">
        <f>(E86-(D86-$B$81)*C86)*27.2114</f>
        <v>-81397.800776400763</v>
      </c>
      <c r="G86" s="8">
        <f t="shared" ref="G86" si="8">(F86+$D$65/2-1*A78)-(F78+$D$66+$D$67)+$B$2+$D$81-0.0592*$B$72</f>
        <v>-0.80089147785727433</v>
      </c>
    </row>
    <row r="87" spans="1:7" x14ac:dyDescent="0.25">
      <c r="A87" s="2">
        <v>0</v>
      </c>
      <c r="B87" s="7">
        <f t="shared" si="7"/>
        <v>0</v>
      </c>
      <c r="C87" s="3">
        <f>-(A87+4.66)/27.2114</f>
        <v>-0.17125175477924692</v>
      </c>
      <c r="D87" s="9">
        <v>563.19521599999996</v>
      </c>
      <c r="E87" s="8">
        <v>-2991.34594051254</v>
      </c>
      <c r="F87" s="7">
        <f>(E87-(D87-$B$81)*C87)*27.2114</f>
        <v>-81397.801219102927</v>
      </c>
      <c r="G87" s="8">
        <f>(F87+$D$65/2-1*A79)-(F79+$D$66+$D$67)+$B$2+$D$81-0.0592*$B$72</f>
        <v>-0.39473044784497502</v>
      </c>
    </row>
    <row r="88" spans="1:7" x14ac:dyDescent="0.25">
      <c r="C88" s="15"/>
    </row>
    <row r="90" spans="1:7" x14ac:dyDescent="0.25">
      <c r="A90" s="2" t="s">
        <v>3</v>
      </c>
      <c r="B90" s="2">
        <v>562</v>
      </c>
      <c r="C90" s="5" t="s">
        <v>96</v>
      </c>
      <c r="D90" s="2">
        <v>0.28899999999999998</v>
      </c>
    </row>
    <row r="91" spans="1:7" x14ac:dyDescent="0.25">
      <c r="A91" s="73" t="s">
        <v>123</v>
      </c>
      <c r="B91" s="74"/>
      <c r="C91" s="74"/>
      <c r="D91" s="74"/>
      <c r="E91" s="74"/>
      <c r="F91" s="75"/>
      <c r="G91" s="2" t="s">
        <v>31</v>
      </c>
    </row>
    <row r="92" spans="1:7" x14ac:dyDescent="0.25">
      <c r="A92" s="4" t="s">
        <v>1</v>
      </c>
      <c r="B92" s="4" t="s">
        <v>100</v>
      </c>
      <c r="C92" s="4" t="s">
        <v>0</v>
      </c>
      <c r="D92" s="5" t="s">
        <v>2</v>
      </c>
      <c r="E92" s="5" t="s">
        <v>4</v>
      </c>
      <c r="F92" s="4" t="s">
        <v>5</v>
      </c>
      <c r="G92" s="6" t="s">
        <v>7</v>
      </c>
    </row>
    <row r="93" spans="1:7" x14ac:dyDescent="0.25">
      <c r="A93" s="7">
        <f>-C93*27.2114-4.66</f>
        <v>0.86043696403960013</v>
      </c>
      <c r="B93" s="7">
        <f>A93-0.0592*$B$72</f>
        <v>0.86043696403960013</v>
      </c>
      <c r="C93" s="3">
        <v>-0.202872214</v>
      </c>
      <c r="D93" s="9">
        <v>562</v>
      </c>
      <c r="E93" s="8">
        <v>-2990.6863976782402</v>
      </c>
      <c r="F93" s="7">
        <f>(E93-(D93-$B$90)*C93)*27.2114</f>
        <v>-81380.763841781663</v>
      </c>
      <c r="G93" s="47"/>
    </row>
    <row r="94" spans="1:7" x14ac:dyDescent="0.25">
      <c r="A94" s="2">
        <v>0.8</v>
      </c>
      <c r="B94" s="7">
        <f t="shared" ref="B94:B96" si="9">A94-0.0592*$B$72</f>
        <v>0.8</v>
      </c>
      <c r="C94" s="3">
        <f>-(A94+4.66)/27.2114</f>
        <v>-0.20065119765980433</v>
      </c>
      <c r="D94" s="9">
        <v>562.06143099999997</v>
      </c>
      <c r="E94" s="8">
        <v>-2990.69879639496</v>
      </c>
      <c r="F94" s="7">
        <f t="shared" ref="F94:F96" si="10">(E94-(D94-$B$90)*C94)*27.2114</f>
        <v>-81380.765814961807</v>
      </c>
      <c r="G94" s="8">
        <f>(F94+$D$65-2*A77)-(F77+$D$66+$D$67)+$B$3+$D$90-0.0592*$B$72</f>
        <v>-1.6216778145304045</v>
      </c>
    </row>
    <row r="95" spans="1:7" x14ac:dyDescent="0.25">
      <c r="A95" s="1">
        <v>0.4</v>
      </c>
      <c r="B95" s="7">
        <f t="shared" si="9"/>
        <v>0.4</v>
      </c>
      <c r="C95" s="3">
        <f>-(A95+4.66)/27.2114</f>
        <v>-0.18595147621952565</v>
      </c>
      <c r="D95" s="9">
        <v>562.45792400000005</v>
      </c>
      <c r="E95" s="8">
        <v>-2990.7754909294499</v>
      </c>
      <c r="F95" s="7">
        <f t="shared" si="10"/>
        <v>-81380.871098437638</v>
      </c>
      <c r="G95" s="8">
        <f t="shared" ref="G95:G96" si="11">(F95+$D$65-2*A78)-(F78+$D$66+$D$67)+$B$3+$D$90-0.0592*$B$72</f>
        <v>-1.0724638423112549</v>
      </c>
    </row>
    <row r="96" spans="1:7" x14ac:dyDescent="0.25">
      <c r="A96" s="2">
        <v>0</v>
      </c>
      <c r="B96" s="7">
        <f t="shared" si="9"/>
        <v>0</v>
      </c>
      <c r="C96" s="3">
        <f>-(A96+4.66)/27.2114</f>
        <v>-0.17125175477924692</v>
      </c>
      <c r="D96" s="9">
        <v>562.85954600000002</v>
      </c>
      <c r="E96" s="8">
        <v>-2990.8471442733799</v>
      </c>
      <c r="F96" s="7">
        <f t="shared" si="10"/>
        <v>-81381.13249732065</v>
      </c>
      <c r="G96" s="8">
        <f t="shared" si="11"/>
        <v>-0.52725899313968627</v>
      </c>
    </row>
    <row r="99" spans="1:7" x14ac:dyDescent="0.25">
      <c r="A99" s="2" t="s">
        <v>3</v>
      </c>
      <c r="B99" s="2">
        <v>563</v>
      </c>
      <c r="C99" s="5" t="s">
        <v>96</v>
      </c>
      <c r="D99" s="2">
        <v>0.27100000000000002</v>
      </c>
    </row>
    <row r="100" spans="1:7" x14ac:dyDescent="0.25">
      <c r="A100" s="73" t="s">
        <v>124</v>
      </c>
      <c r="B100" s="74"/>
      <c r="C100" s="74"/>
      <c r="D100" s="74"/>
      <c r="E100" s="74"/>
      <c r="F100" s="75"/>
      <c r="G100" s="2" t="s">
        <v>31</v>
      </c>
    </row>
    <row r="101" spans="1:7" x14ac:dyDescent="0.25">
      <c r="A101" s="4" t="s">
        <v>1</v>
      </c>
      <c r="B101" s="4" t="s">
        <v>100</v>
      </c>
      <c r="C101" s="4" t="s">
        <v>0</v>
      </c>
      <c r="D101" s="5" t="s">
        <v>2</v>
      </c>
      <c r="E101" s="5" t="s">
        <v>4</v>
      </c>
      <c r="F101" s="4" t="s">
        <v>5</v>
      </c>
      <c r="G101" s="6" t="s">
        <v>7</v>
      </c>
    </row>
    <row r="102" spans="1:7" x14ac:dyDescent="0.25">
      <c r="A102" s="7">
        <f>-C102*27.2114-4.66</f>
        <v>0.45847816339119962</v>
      </c>
      <c r="B102" s="7">
        <f>A102-0.0592*$B$72</f>
        <v>0.45847816339119962</v>
      </c>
      <c r="C102" s="3">
        <v>-0.188100508</v>
      </c>
      <c r="D102" s="9">
        <v>563</v>
      </c>
      <c r="E102" s="8">
        <v>-2994.8355237185401</v>
      </c>
      <c r="F102" s="7">
        <f>(E102-(D102-$B$99)*C102)*27.2114</f>
        <v>-81493.667370114679</v>
      </c>
      <c r="G102" s="47"/>
    </row>
    <row r="103" spans="1:7" x14ac:dyDescent="0.25">
      <c r="A103" s="2">
        <v>0.8</v>
      </c>
      <c r="B103" s="7">
        <f t="shared" ref="B103:B105" si="12">A103-0.0592*$B$72</f>
        <v>0.8</v>
      </c>
      <c r="C103" s="3">
        <f>-(A103+4.66)/27.2114</f>
        <v>-0.20065119765980433</v>
      </c>
      <c r="D103" s="9">
        <v>562.68032600000004</v>
      </c>
      <c r="E103" s="8">
        <v>-2994.7733815728702</v>
      </c>
      <c r="F103" s="7">
        <f t="shared" ref="F103:F105" si="13">(E103-(D103-$B$99)*C103)*27.2114</f>
        <v>-81493.721815372002</v>
      </c>
      <c r="G103" s="8">
        <f>(F103+$D$65/2-1*A103)-(F77+$D$68)+$B$4+$D$99-0.0592*$B$72</f>
        <v>-0.67288298849399819</v>
      </c>
    </row>
    <row r="104" spans="1:7" x14ac:dyDescent="0.25">
      <c r="A104" s="1">
        <v>0.4</v>
      </c>
      <c r="B104" s="7">
        <f t="shared" si="12"/>
        <v>0.4</v>
      </c>
      <c r="C104" s="3">
        <f>-(A104+4.66)/27.2114</f>
        <v>-0.18595147621952565</v>
      </c>
      <c r="D104" s="9">
        <v>563.05308300000002</v>
      </c>
      <c r="E104" s="8">
        <v>-2994.8454558561598</v>
      </c>
      <c r="F104" s="7">
        <f t="shared" si="13"/>
        <v>-81493.669037504311</v>
      </c>
      <c r="G104" s="8">
        <f t="shared" ref="G104:G105" si="14">(F104+$D$65/2-1*A104)-(F78+$D$68)+$B$4+$D$99-0.0592*$B$72</f>
        <v>-0.36560767274733319</v>
      </c>
    </row>
    <row r="105" spans="1:7" x14ac:dyDescent="0.25">
      <c r="A105" s="2">
        <v>0</v>
      </c>
      <c r="B105" s="7">
        <f t="shared" si="12"/>
        <v>0</v>
      </c>
      <c r="C105" s="3">
        <f>-(A105+4.66)/27.2114</f>
        <v>-0.17125175477924692</v>
      </c>
      <c r="D105" s="9">
        <v>563.42989899999998</v>
      </c>
      <c r="E105" s="8">
        <v>-2994.9126977430001</v>
      </c>
      <c r="F105" s="7">
        <f t="shared" si="13"/>
        <v>-81493.764054023879</v>
      </c>
      <c r="G105" s="8">
        <f t="shared" si="14"/>
        <v>-5.4020460140068671E-2</v>
      </c>
    </row>
    <row r="108" spans="1:7" x14ac:dyDescent="0.25">
      <c r="A108" s="2" t="s">
        <v>3</v>
      </c>
      <c r="B108" s="2">
        <v>557</v>
      </c>
      <c r="C108" s="5" t="s">
        <v>96</v>
      </c>
      <c r="D108" s="2">
        <v>0.182</v>
      </c>
    </row>
    <row r="109" spans="1:7" x14ac:dyDescent="0.25">
      <c r="A109" s="73" t="s">
        <v>125</v>
      </c>
      <c r="B109" s="74"/>
      <c r="C109" s="74"/>
      <c r="D109" s="74"/>
      <c r="E109" s="74"/>
      <c r="F109" s="75"/>
      <c r="G109" s="2" t="s">
        <v>31</v>
      </c>
    </row>
    <row r="110" spans="1:7" x14ac:dyDescent="0.25">
      <c r="A110" s="4" t="s">
        <v>1</v>
      </c>
      <c r="B110" s="4" t="s">
        <v>100</v>
      </c>
      <c r="C110" s="4" t="s">
        <v>0</v>
      </c>
      <c r="D110" s="5" t="s">
        <v>2</v>
      </c>
      <c r="E110" s="5" t="s">
        <v>4</v>
      </c>
      <c r="F110" s="4" t="s">
        <v>5</v>
      </c>
      <c r="G110" s="6" t="s">
        <v>7</v>
      </c>
    </row>
    <row r="111" spans="1:7" x14ac:dyDescent="0.25">
      <c r="A111" s="7">
        <f>-C111*27.2114-4.66</f>
        <v>0.37076757613700018</v>
      </c>
      <c r="B111" s="7">
        <f>A111-0.0592*$B$72</f>
        <v>0.37076757613700018</v>
      </c>
      <c r="C111" s="3">
        <v>-0.18487720499999999</v>
      </c>
      <c r="D111" s="9">
        <v>557</v>
      </c>
      <c r="E111" s="8">
        <v>-2978.7975891810402</v>
      </c>
      <c r="F111" s="7">
        <f>(E111-(D111-$B$108)*C111)*27.2114</f>
        <v>-81057.252718240954</v>
      </c>
      <c r="G111" s="47"/>
    </row>
    <row r="112" spans="1:7" x14ac:dyDescent="0.25">
      <c r="A112" s="2">
        <v>0.8</v>
      </c>
      <c r="B112" s="7">
        <f t="shared" ref="B112:B114" si="15">A112-0.0592*$B$72</f>
        <v>0.8</v>
      </c>
      <c r="C112" s="3">
        <f>-(A112+4.66)/27.2114</f>
        <v>-0.20065119765980433</v>
      </c>
      <c r="D112" s="9">
        <v>556.61353399999996</v>
      </c>
      <c r="E112" s="8">
        <v>-2978.72309823557</v>
      </c>
      <c r="F112" s="7">
        <f t="shared" ref="F112:F114" si="16">(E112-(D112-$B$108)*C112)*27.2114</f>
        <v>-81057.335819687389</v>
      </c>
      <c r="G112" s="8">
        <f>(F112+$D$65/2-1*A112)-(F77+$D$69)+$B$5+$D$108-0.0592*$B$72</f>
        <v>-1.344725004595547</v>
      </c>
    </row>
    <row r="113" spans="1:7" x14ac:dyDescent="0.25">
      <c r="A113" s="1">
        <v>0.4</v>
      </c>
      <c r="B113" s="7">
        <f t="shared" si="15"/>
        <v>0.4</v>
      </c>
      <c r="C113" s="3">
        <f>-(A113+4.66)/27.2114</f>
        <v>-0.18595147621952565</v>
      </c>
      <c r="D113" s="9">
        <v>556.97527400000001</v>
      </c>
      <c r="E113" s="8">
        <v>-2978.7930047898999</v>
      </c>
      <c r="F113" s="7">
        <f t="shared" si="16"/>
        <v>-81057.253084099881</v>
      </c>
      <c r="G113" s="8">
        <f t="shared" ref="G113:G114" si="17">(F113+$D$65/2-1*A113)-(F78+$D$69)+$B$5+$D$108-0.0592*$B$72</f>
        <v>-1.0074919690322885</v>
      </c>
    </row>
    <row r="114" spans="1:7" x14ac:dyDescent="0.25">
      <c r="A114" s="2">
        <v>0</v>
      </c>
      <c r="B114" s="7">
        <f t="shared" si="15"/>
        <v>0</v>
      </c>
      <c r="C114" s="3">
        <f>-(A114+4.66)/27.2114</f>
        <v>-0.17125175477924692</v>
      </c>
      <c r="D114" s="9">
        <v>557.35010899999997</v>
      </c>
      <c r="E114" s="8">
        <v>-2978.8598422167702</v>
      </c>
      <c r="F114" s="7">
        <f t="shared" si="16"/>
        <v>-81057.315202557424</v>
      </c>
      <c r="G114" s="8">
        <f t="shared" si="17"/>
        <v>-0.66300669439982718</v>
      </c>
    </row>
    <row r="117" spans="1:7" x14ac:dyDescent="0.25">
      <c r="A117" s="2" t="s">
        <v>3</v>
      </c>
      <c r="B117" s="2">
        <v>547</v>
      </c>
      <c r="C117" s="5" t="s">
        <v>96</v>
      </c>
      <c r="D117" s="2">
        <v>0.25</v>
      </c>
    </row>
    <row r="118" spans="1:7" x14ac:dyDescent="0.25">
      <c r="A118" s="73" t="s">
        <v>299</v>
      </c>
      <c r="B118" s="74"/>
      <c r="C118" s="74"/>
      <c r="D118" s="74"/>
      <c r="E118" s="74"/>
      <c r="F118" s="75"/>
      <c r="G118" s="2" t="s">
        <v>31</v>
      </c>
    </row>
    <row r="119" spans="1:7" x14ac:dyDescent="0.25">
      <c r="A119" s="4" t="s">
        <v>1</v>
      </c>
      <c r="B119" s="4" t="s">
        <v>100</v>
      </c>
      <c r="C119" s="4" t="s">
        <v>0</v>
      </c>
      <c r="D119" s="5" t="s">
        <v>2</v>
      </c>
      <c r="E119" s="5" t="s">
        <v>4</v>
      </c>
      <c r="F119" s="4" t="s">
        <v>5</v>
      </c>
      <c r="G119" s="6" t="s">
        <v>7</v>
      </c>
    </row>
    <row r="120" spans="1:7" x14ac:dyDescent="0.25">
      <c r="A120" s="7">
        <f>-C120*27.2114-4.66</f>
        <v>0.2882193996338005</v>
      </c>
      <c r="B120" s="7">
        <f>A120-0.0592*$B$72</f>
        <v>0.2882193996338005</v>
      </c>
      <c r="C120" s="3">
        <v>-0.18184361700000001</v>
      </c>
      <c r="D120" s="9">
        <v>547</v>
      </c>
      <c r="E120" s="8">
        <v>-2953.3932732206299</v>
      </c>
      <c r="F120" s="7">
        <f>(E120-(D120-$B$117)*C120)*27.2114</f>
        <v>-80365.965714915859</v>
      </c>
      <c r="G120" s="47"/>
    </row>
    <row r="121" spans="1:7" x14ac:dyDescent="0.25">
      <c r="A121" s="2">
        <v>0.8</v>
      </c>
      <c r="B121" s="7">
        <f t="shared" ref="B121:B123" si="18">A121-0.0592*$B$72</f>
        <v>0.8</v>
      </c>
      <c r="C121" s="3">
        <f>-(A121+4.66)/27.2114</f>
        <v>-0.20065119765980433</v>
      </c>
      <c r="D121" s="9">
        <v>546.47945200000004</v>
      </c>
      <c r="E121" s="8">
        <v>-2953.2938492132898</v>
      </c>
      <c r="F121" s="7">
        <f t="shared" ref="F121:F123" si="19">(E121-(D121-$B$117)*C121)*27.2114</f>
        <v>-80366.102440562507</v>
      </c>
      <c r="G121" s="8">
        <f>(F121+1/2*$D$65-1*A121)-(F77 + $D$67)+$D$117-0.0592*$B$72 + $E$2</f>
        <v>-1.122762367035159</v>
      </c>
    </row>
    <row r="122" spans="1:7" x14ac:dyDescent="0.25">
      <c r="A122" s="1">
        <v>0.4</v>
      </c>
      <c r="B122" s="7">
        <f t="shared" si="18"/>
        <v>0.4</v>
      </c>
      <c r="C122" s="3">
        <f>-(A122+4.66)/27.2114</f>
        <v>-0.18595147621952565</v>
      </c>
      <c r="D122" s="9">
        <v>546.89278899999999</v>
      </c>
      <c r="E122" s="8">
        <v>-2953.3735570908898</v>
      </c>
      <c r="F122" s="7">
        <f t="shared" si="19"/>
        <v>-80365.971699083035</v>
      </c>
      <c r="G122" s="8">
        <f t="shared" ref="G122:G123" si="20">(F122+1/2*$D$65-1*A122)-(F78 + $D$67)+$D$117-0.0592*$B$72 + $E$2</f>
        <v>-0.73752343950806099</v>
      </c>
    </row>
    <row r="123" spans="1:7" x14ac:dyDescent="0.25">
      <c r="A123" s="2">
        <v>0</v>
      </c>
      <c r="B123" s="7">
        <f t="shared" si="18"/>
        <v>0</v>
      </c>
      <c r="C123" s="3">
        <f>-(A123+4.66)/27.2114</f>
        <v>-0.17125175477924692</v>
      </c>
      <c r="D123" s="9">
        <v>547.346813</v>
      </c>
      <c r="E123" s="8">
        <v>-2953.4543829181298</v>
      </c>
      <c r="F123" s="7">
        <f t="shared" si="19"/>
        <v>-80366.01244675841</v>
      </c>
      <c r="G123" s="8">
        <f t="shared" si="20"/>
        <v>-0.37166738270794886</v>
      </c>
    </row>
    <row r="126" spans="1:7" x14ac:dyDescent="0.25">
      <c r="A126" s="2" t="s">
        <v>3</v>
      </c>
      <c r="B126" s="2">
        <v>541</v>
      </c>
      <c r="C126" s="5" t="s">
        <v>96</v>
      </c>
      <c r="D126" s="2">
        <v>0.16400000000000001</v>
      </c>
    </row>
    <row r="127" spans="1:7" x14ac:dyDescent="0.25">
      <c r="A127" s="73" t="s">
        <v>300</v>
      </c>
      <c r="B127" s="74"/>
      <c r="C127" s="74"/>
      <c r="D127" s="74"/>
      <c r="E127" s="74"/>
      <c r="F127" s="75"/>
      <c r="G127" s="2" t="s">
        <v>31</v>
      </c>
    </row>
    <row r="128" spans="1:7" x14ac:dyDescent="0.25">
      <c r="A128" s="4" t="s">
        <v>1</v>
      </c>
      <c r="B128" s="4" t="s">
        <v>100</v>
      </c>
      <c r="C128" s="4" t="s">
        <v>0</v>
      </c>
      <c r="D128" s="5" t="s">
        <v>2</v>
      </c>
      <c r="E128" s="5" t="s">
        <v>4</v>
      </c>
      <c r="F128" s="4" t="s">
        <v>5</v>
      </c>
      <c r="G128" s="6" t="s">
        <v>7</v>
      </c>
    </row>
    <row r="129" spans="1:7" x14ac:dyDescent="0.25">
      <c r="A129" s="7">
        <f>-C129*27.2114-4.66</f>
        <v>0.23059683831920008</v>
      </c>
      <c r="B129" s="7">
        <f>A129-0.0592*$B$72</f>
        <v>0.23059683831920008</v>
      </c>
      <c r="C129" s="3">
        <v>-0.17972602800000001</v>
      </c>
      <c r="D129" s="9">
        <v>541</v>
      </c>
      <c r="E129" s="8">
        <v>-2937.3247068014002</v>
      </c>
      <c r="F129" s="7">
        <f>(E129-(D129-$B$126)*C129)*27.2114</f>
        <v>-79928.71752665563</v>
      </c>
      <c r="G129" s="47"/>
    </row>
    <row r="130" spans="1:7" x14ac:dyDescent="0.25">
      <c r="A130" s="2">
        <v>0.8</v>
      </c>
      <c r="B130" s="7">
        <f t="shared" ref="B130:B132" si="21">A130-0.0592*$B$72</f>
        <v>0.8</v>
      </c>
      <c r="C130" s="3">
        <f>-(A130+4.66)/27.2114</f>
        <v>-0.20065119765980433</v>
      </c>
      <c r="D130" s="9">
        <v>540.471901</v>
      </c>
      <c r="E130" s="8">
        <v>-2937.22420148841</v>
      </c>
      <c r="F130" s="7">
        <f t="shared" ref="F130:F132" si="22">(E130-(D130-$B$126)*C130)*27.2114</f>
        <v>-79928.866056921732</v>
      </c>
      <c r="G130" s="8">
        <f>(F130)-(F77+$D$65/2-1*A130)+$D$126-0.0592*$B$72</f>
        <v>0.32626298922265418</v>
      </c>
    </row>
    <row r="131" spans="1:7" x14ac:dyDescent="0.25">
      <c r="A131" s="1">
        <v>0.4</v>
      </c>
      <c r="B131" s="7">
        <f t="shared" si="21"/>
        <v>0.4</v>
      </c>
      <c r="C131" s="3">
        <f>-(A131+4.66)/27.2114</f>
        <v>-0.18595147621952565</v>
      </c>
      <c r="D131" s="9">
        <v>540.84847500000001</v>
      </c>
      <c r="E131" s="8">
        <v>-2937.2970088851798</v>
      </c>
      <c r="F131" s="7">
        <f t="shared" si="22"/>
        <v>-79928.730544078178</v>
      </c>
      <c r="G131" s="8">
        <f t="shared" ref="G131:G132" si="23">(F131)-(F78+$D$65/2-1*A131)+$D$126-0.0592*$B$72</f>
        <v>-8.3726719186175608E-2</v>
      </c>
    </row>
    <row r="132" spans="1:7" x14ac:dyDescent="0.25">
      <c r="A132" s="2">
        <v>0</v>
      </c>
      <c r="B132" s="7">
        <f t="shared" si="21"/>
        <v>0</v>
      </c>
      <c r="C132" s="3">
        <f>-(A132+4.66)/27.2114</f>
        <v>-0.17125175477924692</v>
      </c>
      <c r="D132" s="9">
        <v>541.24429599999996</v>
      </c>
      <c r="E132" s="8">
        <v>-2937.3674997016401</v>
      </c>
      <c r="F132" s="7">
        <f t="shared" si="22"/>
        <v>-79928.743562021205</v>
      </c>
      <c r="G132" s="8">
        <f t="shared" si="23"/>
        <v>-0.49014093002618753</v>
      </c>
    </row>
    <row r="135" spans="1:7" x14ac:dyDescent="0.25">
      <c r="A135" s="2" t="s">
        <v>3</v>
      </c>
      <c r="B135" s="2">
        <v>547</v>
      </c>
      <c r="C135" s="5" t="s">
        <v>96</v>
      </c>
      <c r="D135" s="2">
        <v>-1.6E-2</v>
      </c>
      <c r="E135" s="5" t="s">
        <v>186</v>
      </c>
      <c r="F135" s="2">
        <v>1.36</v>
      </c>
    </row>
    <row r="136" spans="1:7" x14ac:dyDescent="0.25">
      <c r="A136" s="73" t="s">
        <v>301</v>
      </c>
      <c r="B136" s="74"/>
      <c r="C136" s="74"/>
      <c r="D136" s="74"/>
      <c r="E136" s="74"/>
      <c r="F136" s="75"/>
      <c r="G136" s="2" t="s">
        <v>31</v>
      </c>
    </row>
    <row r="137" spans="1:7" x14ac:dyDescent="0.25">
      <c r="A137" s="4" t="s">
        <v>1</v>
      </c>
      <c r="B137" s="4" t="s">
        <v>100</v>
      </c>
      <c r="C137" s="4" t="s">
        <v>0</v>
      </c>
      <c r="D137" s="5" t="s">
        <v>2</v>
      </c>
      <c r="E137" s="5" t="s">
        <v>4</v>
      </c>
      <c r="F137" s="4" t="s">
        <v>5</v>
      </c>
      <c r="G137" s="6" t="s">
        <v>7</v>
      </c>
    </row>
    <row r="138" spans="1:7" x14ac:dyDescent="0.25">
      <c r="A138" s="7">
        <f>-C138*27.2114-4.66</f>
        <v>0.20239001809579982</v>
      </c>
      <c r="B138" s="7">
        <f>A138-0.0592*$B$72</f>
        <v>0.20239001809579982</v>
      </c>
      <c r="C138" s="3">
        <v>-0.178689447</v>
      </c>
      <c r="D138" s="9">
        <v>547</v>
      </c>
      <c r="E138" s="8">
        <v>-2951.8189667390202</v>
      </c>
      <c r="F138" s="7">
        <f>(E138-(D138-$B$135)*C138)*27.2114</f>
        <v>-80323.126631522173</v>
      </c>
      <c r="G138" s="47"/>
    </row>
    <row r="139" spans="1:7" x14ac:dyDescent="0.25">
      <c r="A139" s="2">
        <v>0.8</v>
      </c>
      <c r="B139" s="7">
        <f t="shared" ref="B139:B141" si="24">A139-0.0592*$B$72</f>
        <v>0.8</v>
      </c>
      <c r="C139" s="3">
        <f>-(A139+4.66)/27.2114</f>
        <v>-0.20065119765980433</v>
      </c>
      <c r="D139" s="9">
        <v>546.46662500000002</v>
      </c>
      <c r="E139" s="8">
        <v>-2951.71771511309</v>
      </c>
      <c r="F139" s="7">
        <f>(E139-(D139-$B$135)*C139)*27.2114</f>
        <v>-80323.283660528337</v>
      </c>
      <c r="G139" s="8">
        <f>(F139+1*($F$135-A139)) - (F77+$J$65/2) + $D$135</f>
        <v>-1.3477702020285651</v>
      </c>
    </row>
    <row r="140" spans="1:7" x14ac:dyDescent="0.25">
      <c r="A140" s="1">
        <v>0.4</v>
      </c>
      <c r="B140" s="7">
        <f t="shared" si="24"/>
        <v>0.4</v>
      </c>
      <c r="C140" s="3">
        <f>-(A140+4.66)/27.2114</f>
        <v>-0.18595147621952565</v>
      </c>
      <c r="D140" s="9">
        <v>546.82961599999999</v>
      </c>
      <c r="E140" s="8">
        <v>-2951.7878950368899</v>
      </c>
      <c r="F140" s="7">
        <f t="shared" ref="F140" si="25">(E140-(D140-$B$135)*C140)*27.2114</f>
        <v>-80323.143270046829</v>
      </c>
      <c r="G140" s="8">
        <f t="shared" ref="G140:G141" si="26">(F140+1*($F$135-A140)) - (F78+$J$65/2) + $D$135</f>
        <v>-0.95288227246457247</v>
      </c>
    </row>
    <row r="141" spans="1:7" x14ac:dyDescent="0.25">
      <c r="A141" s="2">
        <v>0</v>
      </c>
      <c r="B141" s="7">
        <f t="shared" si="24"/>
        <v>0</v>
      </c>
      <c r="C141" s="3">
        <f>-(A141+4.66)/27.2114</f>
        <v>-0.17125175477924692</v>
      </c>
      <c r="D141" s="9">
        <v>547.19532400000003</v>
      </c>
      <c r="E141" s="8">
        <v>-2951.85311129508</v>
      </c>
      <c r="F141" s="7">
        <f>(E141-(D141-$B$135)*C141)*27.2114</f>
        <v>-80323.145542854938</v>
      </c>
      <c r="G141" s="8">
        <f t="shared" si="26"/>
        <v>-0.54855134839855602</v>
      </c>
    </row>
    <row r="144" spans="1:7" x14ac:dyDescent="0.25">
      <c r="A144" s="2" t="s">
        <v>3</v>
      </c>
      <c r="B144" s="2">
        <v>570</v>
      </c>
      <c r="C144" s="5" t="s">
        <v>96</v>
      </c>
      <c r="D144" s="2">
        <v>0.33700000000000002</v>
      </c>
      <c r="E144" s="5" t="s">
        <v>186</v>
      </c>
      <c r="F144" s="2">
        <v>9.9000000000000005E-2</v>
      </c>
    </row>
    <row r="145" spans="1:7" x14ac:dyDescent="0.25">
      <c r="A145" s="73" t="s">
        <v>302</v>
      </c>
      <c r="B145" s="74"/>
      <c r="C145" s="74"/>
      <c r="D145" s="74"/>
      <c r="E145" s="74"/>
      <c r="F145" s="75"/>
      <c r="G145" s="2" t="s">
        <v>31</v>
      </c>
    </row>
    <row r="146" spans="1:7" x14ac:dyDescent="0.25">
      <c r="A146" s="4" t="s">
        <v>1</v>
      </c>
      <c r="B146" s="4" t="s">
        <v>100</v>
      </c>
      <c r="C146" s="4" t="s">
        <v>0</v>
      </c>
      <c r="D146" s="5" t="s">
        <v>2</v>
      </c>
      <c r="E146" s="5" t="s">
        <v>4</v>
      </c>
      <c r="F146" s="4" t="s">
        <v>5</v>
      </c>
      <c r="G146" s="6" t="s">
        <v>7</v>
      </c>
    </row>
    <row r="147" spans="1:7" x14ac:dyDescent="0.25">
      <c r="A147" s="7">
        <f>-C147*27.2114-4.66</f>
        <v>0.76112305486580034</v>
      </c>
      <c r="B147" s="7">
        <f>A147-0.0592*$B$72</f>
        <v>0.76112305486580034</v>
      </c>
      <c r="C147" s="3">
        <v>-0.199222497</v>
      </c>
      <c r="D147" s="9">
        <v>570</v>
      </c>
      <c r="E147" s="8">
        <v>-3011.3482146404799</v>
      </c>
      <c r="F147" s="7">
        <f>(E147-(D147-$B$144)*C147)*27.2114</f>
        <v>-81943.000807867953</v>
      </c>
      <c r="G147" s="47"/>
    </row>
    <row r="148" spans="1:7" x14ac:dyDescent="0.25">
      <c r="A148" s="2">
        <v>0.8</v>
      </c>
      <c r="B148" s="7">
        <f t="shared" ref="B148:B150" si="27">A148-0.0592*$B$72</f>
        <v>0.8</v>
      </c>
      <c r="C148" s="3">
        <f>-(A148+4.66)/27.2114</f>
        <v>-0.20065119765980433</v>
      </c>
      <c r="D148" s="9">
        <v>569.96406899999999</v>
      </c>
      <c r="E148" s="8">
        <v>-3011.3410321169299</v>
      </c>
      <c r="F148" s="7">
        <f>(E148-(D148-$B$144)*C148)*27.2114</f>
        <v>-81943.001544606625</v>
      </c>
      <c r="G148" s="8">
        <f>(F148+2*$D$65-2*(A148+$F$144))-(F77 + $J$66+'Exp. thermo'!$C$64/96.49 + 2*$D$67-2*'Exp. thermo'!$G$6/96.49+2*'Exp. thermo'!$B$71/96.49)+$D$144-0.0592*$B$72-'Exp. thermo'!$C$41/96.49</f>
        <v>-1.3414630188251471</v>
      </c>
    </row>
    <row r="149" spans="1:7" x14ac:dyDescent="0.25">
      <c r="A149" s="1">
        <v>0.4</v>
      </c>
      <c r="B149" s="7">
        <f t="shared" si="27"/>
        <v>0.4</v>
      </c>
      <c r="C149" s="3">
        <f>-(A149+4.66)/27.2114</f>
        <v>-0.18595147621952565</v>
      </c>
      <c r="D149" s="9">
        <v>570.34419800000001</v>
      </c>
      <c r="E149" s="8">
        <v>-3011.4145520184902</v>
      </c>
      <c r="F149" s="7">
        <f t="shared" ref="F149:F150" si="28">(E149-(D149-$B$144)*C149)*27.2114</f>
        <v>-81943.064298915953</v>
      </c>
      <c r="G149" s="8">
        <f>(F149+2*$D$65-2*(A149+$F$144))-(F78 + $J$66+'Exp. thermo'!$C$64/96.49 + 2*$D$67-2*'Exp. thermo'!$G$6/96.49+2*'Exp. thermo'!$B$71/96.49)+$D$144-0.0592*$B$72-'Exp. thermo'!$C$41/96.49</f>
        <v>-0.7497198801190682</v>
      </c>
    </row>
    <row r="150" spans="1:7" x14ac:dyDescent="0.25">
      <c r="A150" s="2">
        <v>0</v>
      </c>
      <c r="B150" s="7">
        <f t="shared" si="27"/>
        <v>0</v>
      </c>
      <c r="C150" s="3">
        <f>-(A150+4.66)/27.2114</f>
        <v>-0.17125175477924692</v>
      </c>
      <c r="D150" s="9">
        <v>570.73692800000003</v>
      </c>
      <c r="E150" s="8">
        <v>-3011.4846028750399</v>
      </c>
      <c r="F150" s="7">
        <f t="shared" si="28"/>
        <v>-81943.278038193865</v>
      </c>
      <c r="G150" s="8">
        <f>(F150+2*$D$65-2*(A150+$F$144))-(F79 + $J$66+'Exp. thermo'!$C$64/96.49 + 2*$D$67-2*'Exp. thermo'!$G$6/96.49+2*'Exp. thermo'!$B$71/96.49)+$D$144-0.0592*$B$72-'Exp. thermo'!$C$41/96.49</f>
        <v>-0.15685542584628295</v>
      </c>
    </row>
    <row r="153" spans="1:7" x14ac:dyDescent="0.25">
      <c r="A153" s="2" t="s">
        <v>3</v>
      </c>
      <c r="B153" s="2">
        <v>569</v>
      </c>
      <c r="C153" s="5" t="s">
        <v>96</v>
      </c>
      <c r="D153" s="2">
        <v>0.30399999999999999</v>
      </c>
      <c r="E153" s="5" t="s">
        <v>186</v>
      </c>
      <c r="F153" s="2">
        <v>-0.26900000000000002</v>
      </c>
    </row>
    <row r="154" spans="1:7" x14ac:dyDescent="0.25">
      <c r="A154" s="73" t="s">
        <v>303</v>
      </c>
      <c r="B154" s="74"/>
      <c r="C154" s="74"/>
      <c r="D154" s="74"/>
      <c r="E154" s="74"/>
      <c r="F154" s="75"/>
      <c r="G154" s="2" t="s">
        <v>31</v>
      </c>
    </row>
    <row r="155" spans="1:7" x14ac:dyDescent="0.25">
      <c r="A155" s="4" t="s">
        <v>1</v>
      </c>
      <c r="B155" s="4" t="s">
        <v>100</v>
      </c>
      <c r="C155" s="4" t="s">
        <v>0</v>
      </c>
      <c r="D155" s="5" t="s">
        <v>2</v>
      </c>
      <c r="E155" s="5" t="s">
        <v>4</v>
      </c>
      <c r="F155" s="4" t="s">
        <v>5</v>
      </c>
      <c r="G155" s="6" t="s">
        <v>7</v>
      </c>
    </row>
    <row r="156" spans="1:7" x14ac:dyDescent="0.25">
      <c r="A156" s="7">
        <f>-C156*27.2114-4.66</f>
        <v>1.0935531638208005</v>
      </c>
      <c r="B156" s="7">
        <f>A156-0.0592*$B$72</f>
        <v>1.0935531638208005</v>
      </c>
      <c r="C156" s="3">
        <v>-0.21143907200000001</v>
      </c>
      <c r="D156" s="9">
        <v>569</v>
      </c>
      <c r="E156" s="8">
        <v>-3007.8047762541401</v>
      </c>
      <c r="F156" s="7">
        <f>(E156-(D156-$B$153)*C156)*27.2114</f>
        <v>-81846.578888561911</v>
      </c>
      <c r="G156" s="47"/>
    </row>
    <row r="157" spans="1:7" x14ac:dyDescent="0.25">
      <c r="A157" s="2">
        <v>0.8</v>
      </c>
      <c r="B157" s="7">
        <f t="shared" ref="B157:B159" si="29">A157-0.0592*$B$72</f>
        <v>0.8</v>
      </c>
      <c r="C157" s="3">
        <f>-(A157+4.66)/27.2114</f>
        <v>-0.20065119765980433</v>
      </c>
      <c r="D157" s="9">
        <v>569.28322100000003</v>
      </c>
      <c r="E157" s="8">
        <v>-3007.86314624325</v>
      </c>
      <c r="F157" s="7">
        <f>(E157-(D157-$B$153)*C157)*27.2114</f>
        <v>-81846.620831023567</v>
      </c>
      <c r="G157" s="8">
        <f>(F157+11/2*$D$65-3*A157-8*$F$153)-(F77 + $J$67 + 4*$D$67-4*'Exp. thermo'!$G$6/96.49+4*'Exp. thermo'!$B$71/96.49)+$D$153-0.0592*$B$72 + $E$3</f>
        <v>-2.3268764073342774</v>
      </c>
    </row>
    <row r="158" spans="1:7" x14ac:dyDescent="0.25">
      <c r="A158" s="1">
        <v>0.4</v>
      </c>
      <c r="B158" s="7">
        <f t="shared" si="29"/>
        <v>0.4</v>
      </c>
      <c r="C158" s="3">
        <f>-(A158+4.66)/27.2114</f>
        <v>-0.18595147621952565</v>
      </c>
      <c r="D158" s="9">
        <v>569.66149199999995</v>
      </c>
      <c r="E158" s="8">
        <v>-3007.9362674389599</v>
      </c>
      <c r="F158" s="7">
        <f t="shared" ref="F158:F159" si="30">(E158-(D158-$B$153)*C158)*27.2114</f>
        <v>-81846.809798268514</v>
      </c>
      <c r="G158" s="8">
        <f>(F158+11/2*$D$65-3*A158-8*$F$153)-(F78 + $J$67 + 4*$D$67-4*'Exp. thermo'!$G$6/96.49+4*'Exp. thermo'!$B$71/96.49)+$D$153-0.0592*$B$72 + $E$3</f>
        <v>-1.4613462042377088</v>
      </c>
    </row>
    <row r="159" spans="1:7" x14ac:dyDescent="0.25">
      <c r="A159" s="2">
        <v>0</v>
      </c>
      <c r="B159" s="7">
        <f t="shared" si="29"/>
        <v>0</v>
      </c>
      <c r="C159" s="3">
        <f>-(A159+4.66)/27.2114</f>
        <v>-0.17125175477924692</v>
      </c>
      <c r="D159" s="9">
        <v>570.07498199999998</v>
      </c>
      <c r="E159" s="8">
        <v>-3008.0099929181702</v>
      </c>
      <c r="F159" s="7">
        <f t="shared" si="30"/>
        <v>-81847.153705173492</v>
      </c>
      <c r="G159" s="8">
        <f>(F159+11/2*$D$65-3*A159-8*$F$153)-(F79 + $J$67 + 4*$D$67-4*'Exp. thermo'!$G$6/96.49+4*'Exp. thermo'!$B$71/96.49)+$D$153-0.0592*$B$72 + $E$3</f>
        <v>-0.59864937703758381</v>
      </c>
    </row>
    <row r="162" spans="1:7" x14ac:dyDescent="0.25">
      <c r="A162" s="2" t="s">
        <v>3</v>
      </c>
      <c r="B162" s="2">
        <v>563</v>
      </c>
      <c r="C162" s="5" t="s">
        <v>96</v>
      </c>
      <c r="D162" s="2">
        <v>1.1719999999999999</v>
      </c>
    </row>
    <row r="163" spans="1:7" x14ac:dyDescent="0.25">
      <c r="A163" s="73" t="s">
        <v>304</v>
      </c>
      <c r="B163" s="74"/>
      <c r="C163" s="74"/>
      <c r="D163" s="74"/>
      <c r="E163" s="74"/>
      <c r="F163" s="75"/>
      <c r="G163" s="2" t="s">
        <v>31</v>
      </c>
    </row>
    <row r="164" spans="1:7" x14ac:dyDescent="0.25">
      <c r="A164" s="4" t="s">
        <v>1</v>
      </c>
      <c r="B164" s="4" t="s">
        <v>100</v>
      </c>
      <c r="C164" s="4" t="s">
        <v>0</v>
      </c>
      <c r="D164" s="5" t="s">
        <v>2</v>
      </c>
      <c r="E164" s="5" t="s">
        <v>4</v>
      </c>
      <c r="F164" s="4" t="s">
        <v>5</v>
      </c>
      <c r="G164" s="6" t="s">
        <v>7</v>
      </c>
    </row>
    <row r="165" spans="1:7" x14ac:dyDescent="0.25">
      <c r="A165" s="7">
        <f>-C165*27.2114-4.66</f>
        <v>0.13186495378000007</v>
      </c>
      <c r="B165" s="7">
        <f>A165-0.0592*$B$72</f>
        <v>0.13186495378000007</v>
      </c>
      <c r="C165" s="3">
        <v>-0.1760977</v>
      </c>
      <c r="D165" s="9">
        <v>563</v>
      </c>
      <c r="E165" s="8">
        <v>-2982.1245497497998</v>
      </c>
      <c r="F165" s="7">
        <f>(E165-(D165-$B$162)*C165)*27.2114</f>
        <v>-81147.783973061712</v>
      </c>
      <c r="G165" s="47"/>
    </row>
    <row r="166" spans="1:7" x14ac:dyDescent="0.25">
      <c r="A166" s="2">
        <v>0.8</v>
      </c>
      <c r="B166" s="7">
        <f t="shared" ref="B166:B168" si="31">A166-0.0592*$B$72</f>
        <v>0.8</v>
      </c>
      <c r="C166" s="3">
        <f>-(A166+4.66)/27.2114</f>
        <v>-0.20065119765980433</v>
      </c>
      <c r="D166" s="9">
        <v>562.418004</v>
      </c>
      <c r="E166" s="8">
        <v>-2982.01492263722</v>
      </c>
      <c r="F166" s="7">
        <f t="shared" ref="F166:F168" si="32">(E166-(D166-$B$162)*C166)*27.2114</f>
        <v>-81147.978564010453</v>
      </c>
      <c r="G166" s="8">
        <f>(F166+$D$65/2-1*A166)-(F77+$J$68)+$E$4+$D$162-0.0592*$B$72</f>
        <v>-1.4689906866003286</v>
      </c>
    </row>
    <row r="167" spans="1:7" x14ac:dyDescent="0.25">
      <c r="A167" s="1">
        <v>0.4</v>
      </c>
      <c r="B167" s="7">
        <f t="shared" si="31"/>
        <v>0.4</v>
      </c>
      <c r="C167" s="3">
        <f>-(A167+4.66)/27.2114</f>
        <v>-0.18595147621952565</v>
      </c>
      <c r="D167" s="9">
        <v>562.76775699999996</v>
      </c>
      <c r="E167" s="8">
        <v>-2982.0825249619502</v>
      </c>
      <c r="F167" s="7">
        <f t="shared" si="32"/>
        <v>-81147.815569329614</v>
      </c>
      <c r="G167" s="8">
        <f t="shared" ref="G167:G168" si="33">(F167+$D$65/2-1*A167)-(F78+$J$68)+$E$4+$D$162-0.0592*$B$72</f>
        <v>-1.0514985577062463</v>
      </c>
    </row>
    <row r="168" spans="1:7" x14ac:dyDescent="0.25">
      <c r="A168" s="2">
        <v>0</v>
      </c>
      <c r="B168" s="7">
        <f t="shared" si="31"/>
        <v>0</v>
      </c>
      <c r="C168" s="3">
        <f>-(A168+4.66)/27.2114</f>
        <v>-0.17125175477924692</v>
      </c>
      <c r="D168" s="9">
        <v>563.13156900000001</v>
      </c>
      <c r="E168" s="8">
        <v>-2982.1474002370701</v>
      </c>
      <c r="F168" s="7">
        <f t="shared" si="32"/>
        <v>-81147.792655271012</v>
      </c>
      <c r="G168" s="8">
        <f t="shared" si="33"/>
        <v>-0.62198076692921966</v>
      </c>
    </row>
    <row r="171" spans="1:7" x14ac:dyDescent="0.25">
      <c r="A171" s="2" t="s">
        <v>3</v>
      </c>
      <c r="B171" s="2">
        <v>581</v>
      </c>
      <c r="C171" s="5" t="s">
        <v>96</v>
      </c>
      <c r="D171" s="2">
        <v>0.32900000000000001</v>
      </c>
    </row>
    <row r="172" spans="1:7" x14ac:dyDescent="0.25">
      <c r="A172" s="73" t="s">
        <v>370</v>
      </c>
      <c r="B172" s="74"/>
      <c r="C172" s="74"/>
      <c r="D172" s="74"/>
      <c r="E172" s="74"/>
      <c r="F172" s="75"/>
      <c r="G172" s="2" t="s">
        <v>31</v>
      </c>
    </row>
    <row r="173" spans="1:7" x14ac:dyDescent="0.25">
      <c r="A173" s="4" t="s">
        <v>1</v>
      </c>
      <c r="B173" s="4" t="s">
        <v>100</v>
      </c>
      <c r="C173" s="4" t="s">
        <v>0</v>
      </c>
      <c r="D173" s="5" t="s">
        <v>2</v>
      </c>
      <c r="E173" s="5" t="s">
        <v>4</v>
      </c>
      <c r="F173" s="4" t="s">
        <v>5</v>
      </c>
      <c r="G173" s="6" t="s">
        <v>7</v>
      </c>
    </row>
    <row r="174" spans="1:7" x14ac:dyDescent="0.25">
      <c r="A174" s="7">
        <f>-C174*27.2114-4.66</f>
        <v>0.33530981578979979</v>
      </c>
      <c r="B174" s="7">
        <f t="shared" ref="B174:B177" si="34">A174-0.0592*$B$72</f>
        <v>0.33530981578979979</v>
      </c>
      <c r="C174" s="3">
        <v>-0.18357415699999999</v>
      </c>
      <c r="D174" s="9">
        <v>581</v>
      </c>
      <c r="E174" s="8">
        <v>-3025.4239637527899</v>
      </c>
      <c r="F174" s="7">
        <f>(E174-(D174-$B$171)*C174)*27.2114</f>
        <v>-82326.021647262663</v>
      </c>
      <c r="G174" s="47"/>
    </row>
    <row r="175" spans="1:7" x14ac:dyDescent="0.25">
      <c r="A175" s="2">
        <v>0.8</v>
      </c>
      <c r="B175" s="7">
        <f t="shared" si="34"/>
        <v>0.8</v>
      </c>
      <c r="C175" s="3">
        <f>-(A175+4.66)/27.2114</f>
        <v>-0.20065119765980433</v>
      </c>
      <c r="D175" s="9">
        <v>580.655259</v>
      </c>
      <c r="E175" s="8">
        <v>-3025.3577160633999</v>
      </c>
      <c r="F175" s="7">
        <f t="shared" ref="F175:F177" si="35">(E175-(D175-$B$171)*C175)*27.2114</f>
        <v>-82326.101240747608</v>
      </c>
      <c r="G175" s="8">
        <f>(F175+$D$65/2-1*A175)-(F77+$J$69)+$E$5+$D$171-0.0592*$B$72</f>
        <v>-0.98818063323761995</v>
      </c>
    </row>
    <row r="176" spans="1:7" x14ac:dyDescent="0.25">
      <c r="A176" s="1">
        <v>0.4</v>
      </c>
      <c r="B176" s="7">
        <f t="shared" si="34"/>
        <v>0.4</v>
      </c>
      <c r="C176" s="3">
        <f>-(A176+4.66)/27.2114</f>
        <v>-0.18595147621952565</v>
      </c>
      <c r="D176" s="9">
        <v>580.955465</v>
      </c>
      <c r="E176" s="8">
        <v>-3025.4157363471099</v>
      </c>
      <c r="F176" s="7">
        <f t="shared" si="35"/>
        <v>-82326.023115135758</v>
      </c>
      <c r="G176" s="8">
        <f t="shared" ref="G176:G177" si="36">(F176+$D$65/2-1*A176)-(F78+$J$69)+$E$5+$D$171-0.0592*$B$72</f>
        <v>-0.65555757333260223</v>
      </c>
    </row>
    <row r="177" spans="1:7" x14ac:dyDescent="0.25">
      <c r="A177" s="2">
        <v>0</v>
      </c>
      <c r="B177" s="7">
        <f t="shared" si="34"/>
        <v>0</v>
      </c>
      <c r="C177" s="3">
        <f>-(A177+4.66)/27.2114</f>
        <v>-0.17125175477924692</v>
      </c>
      <c r="D177" s="9">
        <v>581.24372800000003</v>
      </c>
      <c r="E177" s="8">
        <v>-3025.4671819924702</v>
      </c>
      <c r="F177" s="7">
        <f t="shared" si="35"/>
        <v>-82326.0619035899</v>
      </c>
      <c r="G177" s="8">
        <f t="shared" si="36"/>
        <v>-0.28774229529864342</v>
      </c>
    </row>
  </sheetData>
  <mergeCells count="21">
    <mergeCell ref="B7:E7"/>
    <mergeCell ref="B62:E62"/>
    <mergeCell ref="C70:D70"/>
    <mergeCell ref="A74:E74"/>
    <mergeCell ref="A45:F45"/>
    <mergeCell ref="A54:F54"/>
    <mergeCell ref="A27:F27"/>
    <mergeCell ref="A36:F36"/>
    <mergeCell ref="A19:E19"/>
    <mergeCell ref="A82:F82"/>
    <mergeCell ref="A91:F91"/>
    <mergeCell ref="A100:F100"/>
    <mergeCell ref="A109:F109"/>
    <mergeCell ref="C15:D15"/>
    <mergeCell ref="A172:F172"/>
    <mergeCell ref="A163:F163"/>
    <mergeCell ref="A118:F118"/>
    <mergeCell ref="A127:F127"/>
    <mergeCell ref="A136:F136"/>
    <mergeCell ref="A145:F145"/>
    <mergeCell ref="A154:F15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CB053-7F2D-49F1-A357-AC625A6490BD}">
  <sheetPr>
    <tabColor theme="9" tint="0.59999389629810485"/>
  </sheetPr>
  <dimension ref="A1:J122"/>
  <sheetViews>
    <sheetView showGridLines="0" topLeftCell="A78" zoomScale="85" zoomScaleNormal="85" workbookViewId="0">
      <selection activeCell="F80" sqref="F80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</cols>
  <sheetData>
    <row r="1" spans="1:10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8.2354350000000007E-2</v>
      </c>
    </row>
    <row r="2" spans="1:10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10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10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10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6" spans="1:10" x14ac:dyDescent="0.25">
      <c r="A6" s="44"/>
      <c r="B6" s="45"/>
    </row>
    <row r="7" spans="1:10" ht="18.75" x14ac:dyDescent="0.3">
      <c r="A7" s="44"/>
      <c r="B7" s="76" t="s">
        <v>134</v>
      </c>
      <c r="C7" s="76"/>
      <c r="D7" s="76"/>
      <c r="E7" s="76"/>
    </row>
    <row r="8" spans="1:10" x14ac:dyDescent="0.25">
      <c r="A8" s="25" t="s">
        <v>73</v>
      </c>
    </row>
    <row r="9" spans="1:10" x14ac:dyDescent="0.25">
      <c r="B9" s="5" t="s">
        <v>4</v>
      </c>
      <c r="C9" s="5" t="s">
        <v>96</v>
      </c>
      <c r="D9" s="5" t="s">
        <v>11</v>
      </c>
      <c r="H9" s="5" t="s">
        <v>4</v>
      </c>
      <c r="I9" s="5" t="s">
        <v>96</v>
      </c>
      <c r="J9" s="5" t="s">
        <v>11</v>
      </c>
    </row>
    <row r="10" spans="1:10" x14ac:dyDescent="0.25">
      <c r="A10" s="5" t="s">
        <v>10</v>
      </c>
      <c r="B10" s="10">
        <v>-1.1651204227085801</v>
      </c>
      <c r="C10" s="8">
        <v>-4.2000000000000003E-2</v>
      </c>
      <c r="D10" s="2">
        <f>B10*27.2114+C10</f>
        <v>-31.746557870492257</v>
      </c>
      <c r="G10" s="5" t="s">
        <v>191</v>
      </c>
      <c r="H10" s="10">
        <v>-30.0430223619964</v>
      </c>
      <c r="I10" s="8">
        <v>-0.56100000000000005</v>
      </c>
      <c r="J10" s="2">
        <f>H10*27.2114+I10</f>
        <v>-818.07369870122886</v>
      </c>
    </row>
    <row r="11" spans="1:10" x14ac:dyDescent="0.25">
      <c r="A11" s="5" t="s">
        <v>29</v>
      </c>
      <c r="B11" s="10">
        <v>-37.8808477704033</v>
      </c>
      <c r="C11" s="8">
        <v>-0.251</v>
      </c>
      <c r="D11" s="2">
        <f>B11*27.2114+C11+'Exp. thermo'!$G$5/96.49</f>
        <v>-1030.9598193813147</v>
      </c>
      <c r="G11" s="5" t="s">
        <v>200</v>
      </c>
      <c r="H11" s="10">
        <v>-42.413044169722198</v>
      </c>
      <c r="I11" s="8">
        <v>-0.496</v>
      </c>
      <c r="J11" s="2">
        <f>H11*27.2114+I11 +'Exp. thermo'!$G$5/96.49</f>
        <v>-1154.5322284817412</v>
      </c>
    </row>
    <row r="12" spans="1:10" x14ac:dyDescent="0.25">
      <c r="A12" s="5" t="s">
        <v>30</v>
      </c>
      <c r="B12" s="10">
        <v>-17.268355960477901</v>
      </c>
      <c r="C12" s="8">
        <v>9.2999999999999999E-2</v>
      </c>
      <c r="D12" s="2">
        <f>B12*27.2114+C12+'Exp. thermo'!$G$5/96.49</f>
        <v>-469.72105974471066</v>
      </c>
      <c r="G12" s="5" t="s">
        <v>253</v>
      </c>
      <c r="H12" s="10">
        <v>-8.3935110948132401</v>
      </c>
      <c r="I12" s="8">
        <v>5.6000000000000001E-2</v>
      </c>
      <c r="J12" s="2">
        <f>H12*27.2114+I12 +'Exp. thermo'!$G$5/96.49</f>
        <v>-228.26110616716332</v>
      </c>
    </row>
    <row r="13" spans="1:10" x14ac:dyDescent="0.25">
      <c r="A13" s="5" t="s">
        <v>9</v>
      </c>
      <c r="B13" s="10">
        <v>-58.677193166200901</v>
      </c>
      <c r="C13" s="8">
        <v>-1.0999999999999999E-2</v>
      </c>
      <c r="D13" s="2">
        <f>B13*27.2114+C13+'Exp. thermo'!$G$5/96.49</f>
        <v>-1596.6174924845216</v>
      </c>
      <c r="G13" s="5" t="s">
        <v>48</v>
      </c>
      <c r="H13" s="10">
        <v>-45.958970677356099</v>
      </c>
      <c r="I13" s="8">
        <v>0.88400000000000001</v>
      </c>
      <c r="J13" s="2">
        <f>H13*27.2114+I13+'Exp. thermo'!$G$5/96.49</f>
        <v>-1249.64185305157</v>
      </c>
    </row>
    <row r="14" spans="1:10" x14ac:dyDescent="0.25">
      <c r="A14" s="5" t="s">
        <v>49</v>
      </c>
      <c r="B14" s="10">
        <v>-42.632854517177599</v>
      </c>
      <c r="C14" s="8">
        <v>-0.126</v>
      </c>
      <c r="D14" s="2">
        <f>B14*27.2114+C14+'Exp. thermo'!$G$5/96.49</f>
        <v>-1160.1435757704887</v>
      </c>
      <c r="G14" s="5" t="s">
        <v>231</v>
      </c>
      <c r="H14" s="10">
        <v>-89.257170769677202</v>
      </c>
      <c r="I14" s="8">
        <v>-3.2000000000000001E-2</v>
      </c>
      <c r="J14" s="2">
        <f>H14*27.2114+I14+'Exp. thermo'!$G$5/96.49</f>
        <v>-2428.7624950437571</v>
      </c>
    </row>
    <row r="15" spans="1:10" ht="18.75" x14ac:dyDescent="0.3">
      <c r="C15" s="76"/>
      <c r="D15" s="76"/>
    </row>
    <row r="16" spans="1:10" x14ac:dyDescent="0.25">
      <c r="A16" s="25" t="s">
        <v>77</v>
      </c>
    </row>
    <row r="17" spans="1:7" x14ac:dyDescent="0.25">
      <c r="A17" s="20" t="s">
        <v>12</v>
      </c>
      <c r="B17" s="21">
        <v>0</v>
      </c>
    </row>
    <row r="18" spans="1:7" x14ac:dyDescent="0.25">
      <c r="A18" s="21" t="s">
        <v>3</v>
      </c>
      <c r="B18" s="21">
        <v>576</v>
      </c>
    </row>
    <row r="19" spans="1:7" x14ac:dyDescent="0.25">
      <c r="A19" s="73" t="s">
        <v>161</v>
      </c>
      <c r="B19" s="74"/>
      <c r="C19" s="74"/>
      <c r="D19" s="74"/>
      <c r="E19" s="74"/>
      <c r="F19" s="75"/>
    </row>
    <row r="20" spans="1:7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x14ac:dyDescent="0.25">
      <c r="A21" s="7">
        <f>-C21*27.2114-4.66</f>
        <v>0.23544433153799993</v>
      </c>
      <c r="B21" s="7">
        <f>A21-0.0592*$B$17</f>
        <v>0.23544433153799993</v>
      </c>
      <c r="C21" s="3">
        <v>-0.17990417</v>
      </c>
      <c r="D21" s="9">
        <v>576</v>
      </c>
      <c r="E21" s="8">
        <v>-3452.9688798807101</v>
      </c>
      <c r="F21" s="7">
        <f>(E21-(D21-$B$18)*C21)*27.2114</f>
        <v>-93960.117377985953</v>
      </c>
    </row>
    <row r="22" spans="1:7" x14ac:dyDescent="0.25">
      <c r="A22" s="2">
        <v>0.8</v>
      </c>
      <c r="B22" s="7">
        <f>A22-0.0592*$B$17</f>
        <v>0.8</v>
      </c>
      <c r="C22" s="3">
        <f>-(A22+4.66)/27.2114</f>
        <v>-0.20065119765980433</v>
      </c>
      <c r="D22" s="9">
        <v>575.47363800000005</v>
      </c>
      <c r="E22" s="8">
        <v>-3452.8686694791299</v>
      </c>
      <c r="F22" s="7">
        <f>(E22-(D22-$B$18)*C22)*27.2114</f>
        <v>-93960.264449184397</v>
      </c>
    </row>
    <row r="23" spans="1:7" x14ac:dyDescent="0.25">
      <c r="A23" s="1">
        <v>0.4</v>
      </c>
      <c r="B23" s="7">
        <f t="shared" ref="B23:B24" si="0">A23-0.0592*$B$17</f>
        <v>0.4</v>
      </c>
      <c r="C23" s="3">
        <f>-(A23+4.66)/27.2114</f>
        <v>-0.18595147621952565</v>
      </c>
      <c r="D23" s="9">
        <v>575.85019199999999</v>
      </c>
      <c r="E23" s="8">
        <v>-3452.9414752739699</v>
      </c>
      <c r="F23" s="7">
        <f>(E23-(D23-$B$18)*C23)*27.2114</f>
        <v>-93960.129688750108</v>
      </c>
    </row>
    <row r="24" spans="1:7" x14ac:dyDescent="0.25">
      <c r="A24" s="2">
        <v>0</v>
      </c>
      <c r="B24" s="7">
        <f t="shared" si="0"/>
        <v>0</v>
      </c>
      <c r="C24" s="3">
        <f>-(A24+4.66)/27.2114</f>
        <v>-0.17125175477924692</v>
      </c>
      <c r="D24" s="9">
        <v>576.26179000000002</v>
      </c>
      <c r="E24" s="8">
        <v>-3453.0147531023299</v>
      </c>
      <c r="F24" s="7">
        <f>(E24-(D24-$B$18)*C24)*27.2114</f>
        <v>-93960.145711168749</v>
      </c>
    </row>
    <row r="26" spans="1:7" x14ac:dyDescent="0.25">
      <c r="A26" s="5" t="s">
        <v>3</v>
      </c>
      <c r="B26" s="2">
        <v>599</v>
      </c>
      <c r="C26" s="5" t="s">
        <v>96</v>
      </c>
      <c r="D26" s="2">
        <v>0.57899999999999996</v>
      </c>
    </row>
    <row r="27" spans="1:7" x14ac:dyDescent="0.25">
      <c r="A27" s="73" t="s">
        <v>162</v>
      </c>
      <c r="B27" s="74"/>
      <c r="C27" s="74"/>
      <c r="D27" s="74"/>
      <c r="E27" s="74"/>
      <c r="F27" s="75"/>
      <c r="G27" s="2" t="s">
        <v>31</v>
      </c>
    </row>
    <row r="28" spans="1:7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x14ac:dyDescent="0.25">
      <c r="A29" s="7">
        <f>-C29*27.2114-4.66</f>
        <v>0.33078989340419973</v>
      </c>
      <c r="B29" s="7">
        <f>A29-0.0592*$B$17</f>
        <v>0.33078989340419973</v>
      </c>
      <c r="C29" s="1">
        <v>-0.18340805299999999</v>
      </c>
      <c r="D29" s="9">
        <v>599</v>
      </c>
      <c r="E29" s="8">
        <v>-3507.5451328095501</v>
      </c>
      <c r="F29" s="7">
        <f>(E29-(D29-$B$26)*C29)*27.2114</f>
        <v>-95445.213626933793</v>
      </c>
      <c r="G29" s="42"/>
    </row>
    <row r="30" spans="1:7" x14ac:dyDescent="0.25">
      <c r="A30" s="2">
        <v>0.8</v>
      </c>
      <c r="B30" s="7">
        <f>A30-0.0592*$B$17</f>
        <v>0.8</v>
      </c>
      <c r="C30" s="3">
        <f>-(A30+4.66)/27.2114</f>
        <v>-0.20065119765980433</v>
      </c>
      <c r="D30" s="9">
        <v>598.56930499999999</v>
      </c>
      <c r="E30" s="8">
        <v>-3507.4624214834498</v>
      </c>
      <c r="F30" s="7">
        <f>(E30-(D30-$B$26)*C30)*27.2114</f>
        <v>-95445.314530654752</v>
      </c>
      <c r="G30" s="8">
        <f>(F30+$D$10/2-1*A22)-(F22+$D$11+$D$12)+$B$2+$D$26-0.0592*$B$17</f>
        <v>-0.6887349712053783</v>
      </c>
    </row>
    <row r="31" spans="1:7" x14ac:dyDescent="0.25">
      <c r="A31" s="1">
        <v>0.4</v>
      </c>
      <c r="B31" s="7">
        <f t="shared" ref="B31:B32" si="1">A31-0.0592*$B$17</f>
        <v>0.4</v>
      </c>
      <c r="C31" s="3">
        <f>-(A31+4.66)/27.2114</f>
        <v>-0.18595147621952565</v>
      </c>
      <c r="D31" s="9">
        <v>598.93960200000004</v>
      </c>
      <c r="E31" s="8">
        <v>-3507.5339801446198</v>
      </c>
      <c r="F31" s="7">
        <f t="shared" ref="F31:F32" si="2">(E31-(D31-$B$26)*C31)*27.2114</f>
        <v>-95445.215761187312</v>
      </c>
      <c r="G31" s="8">
        <f>(F31+$D$10/2-1*A23)-(F23+$D$11+$D$12)+$B$2+$D$26-0.0592*$B$17</f>
        <v>-0.32472593804439576</v>
      </c>
    </row>
    <row r="32" spans="1:7" x14ac:dyDescent="0.25">
      <c r="A32" s="2">
        <v>0</v>
      </c>
      <c r="B32" s="7">
        <f t="shared" si="1"/>
        <v>0</v>
      </c>
      <c r="C32" s="3">
        <f>-(A32+4.66)/27.2114</f>
        <v>-0.17125175477924692</v>
      </c>
      <c r="D32" s="9">
        <v>599.34135200000003</v>
      </c>
      <c r="E32" s="8">
        <v>-3507.6055638279399</v>
      </c>
      <c r="F32" s="7">
        <f t="shared" si="2"/>
        <v>-95445.267339227605</v>
      </c>
      <c r="G32" s="8">
        <f>(F32+$D$10/2-1*A24)-(F24+$D$11+$D$12)+$B$2+$D$26-0.0592*$B$17</f>
        <v>3.9718440297035973E-2</v>
      </c>
    </row>
    <row r="33" spans="1:7" x14ac:dyDescent="0.25">
      <c r="C33" s="15"/>
    </row>
    <row r="35" spans="1:7" x14ac:dyDescent="0.25">
      <c r="A35" s="2" t="s">
        <v>3</v>
      </c>
      <c r="B35" s="2">
        <v>598</v>
      </c>
      <c r="C35" s="5" t="s">
        <v>96</v>
      </c>
      <c r="D35" s="2">
        <v>0.26100000000000001</v>
      </c>
    </row>
    <row r="36" spans="1:7" x14ac:dyDescent="0.25">
      <c r="A36" s="73" t="s">
        <v>163</v>
      </c>
      <c r="B36" s="74"/>
      <c r="C36" s="74"/>
      <c r="D36" s="74"/>
      <c r="E36" s="74"/>
      <c r="F36" s="75"/>
      <c r="G36" s="2" t="s">
        <v>31</v>
      </c>
    </row>
    <row r="37" spans="1:7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x14ac:dyDescent="0.25">
      <c r="A38" s="7">
        <f>-C38*27.2114-4.66</f>
        <v>0.93873082863260038</v>
      </c>
      <c r="B38" s="7">
        <f>A38-0.0592*$B$17</f>
        <v>0.93873082863260038</v>
      </c>
      <c r="C38" s="1">
        <v>-0.205749459</v>
      </c>
      <c r="D38" s="9">
        <v>598</v>
      </c>
      <c r="E38" s="8">
        <v>-3506.9134431859402</v>
      </c>
      <c r="F38" s="7">
        <f>(E38-(D38-$B$35)*C38)*27.2114</f>
        <v>-95428.024467909898</v>
      </c>
      <c r="G38" s="42"/>
    </row>
    <row r="39" spans="1:7" x14ac:dyDescent="0.25">
      <c r="A39" s="2">
        <v>0.8</v>
      </c>
      <c r="B39" s="7">
        <f>A39-0.0592*$B$17</f>
        <v>0.8</v>
      </c>
      <c r="C39" s="3">
        <f>-(A39+4.66)/27.2114</f>
        <v>-0.20065119765980433</v>
      </c>
      <c r="D39" s="9">
        <v>598.14946499999996</v>
      </c>
      <c r="E39" s="8">
        <v>-3506.9438207051298</v>
      </c>
      <c r="F39" s="7">
        <f t="shared" ref="F39:F41" si="3">(E39-(D39-$B$35)*C39)*27.2114</f>
        <v>-95428.035003835568</v>
      </c>
      <c r="G39" s="8">
        <f>(F39+$D$10-2*A39)-(F22+$D$12+$D$11)+$B$3+$D$35-0.0592*$B$17</f>
        <v>-1.00945847959545</v>
      </c>
    </row>
    <row r="40" spans="1:7" x14ac:dyDescent="0.25">
      <c r="A40" s="1">
        <v>0.4</v>
      </c>
      <c r="B40" s="7">
        <f t="shared" ref="B40:B41" si="4">A40-0.0592*$B$17</f>
        <v>0.4</v>
      </c>
      <c r="C40" s="3">
        <f>-(A40+4.66)/27.2114</f>
        <v>-0.18595147621952565</v>
      </c>
      <c r="D40" s="9">
        <v>598.55368399999998</v>
      </c>
      <c r="E40" s="8">
        <v>-3507.02199352753</v>
      </c>
      <c r="F40" s="7">
        <f t="shared" si="3"/>
        <v>-95428.176633635041</v>
      </c>
      <c r="G40" s="8">
        <f>(F40+$D$10-2*A40)-(F23+$D$12+$D$11)+$B$3+$D$35-0.0592*$B$17</f>
        <v>-0.48584871335358837</v>
      </c>
    </row>
    <row r="41" spans="1:7" x14ac:dyDescent="0.25">
      <c r="A41" s="2">
        <v>0</v>
      </c>
      <c r="B41" s="7">
        <f t="shared" si="4"/>
        <v>0</v>
      </c>
      <c r="C41" s="3">
        <f>-(A41+4.66)/27.2114</f>
        <v>-0.17125175477924692</v>
      </c>
      <c r="D41" s="9">
        <v>598.98691699999995</v>
      </c>
      <c r="E41" s="8">
        <v>-3507.0992466135199</v>
      </c>
      <c r="F41" s="7">
        <f t="shared" si="3"/>
        <v>-95428.48140607914</v>
      </c>
      <c r="G41" s="8">
        <f>(F41+$D$10-2*A41)-(F24+$D$12+$D$11)+$B$3+$D$35-0.0592*$B$17</f>
        <v>2.5401261191037361E-2</v>
      </c>
    </row>
    <row r="44" spans="1:7" x14ac:dyDescent="0.25">
      <c r="A44" s="2" t="s">
        <v>3</v>
      </c>
      <c r="B44" s="2">
        <v>599</v>
      </c>
      <c r="C44" s="5" t="s">
        <v>96</v>
      </c>
      <c r="D44" s="2">
        <v>0.26</v>
      </c>
    </row>
    <row r="45" spans="1:7" x14ac:dyDescent="0.25">
      <c r="A45" s="73" t="s">
        <v>164</v>
      </c>
      <c r="B45" s="74"/>
      <c r="C45" s="74"/>
      <c r="D45" s="74"/>
      <c r="E45" s="74"/>
      <c r="F45" s="75"/>
      <c r="G45" s="2" t="s">
        <v>31</v>
      </c>
    </row>
    <row r="46" spans="1:7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x14ac:dyDescent="0.25">
      <c r="A47" s="7">
        <f>-C47*27.2114-4.66</f>
        <v>0.57534582016820046</v>
      </c>
      <c r="B47" s="7">
        <f>A47-0.0592*$B$17</f>
        <v>0.57534582016820046</v>
      </c>
      <c r="C47" s="1">
        <v>-0.19239531300000001</v>
      </c>
      <c r="D47" s="9">
        <v>599</v>
      </c>
      <c r="E47" s="8">
        <v>-3511.0709075588402</v>
      </c>
      <c r="F47" s="7">
        <f>(E47-(D47-$B$44)*C47)*27.2114</f>
        <v>-95541.15489394663</v>
      </c>
      <c r="G47" s="42"/>
    </row>
    <row r="48" spans="1:7" x14ac:dyDescent="0.25">
      <c r="A48" s="2">
        <v>0.8</v>
      </c>
      <c r="B48" s="7">
        <f>A48-0.0592*$B$17</f>
        <v>0.8</v>
      </c>
      <c r="C48" s="3">
        <f>-(A48+4.66)/27.2114</f>
        <v>-0.20065119765980433</v>
      </c>
      <c r="D48" s="9">
        <v>598.78412500000002</v>
      </c>
      <c r="E48" s="8">
        <v>-3511.0284898080799</v>
      </c>
      <c r="F48" s="7">
        <f t="shared" ref="F48:F50" si="5">(E48-(D48-$B$44)*C48)*27.2114</f>
        <v>-95541.179325063596</v>
      </c>
      <c r="G48" s="8">
        <f>(F48+$D$10/2-1*A48)-(F22+$D$13)+$B$4+$D$44-0.0592*$B$17</f>
        <v>-0.23198447139234435</v>
      </c>
    </row>
    <row r="49" spans="1:7" x14ac:dyDescent="0.25">
      <c r="A49" s="1">
        <v>0.4</v>
      </c>
      <c r="B49" s="7">
        <f t="shared" ref="B49:B50" si="6">A49-0.0592*$B$17</f>
        <v>0.4</v>
      </c>
      <c r="C49" s="3">
        <f>-(A49+4.66)/27.2114</f>
        <v>-0.18595147621952565</v>
      </c>
      <c r="D49" s="9">
        <v>599.16833499999996</v>
      </c>
      <c r="E49" s="8">
        <v>-3511.1027696481201</v>
      </c>
      <c r="F49" s="7">
        <f t="shared" si="5"/>
        <v>-95541.170130902858</v>
      </c>
      <c r="G49" s="8">
        <f>(F49+$D$10/2-1*A49)-(F23+$D$13)+$B$4+$D$44-0.0592*$B$17</f>
        <v>4.2449255067047997E-2</v>
      </c>
    </row>
    <row r="50" spans="1:7" x14ac:dyDescent="0.25">
      <c r="A50" s="2">
        <v>0</v>
      </c>
      <c r="B50" s="7">
        <f t="shared" si="6"/>
        <v>0</v>
      </c>
      <c r="C50" s="3">
        <f>-(A50+4.66)/27.2114</f>
        <v>-0.17125175477924692</v>
      </c>
      <c r="D50" s="9">
        <v>599.58546200000001</v>
      </c>
      <c r="E50" s="8">
        <v>-3511.1772224368801</v>
      </c>
      <c r="F50" s="7">
        <f t="shared" si="5"/>
        <v>-95541.319617698915</v>
      </c>
      <c r="G50" s="8">
        <f>(F50+$D$10/2-1*A50)-(F24+$D$13)+$B$4+$D$44-0.0592*$B$17</f>
        <v>0.30898487764411453</v>
      </c>
    </row>
    <row r="53" spans="1:7" x14ac:dyDescent="0.25">
      <c r="A53" s="2" t="s">
        <v>3</v>
      </c>
      <c r="B53" s="2">
        <v>593</v>
      </c>
      <c r="C53" s="5" t="s">
        <v>96</v>
      </c>
      <c r="D53" s="2">
        <v>0.152</v>
      </c>
    </row>
    <row r="54" spans="1:7" x14ac:dyDescent="0.25">
      <c r="A54" s="73" t="s">
        <v>165</v>
      </c>
      <c r="B54" s="74"/>
      <c r="C54" s="74"/>
      <c r="D54" s="74"/>
      <c r="E54" s="74"/>
      <c r="F54" s="75"/>
      <c r="G54" s="2" t="s">
        <v>31</v>
      </c>
    </row>
    <row r="55" spans="1:7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7" x14ac:dyDescent="0.25">
      <c r="A56" s="7">
        <f>-C56*27.2114-4.66</f>
        <v>0.42753069259399989</v>
      </c>
      <c r="B56" s="7">
        <f>A56-0.0592*$B$17</f>
        <v>0.42753069259399989</v>
      </c>
      <c r="C56" s="1">
        <v>-0.18696320999999999</v>
      </c>
      <c r="D56" s="9">
        <v>593</v>
      </c>
      <c r="E56" s="8">
        <v>-3495.0342465372601</v>
      </c>
      <c r="F56" s="7">
        <f>(E56-(D56-$B$53)*C56)*27.2114</f>
        <v>-95104.774896224</v>
      </c>
      <c r="G56" s="42"/>
    </row>
    <row r="57" spans="1:7" x14ac:dyDescent="0.25">
      <c r="A57" s="2">
        <v>0.8</v>
      </c>
      <c r="B57" s="7">
        <f>A57-0.0592*$B$17</f>
        <v>0.8</v>
      </c>
      <c r="C57" s="3">
        <f>-(A57+4.66)/27.2114</f>
        <v>-0.20065119765980433</v>
      </c>
      <c r="D57" s="9">
        <v>592.65947000000006</v>
      </c>
      <c r="E57" s="8">
        <v>-3494.96826654202</v>
      </c>
      <c r="F57" s="7">
        <f t="shared" ref="F57:F59" si="7">(E57-(D57-$B$53)*C57)*27.2114</f>
        <v>-95104.838781981525</v>
      </c>
      <c r="G57" s="8">
        <f>(F57+$D$10/2-1*A57)-(F22+$D$14)+$B$5+$D$53-0.0592*$B$17</f>
        <v>-0.96827909003624779</v>
      </c>
    </row>
    <row r="58" spans="1:7" x14ac:dyDescent="0.25">
      <c r="A58" s="1">
        <v>0.4</v>
      </c>
      <c r="B58" s="7">
        <f t="shared" ref="B58:B59" si="8">A58-0.0592*$B$17</f>
        <v>0.4</v>
      </c>
      <c r="C58" s="3">
        <f>-(A58+4.66)/27.2114</f>
        <v>-0.18595147621952565</v>
      </c>
      <c r="D58" s="9">
        <v>593.02495399999998</v>
      </c>
      <c r="E58" s="8">
        <v>-3495.0389018341298</v>
      </c>
      <c r="F58" s="7">
        <f t="shared" si="7"/>
        <v>-95104.775306129246</v>
      </c>
      <c r="G58" s="8">
        <f>(F58+$D$10/2-1*A58)-(F23+$D$14)+$B$5+$D$53-0.0592*$B$17</f>
        <v>-0.63956367203647368</v>
      </c>
    </row>
    <row r="59" spans="1:7" x14ac:dyDescent="0.25">
      <c r="A59" s="2">
        <v>0</v>
      </c>
      <c r="B59" s="7">
        <f t="shared" si="8"/>
        <v>0</v>
      </c>
      <c r="C59" s="3">
        <f>-(A59+4.66)/27.2114</f>
        <v>-0.17125175477924692</v>
      </c>
      <c r="D59" s="9">
        <v>593.42227500000001</v>
      </c>
      <c r="E59" s="8">
        <v>-3495.1097421418899</v>
      </c>
      <c r="F59" s="7">
        <f t="shared" si="7"/>
        <v>-95104.861435819825</v>
      </c>
      <c r="G59" s="8">
        <f>(F59+$D$10/2-1*A59)-(F24+$D$14)+$B$5+$D$53-0.0592*$B$17</f>
        <v>-0.30967094398076278</v>
      </c>
    </row>
    <row r="62" spans="1:7" x14ac:dyDescent="0.25">
      <c r="A62" s="2" t="s">
        <v>3</v>
      </c>
      <c r="B62" s="2">
        <v>583</v>
      </c>
      <c r="C62" s="5" t="s">
        <v>96</v>
      </c>
      <c r="D62" s="2">
        <v>0.216</v>
      </c>
    </row>
    <row r="63" spans="1:7" x14ac:dyDescent="0.25">
      <c r="A63" s="73" t="s">
        <v>305</v>
      </c>
      <c r="B63" s="74"/>
      <c r="C63" s="74"/>
      <c r="D63" s="74"/>
      <c r="E63" s="74"/>
      <c r="F63" s="75"/>
      <c r="G63" s="2" t="s">
        <v>31</v>
      </c>
    </row>
    <row r="64" spans="1:7" x14ac:dyDescent="0.25">
      <c r="A64" s="4" t="s">
        <v>1</v>
      </c>
      <c r="B64" s="4" t="s">
        <v>100</v>
      </c>
      <c r="C64" s="4" t="s">
        <v>0</v>
      </c>
      <c r="D64" s="5" t="s">
        <v>2</v>
      </c>
      <c r="E64" s="5" t="s">
        <v>4</v>
      </c>
      <c r="F64" s="4" t="s">
        <v>5</v>
      </c>
      <c r="G64" s="6" t="s">
        <v>7</v>
      </c>
    </row>
    <row r="65" spans="1:7" x14ac:dyDescent="0.25">
      <c r="A65" s="7">
        <f>-C65*27.2114-4.66</f>
        <v>0.39839471190620035</v>
      </c>
      <c r="B65" s="7">
        <f>A65-0.0592*$B$17</f>
        <v>0.39839471190620035</v>
      </c>
      <c r="C65" s="1">
        <v>-0.185892483</v>
      </c>
      <c r="D65" s="9">
        <v>583</v>
      </c>
      <c r="E65" s="8">
        <v>-3469.6295809774701</v>
      </c>
      <c r="F65" s="7">
        <f>(E65-(D65-$B$62)*C65)*27.2114</f>
        <v>-94413.478379810331</v>
      </c>
      <c r="G65" s="42"/>
    </row>
    <row r="66" spans="1:7" x14ac:dyDescent="0.25">
      <c r="A66" s="2">
        <v>0.8</v>
      </c>
      <c r="B66" s="7">
        <f>A66-0.0592*$B$17</f>
        <v>0.8</v>
      </c>
      <c r="C66" s="3">
        <f>-(A66+4.66)/27.2114</f>
        <v>-0.20065119765980433</v>
      </c>
      <c r="D66" s="9">
        <v>582.581594</v>
      </c>
      <c r="E66" s="8">
        <v>-3469.54878930719</v>
      </c>
      <c r="F66" s="7">
        <f>(E66-(D66-$B$62)*C66)*27.2114</f>
        <v>-94413.564422113675</v>
      </c>
      <c r="G66" s="8">
        <f>(F66+1/2*$D$10-1*A66)-(F22 + $D$12)+$D$62-0.0592*$B$17 + $E$2</f>
        <v>-0.70933570950805591</v>
      </c>
    </row>
    <row r="67" spans="1:7" x14ac:dyDescent="0.25">
      <c r="A67" s="1">
        <v>0.4</v>
      </c>
      <c r="B67" s="7">
        <f t="shared" ref="B67:B68" si="9">A67-0.0592*$B$17</f>
        <v>0.4</v>
      </c>
      <c r="C67" s="3">
        <f>-(A67+4.66)/27.2114</f>
        <v>-0.18595147621952565</v>
      </c>
      <c r="D67" s="9">
        <v>582.99849099999994</v>
      </c>
      <c r="E67" s="8">
        <v>-3469.6293003668502</v>
      </c>
      <c r="F67" s="7">
        <f t="shared" ref="F67:F68" si="10">(E67-(D67-$B$62)*C67)*27.2114</f>
        <v>-94413.478379542517</v>
      </c>
      <c r="G67" s="8">
        <f t="shared" ref="G67:G68" si="11">(F67+1/2*$D$10-1*A67)-(F23 + $D$12)+$D$62-0.0592*$B$17 + $E$2</f>
        <v>-0.35805357262947513</v>
      </c>
    </row>
    <row r="68" spans="1:7" x14ac:dyDescent="0.25">
      <c r="A68" s="2">
        <v>0</v>
      </c>
      <c r="B68" s="7">
        <f t="shared" si="9"/>
        <v>0</v>
      </c>
      <c r="C68" s="3">
        <f>-(A68+4.66)/27.2114</f>
        <v>-0.17125175477924692</v>
      </c>
      <c r="D68" s="9">
        <v>583.54701399999999</v>
      </c>
      <c r="E68" s="8">
        <v>-3469.7269279779298</v>
      </c>
      <c r="F68" s="7">
        <f t="shared" si="10"/>
        <v>-94413.578242738644</v>
      </c>
      <c r="G68" s="8">
        <f t="shared" si="11"/>
        <v>-4.189435012162579E-2</v>
      </c>
    </row>
    <row r="71" spans="1:7" x14ac:dyDescent="0.25">
      <c r="A71" s="2" t="s">
        <v>3</v>
      </c>
      <c r="B71" s="2">
        <v>577</v>
      </c>
      <c r="C71" s="5" t="s">
        <v>96</v>
      </c>
      <c r="D71" s="2">
        <v>0.16800000000000001</v>
      </c>
    </row>
    <row r="72" spans="1:7" x14ac:dyDescent="0.25">
      <c r="A72" s="73" t="s">
        <v>306</v>
      </c>
      <c r="B72" s="74"/>
      <c r="C72" s="74"/>
      <c r="D72" s="74"/>
      <c r="E72" s="74"/>
      <c r="F72" s="75"/>
      <c r="G72" s="2" t="s">
        <v>31</v>
      </c>
    </row>
    <row r="73" spans="1:7" x14ac:dyDescent="0.25">
      <c r="A73" s="4" t="s">
        <v>1</v>
      </c>
      <c r="B73" s="4" t="s">
        <v>100</v>
      </c>
      <c r="C73" s="4" t="s">
        <v>0</v>
      </c>
      <c r="D73" s="5" t="s">
        <v>2</v>
      </c>
      <c r="E73" s="5" t="s">
        <v>4</v>
      </c>
      <c r="F73" s="4" t="s">
        <v>5</v>
      </c>
      <c r="G73" s="6" t="s">
        <v>7</v>
      </c>
    </row>
    <row r="74" spans="1:7" x14ac:dyDescent="0.25">
      <c r="A74" s="7">
        <f>-C74*27.2114-4.66</f>
        <v>0.25415404662459995</v>
      </c>
      <c r="B74" s="7">
        <f>A74-0.0592*$B$17</f>
        <v>0.25415404662459995</v>
      </c>
      <c r="C74" s="1">
        <v>-0.180591739</v>
      </c>
      <c r="D74" s="9">
        <v>577</v>
      </c>
      <c r="E74" s="8">
        <v>-3453.5733965847098</v>
      </c>
      <c r="F74" s="7">
        <f>(E74-(D74-$B$71)*C74)*27.2114</f>
        <v>-93976.567123825182</v>
      </c>
      <c r="G74" s="42"/>
    </row>
    <row r="75" spans="1:7" x14ac:dyDescent="0.25">
      <c r="A75" s="2">
        <v>0.8</v>
      </c>
      <c r="B75" s="7">
        <f>A75-0.0592*$B$17</f>
        <v>0.8</v>
      </c>
      <c r="C75" s="3">
        <f>-(A75+4.66)/27.2114</f>
        <v>-0.20065119765980433</v>
      </c>
      <c r="D75" s="9">
        <v>576.49834299999998</v>
      </c>
      <c r="E75" s="8">
        <v>-3453.4777238659099</v>
      </c>
      <c r="F75" s="7">
        <f>(E75-(D75-$B$71)*C75)*27.2114</f>
        <v>-93976.702782424822</v>
      </c>
      <c r="G75" s="8">
        <f>(F75)-(F22+$D$10/2-1*A75)+$D$71-0.0592*$B$17</f>
        <v>0.40294569482863885</v>
      </c>
    </row>
    <row r="76" spans="1:7" x14ac:dyDescent="0.25">
      <c r="A76" s="1">
        <v>0.4</v>
      </c>
      <c r="B76" s="7">
        <f t="shared" ref="B76:B77" si="12">A76-0.0592*$B$17</f>
        <v>0.4</v>
      </c>
      <c r="C76" s="3">
        <f>-(A76+4.66)/27.2114</f>
        <v>-0.18595147621952565</v>
      </c>
      <c r="D76" s="9">
        <v>576.87040100000002</v>
      </c>
      <c r="E76" s="8">
        <v>-3453.5496493890601</v>
      </c>
      <c r="F76" s="7">
        <f t="shared" ref="F76:F77" si="13">(E76-(D76-$B$71)*C76)*27.2114</f>
        <v>-93976.576700325473</v>
      </c>
      <c r="G76" s="8">
        <f t="shared" ref="G76:G77" si="14">(F76)-(F23+$D$10/2-1*A76)+$D$71-0.0592*$B$17</f>
        <v>-5.7326401198515564E-3</v>
      </c>
    </row>
    <row r="77" spans="1:7" x14ac:dyDescent="0.25">
      <c r="A77" s="2">
        <v>0</v>
      </c>
      <c r="B77" s="7">
        <f t="shared" si="12"/>
        <v>0</v>
      </c>
      <c r="C77" s="3">
        <f>-(A77+4.66)/27.2114</f>
        <v>-0.17125175477924692</v>
      </c>
      <c r="D77" s="9">
        <v>577.28048899999999</v>
      </c>
      <c r="E77" s="8">
        <v>-3453.6226386404001</v>
      </c>
      <c r="F77" s="7">
        <f t="shared" si="13"/>
        <v>-93976.599990359391</v>
      </c>
      <c r="G77" s="8">
        <f t="shared" si="14"/>
        <v>-0.41300025539170016</v>
      </c>
    </row>
    <row r="80" spans="1:7" x14ac:dyDescent="0.25">
      <c r="A80" s="2" t="s">
        <v>3</v>
      </c>
      <c r="B80" s="2">
        <v>583</v>
      </c>
      <c r="C80" s="5" t="s">
        <v>96</v>
      </c>
      <c r="D80" s="2">
        <v>-3.5000000000000003E-2</v>
      </c>
      <c r="E80" s="5" t="s">
        <v>186</v>
      </c>
      <c r="F80" s="2">
        <v>1.36</v>
      </c>
    </row>
    <row r="81" spans="1:7" x14ac:dyDescent="0.25">
      <c r="A81" s="73" t="s">
        <v>307</v>
      </c>
      <c r="B81" s="74"/>
      <c r="C81" s="74"/>
      <c r="D81" s="74"/>
      <c r="E81" s="74"/>
      <c r="F81" s="75"/>
      <c r="G81" s="2" t="s">
        <v>31</v>
      </c>
    </row>
    <row r="82" spans="1:7" x14ac:dyDescent="0.25">
      <c r="A82" s="4" t="s">
        <v>1</v>
      </c>
      <c r="B82" s="4" t="s">
        <v>100</v>
      </c>
      <c r="C82" s="4" t="s">
        <v>0</v>
      </c>
      <c r="D82" s="5" t="s">
        <v>2</v>
      </c>
      <c r="E82" s="5" t="s">
        <v>4</v>
      </c>
      <c r="F82" s="4" t="s">
        <v>5</v>
      </c>
      <c r="G82" s="6" t="s">
        <v>7</v>
      </c>
    </row>
    <row r="83" spans="1:7" x14ac:dyDescent="0.25">
      <c r="A83" s="7">
        <f>-C83*27.2114-4.66</f>
        <v>0.3039284592196001</v>
      </c>
      <c r="B83" s="7">
        <f>A83-0.0592*$B$17</f>
        <v>0.3039284592196001</v>
      </c>
      <c r="C83" s="1">
        <v>-0.18242091399999999</v>
      </c>
      <c r="D83" s="9">
        <v>583</v>
      </c>
      <c r="E83" s="8">
        <v>-3468.0573825013598</v>
      </c>
      <c r="F83" s="7">
        <f>(E83-(D83-$B$80)*C83)*27.2114</f>
        <v>-94370.696658197514</v>
      </c>
      <c r="G83" s="42"/>
    </row>
    <row r="84" spans="1:7" x14ac:dyDescent="0.25">
      <c r="A84" s="2">
        <v>0.8</v>
      </c>
      <c r="B84" s="7">
        <f>A84-0.0592*$B$17</f>
        <v>0.8</v>
      </c>
      <c r="C84" s="3">
        <f>-(A84+4.66)/27.2114</f>
        <v>-0.20065119765980433</v>
      </c>
      <c r="D84" s="9">
        <v>582.55422399999998</v>
      </c>
      <c r="E84" s="8">
        <v>-3467.9719825499901</v>
      </c>
      <c r="F84" s="7">
        <f>(E84-(D84-$B$80)*C84)*27.2114</f>
        <v>-94370.806742920817</v>
      </c>
      <c r="G84" s="8">
        <f>(F84+1*($F$80-A84)) - (F22+$J$10/2) + $D$80</f>
        <v>-0.98044438581215221</v>
      </c>
    </row>
    <row r="85" spans="1:7" x14ac:dyDescent="0.25">
      <c r="A85" s="1">
        <v>0.4</v>
      </c>
      <c r="B85" s="7">
        <f t="shared" ref="B85:B86" si="15">A85-0.0592*$B$17</f>
        <v>0.4</v>
      </c>
      <c r="C85" s="3">
        <f>-(A85+4.66)/27.2114</f>
        <v>-0.18595147621952565</v>
      </c>
      <c r="D85" s="9">
        <v>582.91905899999995</v>
      </c>
      <c r="E85" s="8">
        <v>-3468.0424784480501</v>
      </c>
      <c r="F85" s="7">
        <f t="shared" ref="F85:F86" si="16">(E85-(D85-$B$80)*C85)*27.2114</f>
        <v>-94370.700659501279</v>
      </c>
      <c r="G85" s="8">
        <f t="shared" ref="G85:G86" si="17">(F85+1*($F$80-A85)) - (F23+$J$10/2) + $D$80</f>
        <v>-0.60912140055384956</v>
      </c>
    </row>
    <row r="86" spans="1:7" x14ac:dyDescent="0.25">
      <c r="A86" s="2">
        <v>0</v>
      </c>
      <c r="B86" s="7">
        <f t="shared" si="15"/>
        <v>0</v>
      </c>
      <c r="C86" s="3">
        <f>-(A86+4.66)/27.2114</f>
        <v>-0.17125175477924692</v>
      </c>
      <c r="D86" s="9">
        <v>583.31385</v>
      </c>
      <c r="E86" s="8">
        <v>-3468.1127918929501</v>
      </c>
      <c r="F86" s="7">
        <f t="shared" si="16"/>
        <v>-94370.741884315823</v>
      </c>
      <c r="G86" s="8">
        <f t="shared" si="17"/>
        <v>-0.23432379646343179</v>
      </c>
    </row>
    <row r="89" spans="1:7" x14ac:dyDescent="0.25">
      <c r="A89" s="2" t="s">
        <v>3</v>
      </c>
      <c r="B89" s="2">
        <v>606</v>
      </c>
      <c r="C89" s="5" t="s">
        <v>96</v>
      </c>
      <c r="D89" s="2">
        <v>0.26600000000000001</v>
      </c>
      <c r="E89" s="5" t="s">
        <v>186</v>
      </c>
      <c r="F89" s="2">
        <v>9.9000000000000005E-2</v>
      </c>
    </row>
    <row r="90" spans="1:7" x14ac:dyDescent="0.25">
      <c r="A90" s="73" t="s">
        <v>308</v>
      </c>
      <c r="B90" s="74"/>
      <c r="C90" s="74"/>
      <c r="D90" s="74"/>
      <c r="E90" s="74"/>
      <c r="F90" s="75"/>
      <c r="G90" s="2" t="s">
        <v>31</v>
      </c>
    </row>
    <row r="91" spans="1:7" x14ac:dyDescent="0.25">
      <c r="A91" s="4" t="s">
        <v>1</v>
      </c>
      <c r="B91" s="4" t="s">
        <v>100</v>
      </c>
      <c r="C91" s="4" t="s">
        <v>0</v>
      </c>
      <c r="D91" s="5" t="s">
        <v>2</v>
      </c>
      <c r="E91" s="5" t="s">
        <v>4</v>
      </c>
      <c r="F91" s="4" t="s">
        <v>5</v>
      </c>
      <c r="G91" s="6" t="s">
        <v>7</v>
      </c>
    </row>
    <row r="92" spans="1:7" x14ac:dyDescent="0.25">
      <c r="A92" s="7">
        <f>-C92*27.2114-4.66</f>
        <v>0.94101245009979984</v>
      </c>
      <c r="B92" s="7">
        <f>A92-0.0592*$B$17</f>
        <v>0.94101245009979984</v>
      </c>
      <c r="C92" s="1">
        <v>-0.20583330699999999</v>
      </c>
      <c r="D92" s="9">
        <v>606</v>
      </c>
      <c r="E92" s="8">
        <v>-3527.57073841086</v>
      </c>
      <c r="F92" s="7">
        <f>(E92-(D92-$B$89)*C92)*27.2114</f>
        <v>-95990.138391193279</v>
      </c>
      <c r="G92" s="42"/>
    </row>
    <row r="93" spans="1:7" x14ac:dyDescent="0.25">
      <c r="A93" s="2">
        <v>0.8</v>
      </c>
      <c r="B93" s="7">
        <f>A93-0.0592*$B$17</f>
        <v>0.8</v>
      </c>
      <c r="C93" s="3">
        <f>-(A93+4.66)/27.2114</f>
        <v>-0.20065119765980433</v>
      </c>
      <c r="D93" s="9">
        <v>606.13884800000005</v>
      </c>
      <c r="E93" s="8">
        <v>-3527.59896707093</v>
      </c>
      <c r="F93" s="7">
        <f t="shared" ref="F93:F95" si="18">(E93-(D93-$B$89)*C93)*27.2114</f>
        <v>-95990.148422473911</v>
      </c>
      <c r="G93" s="8">
        <f>(F93+2*$D$10-2*(A93+$F$89))-(F22 + $J$11+'Exp. thermo'!$C$64/96.49 + 2*$D$12-2*'Exp. thermo'!$G$6/96.49+2*'Exp. thermo'!$B$71/96.49)+$D$89-0.0592*$B$130-'Exp. thermo'!$C$41/96.49</f>
        <v>-0.64993267741541805</v>
      </c>
    </row>
    <row r="94" spans="1:7" x14ac:dyDescent="0.25">
      <c r="A94" s="1">
        <v>0.4</v>
      </c>
      <c r="B94" s="7">
        <f t="shared" ref="B94:B95" si="19">A94-0.0592*$B$17</f>
        <v>0.4</v>
      </c>
      <c r="C94" s="3">
        <f>-(A94+4.66)/27.2114</f>
        <v>-0.18595147621952565</v>
      </c>
      <c r="D94" s="9">
        <v>606.54129899999998</v>
      </c>
      <c r="E94" s="8">
        <v>-3527.6768471221599</v>
      </c>
      <c r="F94" s="7">
        <f t="shared" si="18"/>
        <v>-95990.286784839947</v>
      </c>
      <c r="G94" s="8">
        <f>(F94+2*$D$10-2*(A94+$F$89))-(F23 + $J$11+'Exp. thermo'!$C$64/96.49 + 2*$D$12-2*'Exp. thermo'!$G$6/96.49+2*'Exp. thermo'!$B$71/96.49)+$D$89-0.0592*$B$130-'Exp. thermo'!$C$41/96.49</f>
        <v>-0.12305547775198669</v>
      </c>
    </row>
    <row r="95" spans="1:7" x14ac:dyDescent="0.25">
      <c r="A95" s="2">
        <v>0</v>
      </c>
      <c r="B95" s="7">
        <f t="shared" si="19"/>
        <v>0</v>
      </c>
      <c r="C95" s="3">
        <f>-(A95+4.66)/27.2114</f>
        <v>-0.17125175477924692</v>
      </c>
      <c r="D95" s="9">
        <v>606.97240299999999</v>
      </c>
      <c r="E95" s="8">
        <v>-3527.75372690208</v>
      </c>
      <c r="F95" s="7">
        <f t="shared" si="18"/>
        <v>-95990.586366243268</v>
      </c>
      <c r="G95" s="8">
        <f>(F95+2*$D$10-2*(A95+$F$89))-(F24 + $J$11+'Exp. thermo'!$C$64/96.49 + 2*$D$12-2*'Exp. thermo'!$G$6/96.49+2*'Exp. thermo'!$B$71/96.49)+$D$89-0.0592*$B$130-'Exp. thermo'!$C$41/96.49</f>
        <v>0.39338553757093886</v>
      </c>
    </row>
    <row r="98" spans="1:7" x14ac:dyDescent="0.25">
      <c r="A98" s="2" t="s">
        <v>3</v>
      </c>
      <c r="B98" s="2">
        <v>605</v>
      </c>
      <c r="C98" s="5" t="s">
        <v>96</v>
      </c>
      <c r="D98" s="2">
        <v>0.26300000000000001</v>
      </c>
      <c r="E98" s="5" t="s">
        <v>186</v>
      </c>
      <c r="F98" s="2">
        <v>-0.26900000000000002</v>
      </c>
    </row>
    <row r="99" spans="1:7" x14ac:dyDescent="0.25">
      <c r="A99" s="73" t="s">
        <v>309</v>
      </c>
      <c r="B99" s="74"/>
      <c r="C99" s="74"/>
      <c r="D99" s="74"/>
      <c r="E99" s="74"/>
      <c r="F99" s="75"/>
      <c r="G99" s="2" t="s">
        <v>31</v>
      </c>
    </row>
    <row r="100" spans="1:7" x14ac:dyDescent="0.25">
      <c r="A100" s="4" t="s">
        <v>1</v>
      </c>
      <c r="B100" s="4" t="s">
        <v>100</v>
      </c>
      <c r="C100" s="4" t="s">
        <v>0</v>
      </c>
      <c r="D100" s="5" t="s">
        <v>2</v>
      </c>
      <c r="E100" s="5" t="s">
        <v>4</v>
      </c>
      <c r="F100" s="4" t="s">
        <v>5</v>
      </c>
      <c r="G100" s="6" t="s">
        <v>7</v>
      </c>
    </row>
    <row r="101" spans="1:7" x14ac:dyDescent="0.25">
      <c r="A101" s="7">
        <f>-C101*27.2114-4.66</f>
        <v>1.2216386930364003</v>
      </c>
      <c r="B101" s="7">
        <f>A101-0.0592*$B$17</f>
        <v>1.2216386930364003</v>
      </c>
      <c r="C101" s="1">
        <v>-0.21614612599999999</v>
      </c>
      <c r="D101" s="9">
        <v>605</v>
      </c>
      <c r="E101" s="8">
        <v>-3524.0138642218299</v>
      </c>
      <c r="F101" s="7">
        <f>(E101-(D101-$B$98)*C101)*27.2114</f>
        <v>-95893.350864885899</v>
      </c>
      <c r="G101" s="42"/>
    </row>
    <row r="102" spans="1:7" x14ac:dyDescent="0.25">
      <c r="A102" s="2">
        <v>0.8</v>
      </c>
      <c r="B102" s="7">
        <f>A102-0.0592*$B$17</f>
        <v>0.8</v>
      </c>
      <c r="C102" s="3">
        <f>-(A102+4.66)/27.2114</f>
        <v>-0.20065119765980433</v>
      </c>
      <c r="D102" s="9">
        <v>605.42489</v>
      </c>
      <c r="E102" s="8">
        <v>-3524.1024410414898</v>
      </c>
      <c r="F102" s="7">
        <f t="shared" ref="F102:F104" si="20">(E102-(D102-$B$98)*C102)*27.2114</f>
        <v>-95893.441264756388</v>
      </c>
      <c r="G102" s="8">
        <f>(F102+11/2*$D$10-3*A102-8*$F$98)-(F22 + $J$12 + 4*$D$12-4*'Exp. thermo'!$G$6/96.49+4*'Exp. thermo'!$B$71/96.49)+$D$98-0.0592*$B$17 + $E$3</f>
        <v>-1.2789019314591297</v>
      </c>
    </row>
    <row r="103" spans="1:7" x14ac:dyDescent="0.25">
      <c r="A103" s="1">
        <v>0.4</v>
      </c>
      <c r="B103" s="7">
        <f t="shared" ref="B103:B104" si="21">A103-0.0592*$B$17</f>
        <v>0.4</v>
      </c>
      <c r="C103" s="3">
        <f>-(A103+4.66)/27.2114</f>
        <v>-0.18595147621952565</v>
      </c>
      <c r="D103" s="9">
        <v>605.83512399999995</v>
      </c>
      <c r="E103" s="8">
        <v>-3524.181771605</v>
      </c>
      <c r="F103" s="7">
        <f t="shared" si="20"/>
        <v>-95893.694132412304</v>
      </c>
      <c r="G103" s="8">
        <f>(F103+11/2*$D$10-3*A103-8*$F$98)-(F23 + $J$12 + 4*$D$12-4*'Exp. thermo'!$G$6/96.49+4*'Exp. thermo'!$B$71/96.49)+$D$98-0.0592*$B$17 + $E$3</f>
        <v>-0.46653002166612911</v>
      </c>
    </row>
    <row r="104" spans="1:7" x14ac:dyDescent="0.25">
      <c r="A104" s="2">
        <v>0</v>
      </c>
      <c r="B104" s="7">
        <f t="shared" si="21"/>
        <v>0</v>
      </c>
      <c r="C104" s="3">
        <f>-(A104+4.66)/27.2114</f>
        <v>-0.17125175477924692</v>
      </c>
      <c r="D104" s="9">
        <v>606.32662400000004</v>
      </c>
      <c r="E104" s="8">
        <v>-3524.2693820509398</v>
      </c>
      <c r="F104" s="7">
        <f t="shared" si="20"/>
        <v>-95894.121794900944</v>
      </c>
      <c r="G104" s="8">
        <f>(F104+11/2*$D$10-3*A104-8*$F$98)-(F24 + $J$12 + 4*$D$12-4*'Exp. thermo'!$G$6/96.49+4*'Exp. thermo'!$B$71/96.49)+$D$98-0.0592*$B$17 + $E$3</f>
        <v>0.32182990833052982</v>
      </c>
    </row>
    <row r="107" spans="1:7" x14ac:dyDescent="0.25">
      <c r="A107" s="2" t="s">
        <v>3</v>
      </c>
      <c r="B107" s="2">
        <v>599</v>
      </c>
      <c r="C107" s="5" t="s">
        <v>96</v>
      </c>
      <c r="D107" s="2">
        <v>1.147</v>
      </c>
    </row>
    <row r="108" spans="1:7" x14ac:dyDescent="0.25">
      <c r="A108" s="73" t="s">
        <v>310</v>
      </c>
      <c r="B108" s="74"/>
      <c r="C108" s="74"/>
      <c r="D108" s="74"/>
      <c r="E108" s="74"/>
      <c r="F108" s="75"/>
      <c r="G108" s="2" t="s">
        <v>31</v>
      </c>
    </row>
    <row r="109" spans="1:7" x14ac:dyDescent="0.25">
      <c r="A109" s="4" t="s">
        <v>1</v>
      </c>
      <c r="B109" s="4" t="s">
        <v>100</v>
      </c>
      <c r="C109" s="4" t="s">
        <v>0</v>
      </c>
      <c r="D109" s="5" t="s">
        <v>2</v>
      </c>
      <c r="E109" s="5" t="s">
        <v>4</v>
      </c>
      <c r="F109" s="4" t="s">
        <v>5</v>
      </c>
      <c r="G109" s="6" t="s">
        <v>7</v>
      </c>
    </row>
    <row r="110" spans="1:7" x14ac:dyDescent="0.25">
      <c r="A110" s="7">
        <f>-C110*27.2114-4.66</f>
        <v>0.24028061365999953</v>
      </c>
      <c r="B110" s="7">
        <f>A110-0.0592*$B$17</f>
        <v>0.24028061365999953</v>
      </c>
      <c r="C110" s="1">
        <v>-0.18008189999999999</v>
      </c>
      <c r="D110" s="9">
        <v>599</v>
      </c>
      <c r="E110" s="8">
        <v>-3498.35692839801</v>
      </c>
      <c r="F110" s="7">
        <f>(E110-(D110-$B$107)*C110)*27.2114</f>
        <v>-95195.18972140961</v>
      </c>
      <c r="G110" s="42"/>
    </row>
    <row r="111" spans="1:7" x14ac:dyDescent="0.25">
      <c r="A111" s="2">
        <v>0.8</v>
      </c>
      <c r="B111" s="7">
        <f>A111-0.0592*$B$17</f>
        <v>0.8</v>
      </c>
      <c r="C111" s="3">
        <f>-(A111+4.66)/27.2114</f>
        <v>-0.20065119765980433</v>
      </c>
      <c r="D111" s="9">
        <v>598.50449000000003</v>
      </c>
      <c r="E111" s="8">
        <v>-3498.2626211550801</v>
      </c>
      <c r="F111" s="7">
        <f t="shared" ref="F111:F113" si="22">(E111-(D111-$B$107)*C111)*27.2114</f>
        <v>-95195.328973899348</v>
      </c>
      <c r="G111" s="8">
        <f>(F111+$D$10/2-1*A111)-(F22+$J$13)+$E$4+$D$107-0.0592*$B$17</f>
        <v>-0.93499236679973463</v>
      </c>
    </row>
    <row r="112" spans="1:7" x14ac:dyDescent="0.25">
      <c r="A112" s="1">
        <v>0.4</v>
      </c>
      <c r="B112" s="7">
        <f t="shared" ref="B112:B113" si="23">A112-0.0592*$B$17</f>
        <v>0.4</v>
      </c>
      <c r="C112" s="3">
        <f>-(A112+4.66)/27.2114</f>
        <v>-0.18595147621952565</v>
      </c>
      <c r="D112" s="9">
        <v>598.85965999999996</v>
      </c>
      <c r="E112" s="8">
        <v>-3498.3312479188698</v>
      </c>
      <c r="F112" s="7">
        <f t="shared" si="22"/>
        <v>-95195.201040019543</v>
      </c>
      <c r="G112" s="8">
        <f t="shared" ref="G112:G113" si="24">(F112+$D$10/2-1*A112)-(F23+$J$13)+$E$4+$D$107-0.0592*$B$17</f>
        <v>-0.54181892127427189</v>
      </c>
    </row>
    <row r="113" spans="1:7" x14ac:dyDescent="0.25">
      <c r="A113" s="2">
        <v>0</v>
      </c>
      <c r="B113" s="7">
        <f t="shared" si="23"/>
        <v>0</v>
      </c>
      <c r="C113" s="3">
        <f>-(A113+4.66)/27.2114</f>
        <v>-0.17125175477924692</v>
      </c>
      <c r="D113" s="9">
        <v>599.24356799999998</v>
      </c>
      <c r="E113" s="8">
        <v>-3498.3996848639299</v>
      </c>
      <c r="F113" s="7">
        <f t="shared" si="22"/>
        <v>-95195.218157826341</v>
      </c>
      <c r="G113" s="8">
        <f t="shared" si="24"/>
        <v>-0.14291430943750227</v>
      </c>
    </row>
    <row r="116" spans="1:7" x14ac:dyDescent="0.25">
      <c r="A116" s="2" t="s">
        <v>3</v>
      </c>
      <c r="B116" s="2">
        <v>617</v>
      </c>
      <c r="C116" s="5" t="s">
        <v>96</v>
      </c>
      <c r="D116" s="2">
        <v>0.316</v>
      </c>
    </row>
    <row r="117" spans="1:7" x14ac:dyDescent="0.25">
      <c r="A117" s="73" t="s">
        <v>371</v>
      </c>
      <c r="B117" s="74"/>
      <c r="C117" s="74"/>
      <c r="D117" s="74"/>
      <c r="E117" s="74"/>
      <c r="F117" s="75"/>
      <c r="G117" s="2" t="s">
        <v>31</v>
      </c>
    </row>
    <row r="118" spans="1:7" x14ac:dyDescent="0.25">
      <c r="A118" s="4" t="s">
        <v>1</v>
      </c>
      <c r="B118" s="4" t="s">
        <v>100</v>
      </c>
      <c r="C118" s="4" t="s">
        <v>0</v>
      </c>
      <c r="D118" s="5" t="s">
        <v>2</v>
      </c>
      <c r="E118" s="5" t="s">
        <v>4</v>
      </c>
      <c r="F118" s="4" t="s">
        <v>5</v>
      </c>
      <c r="G118" s="6" t="s">
        <v>7</v>
      </c>
    </row>
    <row r="119" spans="1:7" x14ac:dyDescent="0.25">
      <c r="A119" s="7">
        <f>-C119*27.2114-4.66</f>
        <v>0.45081380046720021</v>
      </c>
      <c r="B119" s="7">
        <f>A119-0.0592*$B$17</f>
        <v>0.45081380046720021</v>
      </c>
      <c r="C119" s="1">
        <v>-0.18781884800000001</v>
      </c>
      <c r="D119" s="9">
        <v>617</v>
      </c>
      <c r="E119" s="8">
        <v>-3541.6585322656802</v>
      </c>
      <c r="F119" s="7">
        <f>(E119-(D119-$B$116)*C119)*27.2114</f>
        <v>-96373.486984894334</v>
      </c>
      <c r="G119" s="42"/>
    </row>
    <row r="120" spans="1:7" x14ac:dyDescent="0.25">
      <c r="A120" s="2">
        <v>0.8</v>
      </c>
      <c r="B120" s="7">
        <f>A120-0.0592*$B$17</f>
        <v>0.8</v>
      </c>
      <c r="C120" s="3">
        <f>-(A120+4.66)/27.2114</f>
        <v>-0.20065119765980433</v>
      </c>
      <c r="D120" s="9">
        <v>616.72436200000004</v>
      </c>
      <c r="E120" s="8">
        <v>-3541.6051568959501</v>
      </c>
      <c r="F120" s="7">
        <f t="shared" ref="F120:F122" si="25">(E120-(D120-$B$116)*C120)*27.2114</f>
        <v>-96373.539549838461</v>
      </c>
      <c r="G120" s="8">
        <f>(F120+$D$10/2-1*A120)-(F22+$J$14)+$E$5+$D$116-0.0592*$B$17</f>
        <v>-0.53008151539406922</v>
      </c>
    </row>
    <row r="121" spans="1:7" x14ac:dyDescent="0.25">
      <c r="A121" s="1">
        <v>0.4</v>
      </c>
      <c r="B121" s="7">
        <f t="shared" ref="B121:B122" si="26">A121-0.0592*$B$17</f>
        <v>0.4</v>
      </c>
      <c r="C121" s="3">
        <f>-(A121+4.66)/27.2114</f>
        <v>-0.18595147621952565</v>
      </c>
      <c r="D121" s="9">
        <v>617.03774399999998</v>
      </c>
      <c r="E121" s="8">
        <v>-3541.6655894341202</v>
      </c>
      <c r="F121" s="7">
        <f t="shared" si="25"/>
        <v>-96373.488035687624</v>
      </c>
      <c r="G121" s="8">
        <f t="shared" ref="G121:G122" si="27">(F121+$D$10/2-1*A121)-(F23+$J$14)+$E$5+$D$116-0.0592*$B$17</f>
        <v>-0.2133277988367826</v>
      </c>
    </row>
    <row r="122" spans="1:7" x14ac:dyDescent="0.25">
      <c r="A122" s="2">
        <v>0</v>
      </c>
      <c r="B122" s="7">
        <f t="shared" si="26"/>
        <v>0</v>
      </c>
      <c r="C122" s="3">
        <f>-(A122+4.66)/27.2114</f>
        <v>-0.17125175477924692</v>
      </c>
      <c r="D122" s="9">
        <v>617.35229200000003</v>
      </c>
      <c r="E122" s="8">
        <v>-3541.7217302716299</v>
      </c>
      <c r="F122" s="7">
        <f t="shared" si="25"/>
        <v>-96373.565010393431</v>
      </c>
      <c r="G122" s="8">
        <f t="shared" si="27"/>
        <v>0.12571991399008597</v>
      </c>
    </row>
  </sheetData>
  <mergeCells count="14">
    <mergeCell ref="A117:F117"/>
    <mergeCell ref="A54:F54"/>
    <mergeCell ref="B7:E7"/>
    <mergeCell ref="C15:D15"/>
    <mergeCell ref="A19:F19"/>
    <mergeCell ref="A27:F27"/>
    <mergeCell ref="A36:F36"/>
    <mergeCell ref="A45:F45"/>
    <mergeCell ref="A108:F108"/>
    <mergeCell ref="A63:F63"/>
    <mergeCell ref="A72:F72"/>
    <mergeCell ref="A81:F81"/>
    <mergeCell ref="A90:F90"/>
    <mergeCell ref="A99:F99"/>
  </mergeCells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C10A-4E55-4678-92D4-1D35BB103093}">
  <sheetPr>
    <tabColor theme="9" tint="0.39997558519241921"/>
  </sheetPr>
  <dimension ref="A1:J122"/>
  <sheetViews>
    <sheetView showGridLines="0" topLeftCell="A72" zoomScale="85" zoomScaleNormal="85" workbookViewId="0">
      <selection activeCell="F80" sqref="F80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</cols>
  <sheetData>
    <row r="1" spans="1:10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9.3749663999999996E-2</v>
      </c>
    </row>
    <row r="2" spans="1:10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10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10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10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6" spans="1:10" x14ac:dyDescent="0.25">
      <c r="A6" s="44"/>
      <c r="B6" s="45"/>
    </row>
    <row r="7" spans="1:10" ht="18.75" x14ac:dyDescent="0.3">
      <c r="A7" s="44"/>
      <c r="B7" s="76" t="s">
        <v>134</v>
      </c>
      <c r="C7" s="76"/>
      <c r="D7" s="76"/>
      <c r="E7" s="76"/>
    </row>
    <row r="8" spans="1:10" x14ac:dyDescent="0.25">
      <c r="A8" s="25" t="s">
        <v>73</v>
      </c>
    </row>
    <row r="9" spans="1:10" x14ac:dyDescent="0.25">
      <c r="B9" s="5" t="s">
        <v>4</v>
      </c>
      <c r="C9" s="5" t="s">
        <v>96</v>
      </c>
      <c r="D9" s="5" t="s">
        <v>11</v>
      </c>
      <c r="H9" s="5" t="s">
        <v>4</v>
      </c>
      <c r="I9" s="5" t="s">
        <v>96</v>
      </c>
      <c r="J9" s="5" t="s">
        <v>11</v>
      </c>
    </row>
    <row r="10" spans="1:10" x14ac:dyDescent="0.25">
      <c r="A10" s="5" t="s">
        <v>10</v>
      </c>
      <c r="B10" s="10">
        <v>-1.1651204227085801</v>
      </c>
      <c r="C10" s="8">
        <v>-4.2000000000000003E-2</v>
      </c>
      <c r="D10" s="2">
        <f>B10*27.2114+C10</f>
        <v>-31.746557870492257</v>
      </c>
      <c r="G10" s="5" t="s">
        <v>191</v>
      </c>
      <c r="H10" s="10">
        <v>-30.0430223619964</v>
      </c>
      <c r="I10" s="8">
        <v>-0.56100000000000005</v>
      </c>
      <c r="J10" s="2">
        <f>H10*27.2114+I10</f>
        <v>-818.07369870122886</v>
      </c>
    </row>
    <row r="11" spans="1:10" x14ac:dyDescent="0.25">
      <c r="A11" s="5" t="s">
        <v>29</v>
      </c>
      <c r="B11" s="10">
        <v>-37.8808477704033</v>
      </c>
      <c r="C11" s="8">
        <v>-0.251</v>
      </c>
      <c r="D11" s="2">
        <f>B11*27.2114+C11+'Exp. thermo'!$G$5/96.49</f>
        <v>-1030.9598193813147</v>
      </c>
      <c r="G11" s="5" t="s">
        <v>200</v>
      </c>
      <c r="H11" s="10">
        <v>-42.413044169722198</v>
      </c>
      <c r="I11" s="8">
        <v>-0.496</v>
      </c>
      <c r="J11" s="2">
        <f>H11*27.2114+I11 +'Exp. thermo'!$G$5/96.49</f>
        <v>-1154.5322284817412</v>
      </c>
    </row>
    <row r="12" spans="1:10" x14ac:dyDescent="0.25">
      <c r="A12" s="5" t="s">
        <v>30</v>
      </c>
      <c r="B12" s="10">
        <v>-17.268355960477901</v>
      </c>
      <c r="C12" s="8">
        <v>9.2999999999999999E-2</v>
      </c>
      <c r="D12" s="2">
        <f>B12*27.2114+C12+'Exp. thermo'!$G$5/96.49</f>
        <v>-469.72105974471066</v>
      </c>
      <c r="G12" s="5" t="s">
        <v>253</v>
      </c>
      <c r="H12" s="10">
        <v>-8.3935110948132401</v>
      </c>
      <c r="I12" s="8">
        <v>5.6000000000000001E-2</v>
      </c>
      <c r="J12" s="2">
        <f>H12*27.2114+I12 +'Exp. thermo'!$G$5/96.49</f>
        <v>-228.26110616716332</v>
      </c>
    </row>
    <row r="13" spans="1:10" x14ac:dyDescent="0.25">
      <c r="A13" s="5" t="s">
        <v>9</v>
      </c>
      <c r="B13" s="10">
        <v>-58.677193166200901</v>
      </c>
      <c r="C13" s="8">
        <v>-1.0999999999999999E-2</v>
      </c>
      <c r="D13" s="2">
        <f>B13*27.2114+C13+'Exp. thermo'!$G$5/96.49</f>
        <v>-1596.6174924845216</v>
      </c>
      <c r="G13" s="5" t="s">
        <v>48</v>
      </c>
      <c r="H13" s="10">
        <v>-45.958970677356099</v>
      </c>
      <c r="I13" s="8">
        <v>0.88400000000000001</v>
      </c>
      <c r="J13" s="2">
        <f>H13*27.2114+I13+'Exp. thermo'!$G$5/96.49</f>
        <v>-1249.64185305157</v>
      </c>
    </row>
    <row r="14" spans="1:10" x14ac:dyDescent="0.25">
      <c r="A14" s="5" t="s">
        <v>49</v>
      </c>
      <c r="B14" s="10">
        <v>-42.632854517177599</v>
      </c>
      <c r="C14" s="8">
        <v>-0.126</v>
      </c>
      <c r="D14" s="2">
        <f>B14*27.2114+C14+'Exp. thermo'!$G$5/96.49</f>
        <v>-1160.1435757704887</v>
      </c>
      <c r="G14" s="5" t="s">
        <v>231</v>
      </c>
      <c r="H14" s="10">
        <v>-89.257170769677202</v>
      </c>
      <c r="I14" s="8">
        <v>-3.2000000000000001E-2</v>
      </c>
      <c r="J14" s="2">
        <f>H14*27.2114+I14+'Exp. thermo'!$G$5/96.49</f>
        <v>-2428.7624950437571</v>
      </c>
    </row>
    <row r="15" spans="1:10" ht="18.75" x14ac:dyDescent="0.3">
      <c r="C15" s="76"/>
      <c r="D15" s="76"/>
    </row>
    <row r="16" spans="1:10" x14ac:dyDescent="0.25">
      <c r="A16" s="25" t="s">
        <v>77</v>
      </c>
    </row>
    <row r="17" spans="1:7" x14ac:dyDescent="0.25">
      <c r="A17" s="20" t="s">
        <v>12</v>
      </c>
      <c r="B17" s="21">
        <v>0</v>
      </c>
    </row>
    <row r="18" spans="1:7" x14ac:dyDescent="0.25">
      <c r="A18" s="21" t="s">
        <v>3</v>
      </c>
      <c r="B18" s="21">
        <v>684</v>
      </c>
    </row>
    <row r="19" spans="1:7" x14ac:dyDescent="0.25">
      <c r="A19" s="73" t="s">
        <v>166</v>
      </c>
      <c r="B19" s="74"/>
      <c r="C19" s="74"/>
      <c r="D19" s="74"/>
      <c r="E19" s="74"/>
      <c r="F19" s="75"/>
    </row>
    <row r="20" spans="1:7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x14ac:dyDescent="0.25">
      <c r="A21" s="7">
        <f>-C21*27.2114-4.66</f>
        <v>-0.45290112052440001</v>
      </c>
      <c r="B21" s="7">
        <f>A21-0.0592*$B$17</f>
        <v>-0.45290112052440001</v>
      </c>
      <c r="C21" s="3">
        <v>-0.15460795399999999</v>
      </c>
      <c r="D21" s="9">
        <v>684</v>
      </c>
      <c r="E21" s="8">
        <v>-5313.9622152706497</v>
      </c>
      <c r="F21" s="7">
        <f>(E21-(D21-$B$18)*C21)*27.2114</f>
        <v>-144600.35142461577</v>
      </c>
    </row>
    <row r="22" spans="1:7" x14ac:dyDescent="0.25">
      <c r="A22" s="2">
        <v>0.8</v>
      </c>
      <c r="B22" s="7">
        <f>A22-0.0592*$B$17</f>
        <v>0.8</v>
      </c>
      <c r="C22" s="3">
        <f>-(A22+4.66)/27.2114</f>
        <v>-0.20065119765980433</v>
      </c>
      <c r="D22" s="9">
        <v>682.54178100000001</v>
      </c>
      <c r="E22" s="8">
        <v>-5313.7020630630304</v>
      </c>
      <c r="F22" s="7">
        <f>(E22-(D22-$B$18)*C22)*27.2114</f>
        <v>-144601.23419457334</v>
      </c>
    </row>
    <row r="23" spans="1:7" x14ac:dyDescent="0.25">
      <c r="A23" s="1">
        <v>0.4</v>
      </c>
      <c r="B23" s="7">
        <f t="shared" ref="B23:B24" si="0">A23-0.0592*$B$17</f>
        <v>0.4</v>
      </c>
      <c r="C23" s="3">
        <f>-(A23+4.66)/27.2114</f>
        <v>-0.18595147621952565</v>
      </c>
      <c r="D23" s="9">
        <v>683.04025100000001</v>
      </c>
      <c r="E23" s="8">
        <v>-5313.7984366123301</v>
      </c>
      <c r="F23" s="7">
        <f>(E23-(D23-$B$18)*C23)*27.2114</f>
        <v>-144600.75110797276</v>
      </c>
    </row>
    <row r="24" spans="1:7" x14ac:dyDescent="0.25">
      <c r="A24" s="2">
        <v>0</v>
      </c>
      <c r="B24" s="7">
        <f t="shared" si="0"/>
        <v>0</v>
      </c>
      <c r="C24" s="3">
        <f>-(A24+4.66)/27.2114</f>
        <v>-0.17125175477924692</v>
      </c>
      <c r="D24" s="9">
        <v>683.50825099999997</v>
      </c>
      <c r="E24" s="8">
        <v>-5313.8820437828899</v>
      </c>
      <c r="F24" s="7">
        <f>(E24-(D24-$B$18)*C24)*27.2114</f>
        <v>-144600.46139653373</v>
      </c>
    </row>
    <row r="26" spans="1:7" x14ac:dyDescent="0.25">
      <c r="A26" s="5" t="s">
        <v>3</v>
      </c>
      <c r="B26" s="2">
        <v>707</v>
      </c>
      <c r="C26" s="5" t="s">
        <v>96</v>
      </c>
      <c r="D26" s="2">
        <v>0.53800000000000003</v>
      </c>
    </row>
    <row r="27" spans="1:7" x14ac:dyDescent="0.25">
      <c r="A27" s="73" t="s">
        <v>167</v>
      </c>
      <c r="B27" s="74"/>
      <c r="C27" s="74"/>
      <c r="D27" s="74"/>
      <c r="E27" s="74"/>
      <c r="F27" s="75"/>
      <c r="G27" s="2" t="s">
        <v>31</v>
      </c>
    </row>
    <row r="28" spans="1:7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x14ac:dyDescent="0.25">
      <c r="A29" s="7">
        <f>-C29*27.2114-4.66</f>
        <v>-0.19742555826580066</v>
      </c>
      <c r="B29" s="7">
        <f>A29-0.0592*$B$17</f>
        <v>-0.19742555826580066</v>
      </c>
      <c r="C29" s="1">
        <v>-0.16399650299999999</v>
      </c>
      <c r="D29" s="9">
        <v>707</v>
      </c>
      <c r="E29" s="8">
        <v>-5368.53980464699</v>
      </c>
      <c r="F29" s="7">
        <f>(E29-(D29-$B$26)*C29)*27.2114</f>
        <v>-146085.48404017111</v>
      </c>
      <c r="G29" s="42"/>
    </row>
    <row r="30" spans="1:7" x14ac:dyDescent="0.25">
      <c r="A30" s="2">
        <v>0.8</v>
      </c>
      <c r="B30" s="7">
        <f>A30-0.0592*$B$17</f>
        <v>0.8</v>
      </c>
      <c r="C30" s="3">
        <f>-(A30+4.66)/27.2114</f>
        <v>-0.20065119765980433</v>
      </c>
      <c r="D30" s="9">
        <v>705.83880999999997</v>
      </c>
      <c r="E30" s="8">
        <v>-5368.32788291834</v>
      </c>
      <c r="F30" s="7">
        <f>(E30-(D30-$B$26)*C30)*27.2114</f>
        <v>-146086.05745064415</v>
      </c>
      <c r="G30" s="8">
        <f>(F30+$D$10/2-1*A22)-(F22+$D$11+$D$12)+$B$2+$D$26-0.0592*$B$17</f>
        <v>-0.50290957161914585</v>
      </c>
    </row>
    <row r="31" spans="1:7" x14ac:dyDescent="0.25">
      <c r="A31" s="1">
        <v>0.4</v>
      </c>
      <c r="B31" s="7">
        <f t="shared" ref="B31:B32" si="1">A31-0.0592*$B$17</f>
        <v>0.4</v>
      </c>
      <c r="C31" s="3">
        <f>-(A31+4.66)/27.2114</f>
        <v>-0.18595147621952565</v>
      </c>
      <c r="D31" s="9">
        <v>706.31529399999999</v>
      </c>
      <c r="E31" s="8">
        <v>-5368.4199996847301</v>
      </c>
      <c r="F31" s="7">
        <f t="shared" ref="F31:F32" si="2">(E31-(D31-$B$26)*C31)*27.2114</f>
        <v>-146085.68859178107</v>
      </c>
      <c r="G31" s="8">
        <f>(F31+$D$10/2-1*A23)-(F23+$D$11+$D$12)+$B$2+$D$26-0.0592*$B$17</f>
        <v>-0.21713730912879148</v>
      </c>
    </row>
    <row r="32" spans="1:7" x14ac:dyDescent="0.25">
      <c r="A32" s="2">
        <v>0</v>
      </c>
      <c r="B32" s="7">
        <f t="shared" si="1"/>
        <v>0</v>
      </c>
      <c r="C32" s="3">
        <f>-(A32+4.66)/27.2114</f>
        <v>-0.17125175477924692</v>
      </c>
      <c r="D32" s="9">
        <v>706.77977499999997</v>
      </c>
      <c r="E32" s="8">
        <v>-5368.50292010874</v>
      </c>
      <c r="F32" s="7">
        <f t="shared" si="2"/>
        <v>-146085.50660874697</v>
      </c>
      <c r="G32" s="8">
        <f>(F32+$D$10/2-1*A24)-(F24+$D$11+$D$12)+$B$2+$D$26-0.0592*$B$17</f>
        <v>7.5134285941114265E-2</v>
      </c>
    </row>
    <row r="33" spans="1:7" x14ac:dyDescent="0.25">
      <c r="C33" s="15"/>
    </row>
    <row r="35" spans="1:7" x14ac:dyDescent="0.25">
      <c r="A35" s="2" t="s">
        <v>3</v>
      </c>
      <c r="B35" s="2">
        <v>706</v>
      </c>
      <c r="C35" s="5" t="s">
        <v>96</v>
      </c>
      <c r="D35" s="2">
        <v>0.224</v>
      </c>
    </row>
    <row r="36" spans="1:7" x14ac:dyDescent="0.25">
      <c r="A36" s="73" t="s">
        <v>168</v>
      </c>
      <c r="B36" s="74"/>
      <c r="C36" s="74"/>
      <c r="D36" s="74"/>
      <c r="E36" s="74"/>
      <c r="F36" s="75"/>
      <c r="G36" s="2" t="s">
        <v>31</v>
      </c>
    </row>
    <row r="37" spans="1:7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x14ac:dyDescent="0.25">
      <c r="A38" s="7">
        <f>-C38*27.2114-4.66</f>
        <v>0.42603417443960012</v>
      </c>
      <c r="B38" s="7">
        <f>A38-0.0592*$B$17</f>
        <v>0.42603417443960012</v>
      </c>
      <c r="C38" s="1">
        <v>-0.18690821399999999</v>
      </c>
      <c r="D38" s="9">
        <v>706</v>
      </c>
      <c r="E38" s="8">
        <v>-5367.9133361153199</v>
      </c>
      <c r="F38" s="7">
        <f>(E38-(D38-$B$35)*C38)*27.2114</f>
        <v>-146068.43695436843</v>
      </c>
      <c r="G38" s="42"/>
    </row>
    <row r="39" spans="1:7" x14ac:dyDescent="0.25">
      <c r="A39" s="2">
        <v>0.8</v>
      </c>
      <c r="B39" s="7">
        <f>A39-0.0592*$B$17</f>
        <v>0.8</v>
      </c>
      <c r="C39" s="3">
        <f>-(A39+4.66)/27.2114</f>
        <v>-0.20065119765980433</v>
      </c>
      <c r="D39" s="9">
        <v>705.53086199999996</v>
      </c>
      <c r="E39" s="8">
        <v>-5367.8224032979697</v>
      </c>
      <c r="F39" s="7">
        <f t="shared" ref="F39:F41" si="3">(E39-(D39-$B$35)*C39)*27.2114</f>
        <v>-146068.52403858237</v>
      </c>
      <c r="G39" s="8">
        <f>(F39+$D$10-2*A39)-(F22+$D$12+$D$11)+$B$3+$D$35-0.0592*$B$17</f>
        <v>-0.56574783745963142</v>
      </c>
    </row>
    <row r="40" spans="1:7" x14ac:dyDescent="0.25">
      <c r="A40" s="1">
        <v>0.4</v>
      </c>
      <c r="B40" s="7">
        <f t="shared" ref="B40:B41" si="4">A40-0.0592*$B$17</f>
        <v>0.4</v>
      </c>
      <c r="C40" s="3">
        <f>-(A40+4.66)/27.2114</f>
        <v>-0.18595147621952565</v>
      </c>
      <c r="D40" s="9">
        <v>706.03081499999996</v>
      </c>
      <c r="E40" s="8">
        <v>-5367.9190806164297</v>
      </c>
      <c r="F40" s="7">
        <f t="shared" si="3"/>
        <v>-146068.43734638591</v>
      </c>
      <c r="G40" s="8">
        <f>(F40+$D$10-2*A40)-(F23+$D$12+$D$11)+$B$3+$D$35-0.0592*$B$17</f>
        <v>-0.16214224155918708</v>
      </c>
    </row>
    <row r="41" spans="1:7" x14ac:dyDescent="0.25">
      <c r="A41" s="2">
        <v>0</v>
      </c>
      <c r="B41" s="7">
        <f t="shared" si="4"/>
        <v>0</v>
      </c>
      <c r="C41" s="3">
        <f>-(A41+4.66)/27.2114</f>
        <v>-0.17125175477924692</v>
      </c>
      <c r="D41" s="9">
        <v>706.51589000000001</v>
      </c>
      <c r="E41" s="8">
        <v>-5368.0057792882099</v>
      </c>
      <c r="F41" s="7">
        <f t="shared" si="3"/>
        <v>-146068.54841512322</v>
      </c>
      <c r="G41" s="8">
        <f>(F41+$D$10-2*A41)-(F24+$D$12+$D$11)+$B$3+$D$35-0.0592*$B$17</f>
        <v>0.23707758209276</v>
      </c>
    </row>
    <row r="44" spans="1:7" x14ac:dyDescent="0.25">
      <c r="A44" s="2" t="s">
        <v>3</v>
      </c>
      <c r="B44" s="2">
        <v>707</v>
      </c>
      <c r="C44" s="5" t="s">
        <v>96</v>
      </c>
      <c r="D44" s="2">
        <v>0.19700000000000001</v>
      </c>
    </row>
    <row r="45" spans="1:7" x14ac:dyDescent="0.25">
      <c r="A45" s="73" t="s">
        <v>169</v>
      </c>
      <c r="B45" s="74"/>
      <c r="C45" s="74"/>
      <c r="D45" s="74"/>
      <c r="E45" s="74"/>
      <c r="F45" s="75"/>
      <c r="G45" s="2" t="s">
        <v>31</v>
      </c>
    </row>
    <row r="46" spans="1:7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x14ac:dyDescent="0.25">
      <c r="A47" s="7">
        <f>-C47*27.2114-4.66</f>
        <v>3.8111775830399708E-2</v>
      </c>
      <c r="B47" s="7">
        <f>A47-0.0592*$B$17</f>
        <v>3.8111775830399708E-2</v>
      </c>
      <c r="C47" s="1">
        <v>-0.17265233599999999</v>
      </c>
      <c r="D47" s="9">
        <v>707</v>
      </c>
      <c r="E47" s="8">
        <v>-5372.0706962342401</v>
      </c>
      <c r="F47" s="7">
        <f>(E47-(D47-$B$44)*C47)*27.2114</f>
        <v>-146181.5645435084</v>
      </c>
      <c r="G47" s="42"/>
    </row>
    <row r="48" spans="1:7" x14ac:dyDescent="0.25">
      <c r="A48" s="2">
        <v>0.8</v>
      </c>
      <c r="B48" s="7">
        <f>A48-0.0592*$B$17</f>
        <v>0.8</v>
      </c>
      <c r="C48" s="3">
        <f>-(A48+4.66)/27.2114</f>
        <v>-0.20065119765980433</v>
      </c>
      <c r="D48" s="9">
        <v>706.06488899999999</v>
      </c>
      <c r="E48" s="8">
        <v>-5371.8960247112</v>
      </c>
      <c r="F48" s="7">
        <f t="shared" ref="F48:F50" si="5">(E48-(D48-$B$44)*C48)*27.2114</f>
        <v>-146181.91719288635</v>
      </c>
      <c r="G48" s="8">
        <f>(F48+$D$10/2-1*A48)-(F22+$D$13)+$B$4+$D$44-0.0592*$B$17</f>
        <v>-6.3106905193525964E-2</v>
      </c>
    </row>
    <row r="49" spans="1:7" x14ac:dyDescent="0.25">
      <c r="A49" s="1">
        <v>0.4</v>
      </c>
      <c r="B49" s="7">
        <f t="shared" ref="B49:B50" si="6">A49-0.0592*$B$17</f>
        <v>0.4</v>
      </c>
      <c r="C49" s="3">
        <f>-(A49+4.66)/27.2114</f>
        <v>-0.18595147621952565</v>
      </c>
      <c r="D49" s="9">
        <v>706.57231300000001</v>
      </c>
      <c r="E49" s="8">
        <v>-5371.9939890455598</v>
      </c>
      <c r="F49" s="7">
        <f t="shared" si="5"/>
        <v>-146181.64132973435</v>
      </c>
      <c r="G49" s="8">
        <f>(F49+$D$10/2-1*A49)-(F23+$D$13)+$B$4+$D$44-0.0592*$B$17</f>
        <v>0.12966964621842686</v>
      </c>
    </row>
    <row r="50" spans="1:7" x14ac:dyDescent="0.25">
      <c r="A50" s="2">
        <v>0</v>
      </c>
      <c r="B50" s="7">
        <f t="shared" si="6"/>
        <v>0</v>
      </c>
      <c r="C50" s="3">
        <f>-(A50+4.66)/27.2114</f>
        <v>-0.17125175477924692</v>
      </c>
      <c r="D50" s="9">
        <v>707.04123200000004</v>
      </c>
      <c r="E50" s="8">
        <v>-5372.0777882762104</v>
      </c>
      <c r="F50" s="7">
        <f t="shared" si="5"/>
        <v>-146181.56538677926</v>
      </c>
      <c r="G50" s="8">
        <f>(F50+$D$10/2-1*A50)-(F24+$D$13)+$B$4+$D$44-0.0592*$B$17</f>
        <v>0.31590116228722814</v>
      </c>
    </row>
    <row r="53" spans="1:7" x14ac:dyDescent="0.25">
      <c r="A53" s="2" t="s">
        <v>3</v>
      </c>
      <c r="B53" s="2">
        <v>701</v>
      </c>
      <c r="C53" s="5" t="s">
        <v>96</v>
      </c>
      <c r="D53" s="2">
        <v>9.5000000000000001E-2</v>
      </c>
    </row>
    <row r="54" spans="1:7" x14ac:dyDescent="0.25">
      <c r="A54" s="73" t="s">
        <v>170</v>
      </c>
      <c r="B54" s="74"/>
      <c r="C54" s="74"/>
      <c r="D54" s="74"/>
      <c r="E54" s="74"/>
      <c r="F54" s="75"/>
      <c r="G54" s="2" t="s">
        <v>31</v>
      </c>
    </row>
    <row r="55" spans="1:7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7" x14ac:dyDescent="0.25">
      <c r="A56" s="7">
        <f>-C56*27.2114-4.66</f>
        <v>-0.15995298422839976</v>
      </c>
      <c r="B56" s="7">
        <f>A56-0.0592*$B$17</f>
        <v>-0.15995298422839976</v>
      </c>
      <c r="C56" s="1">
        <v>-0.16537359400000001</v>
      </c>
      <c r="D56" s="9">
        <v>701</v>
      </c>
      <c r="E56" s="8">
        <v>-5356.0264123523702</v>
      </c>
      <c r="F56" s="7">
        <f>(E56-(D56-$B$53)*C56)*27.2114</f>
        <v>-145744.97711708531</v>
      </c>
      <c r="G56" s="42"/>
    </row>
    <row r="57" spans="1:7" x14ac:dyDescent="0.25">
      <c r="A57" s="2">
        <v>0.8</v>
      </c>
      <c r="B57" s="7">
        <f>A57-0.0592*$B$17</f>
        <v>0.8</v>
      </c>
      <c r="C57" s="3">
        <f>-(A57+4.66)/27.2114</f>
        <v>-0.20065119765980433</v>
      </c>
      <c r="D57" s="9">
        <v>699.88513399999999</v>
      </c>
      <c r="E57" s="8">
        <v>-5355.8223608136796</v>
      </c>
      <c r="F57" s="7">
        <f t="shared" ref="F57:F59" si="7">(E57-(D57-$B$53)*C57)*27.2114</f>
        <v>-145745.51175740536</v>
      </c>
      <c r="G57" s="8">
        <f>(F57+$D$10/2-1*A57)-(F22+$D$14)+$B$5+$D$53-0.0592*$B$17</f>
        <v>-0.72850912490180331</v>
      </c>
    </row>
    <row r="58" spans="1:7" x14ac:dyDescent="0.25">
      <c r="A58" s="1">
        <v>0.4</v>
      </c>
      <c r="B58" s="7">
        <f t="shared" ref="B58:B59" si="8">A58-0.0592*$B$17</f>
        <v>0.4</v>
      </c>
      <c r="C58" s="3">
        <f>-(A58+4.66)/27.2114</f>
        <v>-0.18595147621952565</v>
      </c>
      <c r="D58" s="9">
        <v>700.35052099999996</v>
      </c>
      <c r="E58" s="8">
        <v>-5355.9122831192399</v>
      </c>
      <c r="F58" s="7">
        <f t="shared" si="7"/>
        <v>-145745.15786461087</v>
      </c>
      <c r="G58" s="8">
        <f>(F58+$D$10/2-1*A58)-(F23+$D$14)+$B$5+$D$53-0.0592*$B$17</f>
        <v>-0.45770293099708492</v>
      </c>
    </row>
    <row r="59" spans="1:7" x14ac:dyDescent="0.25">
      <c r="A59" s="2">
        <v>0</v>
      </c>
      <c r="B59" s="7">
        <f t="shared" si="8"/>
        <v>0</v>
      </c>
      <c r="C59" s="3">
        <f>-(A59+4.66)/27.2114</f>
        <v>-0.17125175477924692</v>
      </c>
      <c r="D59" s="9">
        <v>700.81894299999999</v>
      </c>
      <c r="E59" s="8">
        <v>-5355.9959468509896</v>
      </c>
      <c r="F59" s="7">
        <f t="shared" si="7"/>
        <v>-145744.99183376104</v>
      </c>
      <c r="G59" s="8">
        <f>(F59+$D$10/2-1*A59)-(F24+$D$14)+$B$5+$D$53-0.0592*$B$17</f>
        <v>-0.18138352019964352</v>
      </c>
    </row>
    <row r="62" spans="1:7" x14ac:dyDescent="0.25">
      <c r="A62" s="2" t="s">
        <v>3</v>
      </c>
      <c r="B62" s="2">
        <v>691</v>
      </c>
      <c r="C62" s="5" t="s">
        <v>96</v>
      </c>
      <c r="D62" s="2">
        <v>0.189</v>
      </c>
    </row>
    <row r="63" spans="1:7" x14ac:dyDescent="0.25">
      <c r="A63" s="73" t="s">
        <v>311</v>
      </c>
      <c r="B63" s="74"/>
      <c r="C63" s="74"/>
      <c r="D63" s="74"/>
      <c r="E63" s="74"/>
      <c r="F63" s="75"/>
      <c r="G63" s="2" t="s">
        <v>31</v>
      </c>
    </row>
    <row r="64" spans="1:7" x14ac:dyDescent="0.25">
      <c r="A64" s="4" t="s">
        <v>1</v>
      </c>
      <c r="B64" s="4" t="s">
        <v>100</v>
      </c>
      <c r="C64" s="4" t="s">
        <v>0</v>
      </c>
      <c r="D64" s="5" t="s">
        <v>2</v>
      </c>
      <c r="E64" s="5" t="s">
        <v>4</v>
      </c>
      <c r="F64" s="4" t="s">
        <v>5</v>
      </c>
      <c r="G64" s="6" t="s">
        <v>7</v>
      </c>
    </row>
    <row r="65" spans="1:7" x14ac:dyDescent="0.25">
      <c r="A65" s="7">
        <f>-C65*27.2114-4.66</f>
        <v>-2.0677637527600545E-2</v>
      </c>
      <c r="B65" s="7">
        <f>A65-0.0592*$B$17</f>
        <v>-2.0677637527600545E-2</v>
      </c>
      <c r="C65" s="1">
        <v>-0.17049186599999999</v>
      </c>
      <c r="D65" s="9">
        <v>691</v>
      </c>
      <c r="E65" s="8">
        <v>-5330.6228623458101</v>
      </c>
      <c r="F65" s="7">
        <f>(E65-(D65-$B$62)*C65)*27.2114</f>
        <v>-145053.71095643679</v>
      </c>
      <c r="G65" s="42"/>
    </row>
    <row r="66" spans="1:7" x14ac:dyDescent="0.25">
      <c r="A66" s="2">
        <v>0.8</v>
      </c>
      <c r="B66" s="7">
        <f>A66-0.0592*$B$17</f>
        <v>0.8</v>
      </c>
      <c r="C66" s="3">
        <f>-(A66+4.66)/27.2114</f>
        <v>-0.20065119765980433</v>
      </c>
      <c r="D66" s="9">
        <v>689.78207399999997</v>
      </c>
      <c r="E66" s="8">
        <v>-5330.39755469581</v>
      </c>
      <c r="F66" s="7">
        <f t="shared" ref="F66:F68" si="9">(E66-(D66-$B$62)*C66)*27.2114</f>
        <v>-145054.22989580958</v>
      </c>
      <c r="G66" s="8">
        <f>(F66+1/2*$D$10-1*A66)-(F22 + $D$12)+$D$62-0.0592*$B$17 + $E$2</f>
        <v>-0.43206401644310827</v>
      </c>
    </row>
    <row r="67" spans="1:7" x14ac:dyDescent="0.25">
      <c r="A67" s="1">
        <v>0.4</v>
      </c>
      <c r="B67" s="7">
        <f t="shared" ref="B67:B68" si="10">A67-0.0592*$B$17</f>
        <v>0.4</v>
      </c>
      <c r="C67" s="3">
        <f>-(A67+4.66)/27.2114</f>
        <v>-0.18595147621952565</v>
      </c>
      <c r="D67" s="9">
        <v>690.31970100000001</v>
      </c>
      <c r="E67" s="8">
        <v>-5330.5013218200102</v>
      </c>
      <c r="F67" s="7">
        <f>(E67-(D67-$B$62)*C67)*27.2114</f>
        <v>-145053.84598151303</v>
      </c>
      <c r="G67" s="8">
        <f t="shared" ref="G67:G68" si="11">(F67+1/2*$D$10-1*A67)-(F23 + $D$12)+$D$62-0.0592*$B$17 + $E$2</f>
        <v>-0.13123632048409339</v>
      </c>
    </row>
    <row r="68" spans="1:7" x14ac:dyDescent="0.25">
      <c r="A68" s="2">
        <v>0</v>
      </c>
      <c r="B68" s="7">
        <f t="shared" si="10"/>
        <v>0</v>
      </c>
      <c r="C68" s="3">
        <f>-(A68+4.66)/27.2114</f>
        <v>-0.17125175477924692</v>
      </c>
      <c r="D68" s="9">
        <v>690.97696399999995</v>
      </c>
      <c r="E68" s="8">
        <v>-5330.6189284570801</v>
      </c>
      <c r="F68" s="7">
        <f t="shared" si="9"/>
        <v>-145053.711257577</v>
      </c>
      <c r="G68" s="8">
        <f t="shared" si="11"/>
        <v>0.11377617652142513</v>
      </c>
    </row>
    <row r="71" spans="1:7" x14ac:dyDescent="0.25">
      <c r="A71" s="2" t="s">
        <v>3</v>
      </c>
      <c r="B71" s="2">
        <v>685</v>
      </c>
      <c r="C71" s="5" t="s">
        <v>96</v>
      </c>
      <c r="D71" s="2">
        <v>0.14199999999999999</v>
      </c>
    </row>
    <row r="72" spans="1:7" x14ac:dyDescent="0.25">
      <c r="A72" s="73" t="s">
        <v>312</v>
      </c>
      <c r="B72" s="74"/>
      <c r="C72" s="74"/>
      <c r="D72" s="74"/>
      <c r="E72" s="74"/>
      <c r="F72" s="75"/>
      <c r="G72" s="2" t="s">
        <v>31</v>
      </c>
    </row>
    <row r="73" spans="1:7" x14ac:dyDescent="0.25">
      <c r="A73" s="4" t="s">
        <v>1</v>
      </c>
      <c r="B73" s="4" t="s">
        <v>100</v>
      </c>
      <c r="C73" s="4" t="s">
        <v>0</v>
      </c>
      <c r="D73" s="5" t="s">
        <v>2</v>
      </c>
      <c r="E73" s="5" t="s">
        <v>4</v>
      </c>
      <c r="F73" s="4" t="s">
        <v>5</v>
      </c>
      <c r="G73" s="6" t="s">
        <v>7</v>
      </c>
    </row>
    <row r="74" spans="1:7" x14ac:dyDescent="0.25">
      <c r="A74" s="7">
        <f>-C74*27.2114-4.66</f>
        <v>-0.44365049624880015</v>
      </c>
      <c r="B74" s="7">
        <f>A74-0.0592*$B$17</f>
        <v>-0.44365049624880015</v>
      </c>
      <c r="C74" s="1">
        <v>-0.154947908</v>
      </c>
      <c r="D74" s="9">
        <v>685</v>
      </c>
      <c r="E74" s="8">
        <v>-5314.5438660571299</v>
      </c>
      <c r="F74" s="7">
        <f>(E74-(D74-$B$71)*C74)*27.2114</f>
        <v>-144616.178956827</v>
      </c>
      <c r="G74" s="42"/>
    </row>
    <row r="75" spans="1:7" x14ac:dyDescent="0.25">
      <c r="A75" s="2">
        <v>0.8</v>
      </c>
      <c r="B75" s="7">
        <f>A75-0.0592*$B$17</f>
        <v>0.8</v>
      </c>
      <c r="C75" s="3">
        <f>-(A75+4.66)/27.2114</f>
        <v>-0.20065119765980433</v>
      </c>
      <c r="D75" s="9">
        <v>683.59897999999998</v>
      </c>
      <c r="E75" s="8">
        <v>-5314.2939547227397</v>
      </c>
      <c r="F75" s="7">
        <f t="shared" ref="F75:F77" si="12">(E75-(D75-$B$71)*C75)*27.2114</f>
        <v>-144617.02808874237</v>
      </c>
      <c r="G75" s="8">
        <f>(F75)-(F22+$D$10/2-1*A75)+$D$71-0.0592*$B$17</f>
        <v>1.0213847661872859</v>
      </c>
    </row>
    <row r="76" spans="1:7" x14ac:dyDescent="0.25">
      <c r="A76" s="1">
        <v>0.4</v>
      </c>
      <c r="B76" s="7">
        <f t="shared" ref="B76:B77" si="13">A76-0.0592*$B$17</f>
        <v>0.4</v>
      </c>
      <c r="C76" s="3">
        <f>-(A76+4.66)/27.2114</f>
        <v>-0.18595147621952565</v>
      </c>
      <c r="D76" s="9">
        <v>684.07248700000002</v>
      </c>
      <c r="E76" s="8">
        <v>-5314.3855308089796</v>
      </c>
      <c r="F76" s="7">
        <f t="shared" si="12"/>
        <v>-144616.56364883546</v>
      </c>
      <c r="G76" s="8">
        <f t="shared" ref="G76:G77" si="14">(F76)-(F23+$D$10/2-1*A76)+$D$71-0.0592*$B$17</f>
        <v>0.60273807252105327</v>
      </c>
    </row>
    <row r="77" spans="1:7" x14ac:dyDescent="0.25">
      <c r="A77" s="2">
        <v>0</v>
      </c>
      <c r="B77" s="7">
        <f t="shared" si="13"/>
        <v>0</v>
      </c>
      <c r="C77" s="3">
        <f>-(A77+4.66)/27.2114</f>
        <v>-0.17125175477924692</v>
      </c>
      <c r="D77" s="9">
        <v>684.52636500000006</v>
      </c>
      <c r="E77" s="8">
        <v>-5314.4665933032202</v>
      </c>
      <c r="F77" s="7">
        <f t="shared" si="12"/>
        <v>-144616.28339611125</v>
      </c>
      <c r="G77" s="8">
        <f t="shared" si="14"/>
        <v>0.19327935772179625</v>
      </c>
    </row>
    <row r="80" spans="1:7" x14ac:dyDescent="0.25">
      <c r="A80" s="2" t="s">
        <v>3</v>
      </c>
      <c r="B80" s="2">
        <v>691</v>
      </c>
      <c r="C80" s="5" t="s">
        <v>96</v>
      </c>
      <c r="D80" s="2">
        <v>-6.5000000000000002E-2</v>
      </c>
      <c r="E80" s="5" t="s">
        <v>186</v>
      </c>
      <c r="F80" s="2">
        <v>1.36</v>
      </c>
    </row>
    <row r="81" spans="1:7" x14ac:dyDescent="0.25">
      <c r="A81" s="73" t="s">
        <v>313</v>
      </c>
      <c r="B81" s="74"/>
      <c r="C81" s="74"/>
      <c r="D81" s="74"/>
      <c r="E81" s="74"/>
      <c r="F81" s="75"/>
      <c r="G81" s="2" t="s">
        <v>31</v>
      </c>
    </row>
    <row r="82" spans="1:7" x14ac:dyDescent="0.25">
      <c r="A82" s="4" t="s">
        <v>1</v>
      </c>
      <c r="B82" s="4" t="s">
        <v>100</v>
      </c>
      <c r="C82" s="4" t="s">
        <v>0</v>
      </c>
      <c r="D82" s="5" t="s">
        <v>2</v>
      </c>
      <c r="E82" s="5" t="s">
        <v>4</v>
      </c>
      <c r="F82" s="4" t="s">
        <v>5</v>
      </c>
      <c r="G82" s="6" t="s">
        <v>7</v>
      </c>
    </row>
    <row r="83" spans="1:7" x14ac:dyDescent="0.25">
      <c r="A83" s="7">
        <f>-C83*27.2114-4.66</f>
        <v>-0.2638086665420003</v>
      </c>
      <c r="B83" s="7">
        <f>A83-0.0592*$B$17</f>
        <v>-0.2638086665420003</v>
      </c>
      <c r="C83" s="1">
        <v>-0.16155696999999999</v>
      </c>
      <c r="D83" s="9">
        <v>691</v>
      </c>
      <c r="E83" s="8">
        <v>-5329.0493219726704</v>
      </c>
      <c r="F83" s="7">
        <f>(E83-(D83-$B$80)*C83)*27.2114</f>
        <v>-145010.89271992713</v>
      </c>
      <c r="G83" s="42"/>
    </row>
    <row r="84" spans="1:7" x14ac:dyDescent="0.25">
      <c r="A84" s="2">
        <v>0.8</v>
      </c>
      <c r="B84" s="7">
        <f>A84-0.0592*$B$17</f>
        <v>0.8</v>
      </c>
      <c r="C84" s="3">
        <f>-(A84+4.66)/27.2114</f>
        <v>-0.20065119765980433</v>
      </c>
      <c r="D84" s="9">
        <v>689.76681099999996</v>
      </c>
      <c r="E84" s="8">
        <v>-5328.82579827674</v>
      </c>
      <c r="F84" s="7">
        <f t="shared" ref="F84:F86" si="15">(E84-(D84-$B$80)*C84)*27.2114</f>
        <v>-145011.5435391677</v>
      </c>
      <c r="G84" s="8">
        <f>(F84+1*($F$80-A84)) - (F22+$J$10/2) + $D$80</f>
        <v>-0.77749524375889445</v>
      </c>
    </row>
    <row r="85" spans="1:7" x14ac:dyDescent="0.25">
      <c r="A85" s="1">
        <v>0.4</v>
      </c>
      <c r="B85" s="7">
        <f t="shared" ref="B85:B86" si="16">A85-0.0592*$B$17</f>
        <v>0.4</v>
      </c>
      <c r="C85" s="3">
        <f>-(A85+4.66)/27.2114</f>
        <v>-0.18595147621952565</v>
      </c>
      <c r="D85" s="9">
        <v>690.24237000000005</v>
      </c>
      <c r="E85" s="8">
        <v>-5328.9177464352197</v>
      </c>
      <c r="F85" s="7">
        <f t="shared" si="15"/>
        <v>-145011.14597314736</v>
      </c>
      <c r="G85" s="8">
        <f t="shared" ref="G85:G86" si="17">(F85+1*($F$80-A85)) - (F23+$J$10/2) + $D$80</f>
        <v>-0.46301582400104963</v>
      </c>
    </row>
    <row r="86" spans="1:7" x14ac:dyDescent="0.25">
      <c r="A86" s="2">
        <v>0</v>
      </c>
      <c r="B86" s="7">
        <f t="shared" si="16"/>
        <v>0</v>
      </c>
      <c r="C86" s="3">
        <f>-(A86+4.66)/27.2114</f>
        <v>-0.17125175477924692</v>
      </c>
      <c r="D86" s="9">
        <v>690.69877199999996</v>
      </c>
      <c r="E86" s="8">
        <v>-5328.9992123971397</v>
      </c>
      <c r="F86" s="7">
        <f t="shared" si="15"/>
        <v>-145010.93289070352</v>
      </c>
      <c r="G86" s="8">
        <f t="shared" si="17"/>
        <v>-0.13964481919305399</v>
      </c>
    </row>
    <row r="89" spans="1:7" x14ac:dyDescent="0.25">
      <c r="A89" s="2" t="s">
        <v>3</v>
      </c>
      <c r="B89" s="2">
        <v>714</v>
      </c>
      <c r="C89" s="5" t="s">
        <v>96</v>
      </c>
      <c r="D89" s="2">
        <v>0.25</v>
      </c>
      <c r="E89" s="5" t="s">
        <v>186</v>
      </c>
      <c r="F89" s="2">
        <v>9.9000000000000005E-2</v>
      </c>
    </row>
    <row r="90" spans="1:7" x14ac:dyDescent="0.25">
      <c r="A90" s="73" t="s">
        <v>314</v>
      </c>
      <c r="B90" s="74"/>
      <c r="C90" s="74"/>
      <c r="D90" s="74"/>
      <c r="E90" s="74"/>
      <c r="F90" s="75"/>
      <c r="G90" s="2" t="s">
        <v>31</v>
      </c>
    </row>
    <row r="91" spans="1:7" x14ac:dyDescent="0.25">
      <c r="A91" s="4" t="s">
        <v>1</v>
      </c>
      <c r="B91" s="4" t="s">
        <v>100</v>
      </c>
      <c r="C91" s="4" t="s">
        <v>0</v>
      </c>
      <c r="D91" s="5" t="s">
        <v>2</v>
      </c>
      <c r="E91" s="5" t="s">
        <v>4</v>
      </c>
      <c r="F91" s="4" t="s">
        <v>5</v>
      </c>
      <c r="G91" s="6" t="s">
        <v>7</v>
      </c>
    </row>
    <row r="92" spans="1:7" x14ac:dyDescent="0.25">
      <c r="A92" s="7">
        <f>-C92*27.2114-4.66</f>
        <v>0.43715980023219991</v>
      </c>
      <c r="B92" s="7">
        <f>A92-0.0592*$B$17</f>
        <v>0.43715980023219991</v>
      </c>
      <c r="C92" s="1">
        <v>-0.187317073</v>
      </c>
      <c r="D92" s="9">
        <v>714</v>
      </c>
      <c r="E92" s="8">
        <v>-5388.5789500607398</v>
      </c>
      <c r="F92" s="7">
        <f>(E92-(D92-$B$89)*C92)*27.2114</f>
        <v>-146630.77724168281</v>
      </c>
      <c r="G92" s="42"/>
    </row>
    <row r="93" spans="1:7" x14ac:dyDescent="0.25">
      <c r="A93" s="2">
        <v>0.8</v>
      </c>
      <c r="B93" s="7">
        <f>A93-0.0592*$B$17</f>
        <v>0.8</v>
      </c>
      <c r="C93" s="3">
        <f>-(A93+4.66)/27.2114</f>
        <v>-0.20065119765980433</v>
      </c>
      <c r="D93" s="9">
        <v>713.56571399999996</v>
      </c>
      <c r="E93" s="8">
        <v>-5388.4946991977504</v>
      </c>
      <c r="F93" s="7">
        <f t="shared" ref="F93:F95" si="18">(E93-(D93-$B$89)*C93)*27.2114</f>
        <v>-146630.85585930967</v>
      </c>
      <c r="G93" s="8">
        <f>(F93+2*$D$10-2*(A93+$F$89))-(F22 + $J$11+'Exp. thermo'!$C$64/96.49 + 2*$D$12-2*'Exp. thermo'!$G$6/96.49+2*'Exp. thermo'!$B$71/96.49)+$D$89-0.0592*$B$130-'Exp. thermo'!$C$41/96.49</f>
        <v>-0.40362412421951033</v>
      </c>
    </row>
    <row r="94" spans="1:7" x14ac:dyDescent="0.25">
      <c r="A94" s="1">
        <v>0.4</v>
      </c>
      <c r="B94" s="7">
        <f t="shared" ref="B94:B95" si="19">A94-0.0592*$B$17</f>
        <v>0.4</v>
      </c>
      <c r="C94" s="3">
        <f>-(A94+4.66)/27.2114</f>
        <v>-0.18595147621952565</v>
      </c>
      <c r="D94" s="9">
        <v>714.04073800000003</v>
      </c>
      <c r="E94" s="8">
        <v>-5388.5865546546402</v>
      </c>
      <c r="F94" s="7">
        <f t="shared" si="18"/>
        <v>-146630.7780390493</v>
      </c>
      <c r="G94" s="8">
        <f>(F94+2*$D$10-2*(A94+$F$89))-(F23 + $J$11+'Exp. thermo'!$C$64/96.49 + 2*$D$12-2*'Exp. thermo'!$G$6/96.49+2*'Exp. thermo'!$B$71/96.49)+$D$89-0.0592*$B$130-'Exp. thermo'!$C$41/96.49</f>
        <v>-8.8904644128490473E-3</v>
      </c>
    </row>
    <row r="95" spans="1:7" x14ac:dyDescent="0.25">
      <c r="A95" s="2">
        <v>0</v>
      </c>
      <c r="B95" s="7">
        <f t="shared" si="19"/>
        <v>0</v>
      </c>
      <c r="C95" s="3">
        <f>-(A95+4.66)/27.2114</f>
        <v>-0.17125175477924692</v>
      </c>
      <c r="D95" s="9">
        <v>714.53481599999998</v>
      </c>
      <c r="E95" s="8">
        <v>-5388.6749509762203</v>
      </c>
      <c r="F95" s="7">
        <f t="shared" si="18"/>
        <v>-146630.89731843432</v>
      </c>
      <c r="G95" s="8">
        <f>(F95+2*$D$10-2*(A95+$F$89))-(F24 + $J$11+'Exp. thermo'!$C$64/96.49 + 2*$D$12-2*'Exp. thermo'!$G$6/96.49+2*'Exp. thermo'!$B$71/96.49)+$D$89-0.0592*$B$130-'Exp. thermo'!$C$41/96.49</f>
        <v>0.3821187115333885</v>
      </c>
    </row>
    <row r="98" spans="1:7" x14ac:dyDescent="0.25">
      <c r="A98" s="2" t="s">
        <v>3</v>
      </c>
      <c r="B98" s="2">
        <v>713</v>
      </c>
      <c r="C98" s="5" t="s">
        <v>96</v>
      </c>
      <c r="D98" s="2">
        <v>0.23499999999999999</v>
      </c>
      <c r="E98" s="5" t="s">
        <v>186</v>
      </c>
      <c r="F98" s="2">
        <v>-0.26900000000000002</v>
      </c>
    </row>
    <row r="99" spans="1:7" x14ac:dyDescent="0.25">
      <c r="A99" s="73" t="s">
        <v>315</v>
      </c>
      <c r="B99" s="74"/>
      <c r="C99" s="74"/>
      <c r="D99" s="74"/>
      <c r="E99" s="74"/>
      <c r="F99" s="75"/>
      <c r="G99" s="2" t="s">
        <v>31</v>
      </c>
    </row>
    <row r="100" spans="1:7" x14ac:dyDescent="0.25">
      <c r="A100" s="4" t="s">
        <v>1</v>
      </c>
      <c r="B100" s="4" t="s">
        <v>100</v>
      </c>
      <c r="C100" s="4" t="s">
        <v>0</v>
      </c>
      <c r="D100" s="5" t="s">
        <v>2</v>
      </c>
      <c r="E100" s="5" t="s">
        <v>4</v>
      </c>
      <c r="F100" s="4" t="s">
        <v>5</v>
      </c>
      <c r="G100" s="6" t="s">
        <v>7</v>
      </c>
    </row>
    <row r="101" spans="1:7" x14ac:dyDescent="0.25">
      <c r="A101" s="7">
        <f>-C101*27.2114-4.66</f>
        <v>0.74220909101080057</v>
      </c>
      <c r="B101" s="7">
        <f>A101-0.0592*$B$17</f>
        <v>0.74220909101080057</v>
      </c>
      <c r="C101" s="1">
        <v>-0.19852742200000001</v>
      </c>
      <c r="D101" s="9">
        <v>713</v>
      </c>
      <c r="E101" s="8">
        <v>-5385.0146949794398</v>
      </c>
      <c r="F101" s="7">
        <f>(E101-(D101-$B$98)*C101)*27.2114</f>
        <v>-146533.78887096353</v>
      </c>
      <c r="G101" s="42"/>
    </row>
    <row r="102" spans="1:7" x14ac:dyDescent="0.25">
      <c r="A102" s="2">
        <v>0.8</v>
      </c>
      <c r="B102" s="7">
        <f>A102-0.0592*$B$17</f>
        <v>0.8</v>
      </c>
      <c r="C102" s="3">
        <f>-(A102+4.66)/27.2114</f>
        <v>-0.20065119765980433</v>
      </c>
      <c r="D102" s="9">
        <v>712.92793800000004</v>
      </c>
      <c r="E102" s="8">
        <v>-5385.0003149096601</v>
      </c>
      <c r="F102" s="7">
        <f t="shared" ref="F102:F104" si="20">(E102-(D102-$B$98)*C102)*27.2114</f>
        <v>-146533.79102765274</v>
      </c>
      <c r="G102" s="8">
        <f>(F102+11/2*$D$10-3*A102-8*$F$98)-(F22 + $J$12 + 4*$D$12-4*'Exp. thermo'!$G$6/96.49+4*'Exp. thermo'!$B$71/96.49)+$D$98-0.0592*$B$17 + $E$3</f>
        <v>-0.68691943887299767</v>
      </c>
    </row>
    <row r="103" spans="1:7" x14ac:dyDescent="0.25">
      <c r="A103" s="1">
        <v>0.4</v>
      </c>
      <c r="B103" s="7">
        <f t="shared" ref="B103:B104" si="21">A103-0.0592*$B$17</f>
        <v>0.4</v>
      </c>
      <c r="C103" s="3">
        <f>-(A103+4.66)/27.2114</f>
        <v>-0.18595147621952565</v>
      </c>
      <c r="D103" s="9">
        <v>713.45021799999995</v>
      </c>
      <c r="E103" s="8">
        <v>-5385.10125116987</v>
      </c>
      <c r="F103" s="7">
        <f t="shared" si="20"/>
        <v>-146533.86608300381</v>
      </c>
      <c r="G103" s="8">
        <f>(F103+11/2*$D$10-3*A103-8*$F$98)-(F23 + $J$12 + 4*$D$12-4*'Exp. thermo'!$G$6/96.49+4*'Exp. thermo'!$B$71/96.49)+$D$98-0.0592*$B$17 + $E$3</f>
        <v>-4.5061390543402302E-2</v>
      </c>
    </row>
    <row r="104" spans="1:7" x14ac:dyDescent="0.25">
      <c r="A104" s="2">
        <v>0</v>
      </c>
      <c r="B104" s="7">
        <f t="shared" si="21"/>
        <v>0</v>
      </c>
      <c r="C104" s="3">
        <f>-(A104+4.66)/27.2114</f>
        <v>-0.17125175477924692</v>
      </c>
      <c r="D104" s="9">
        <v>714.00983099999996</v>
      </c>
      <c r="E104" s="8">
        <v>-5385.2013152541604</v>
      </c>
      <c r="F104" s="7">
        <f t="shared" si="20"/>
        <v>-146534.16125744706</v>
      </c>
      <c r="G104" s="8">
        <f>(F104+11/2*$D$10-3*A104-8*$F$98)-(F24 + $J$12 + 4*$D$12-4*'Exp. thermo'!$G$6/96.49+4*'Exp. thermo'!$B$71/96.49)+$D$98-0.0592*$B$17 + $E$3</f>
        <v>0.57005272719631983</v>
      </c>
    </row>
    <row r="107" spans="1:7" x14ac:dyDescent="0.25">
      <c r="A107" s="2" t="s">
        <v>3</v>
      </c>
      <c r="B107" s="2">
        <v>707</v>
      </c>
      <c r="C107" s="5" t="s">
        <v>96</v>
      </c>
      <c r="D107" s="2">
        <v>1.097</v>
      </c>
    </row>
    <row r="108" spans="1:7" x14ac:dyDescent="0.25">
      <c r="A108" s="73" t="s">
        <v>316</v>
      </c>
      <c r="B108" s="74"/>
      <c r="C108" s="74"/>
      <c r="D108" s="74"/>
      <c r="E108" s="74"/>
      <c r="F108" s="75"/>
      <c r="G108" s="2" t="s">
        <v>31</v>
      </c>
    </row>
    <row r="109" spans="1:7" x14ac:dyDescent="0.25">
      <c r="A109" s="4" t="s">
        <v>1</v>
      </c>
      <c r="B109" s="4" t="s">
        <v>100</v>
      </c>
      <c r="C109" s="4" t="s">
        <v>0</v>
      </c>
      <c r="D109" s="5" t="s">
        <v>2</v>
      </c>
      <c r="E109" s="5" t="s">
        <v>4</v>
      </c>
      <c r="F109" s="4" t="s">
        <v>5</v>
      </c>
      <c r="G109" s="6" t="s">
        <v>7</v>
      </c>
    </row>
    <row r="110" spans="1:7" x14ac:dyDescent="0.25">
      <c r="A110" s="7">
        <f>-C110*27.2114-4.66</f>
        <v>-0.30897180808160041</v>
      </c>
      <c r="B110" s="7">
        <f>A110-0.0592*$B$17</f>
        <v>-0.30897180808160041</v>
      </c>
      <c r="C110" s="1">
        <v>-0.15989725599999999</v>
      </c>
      <c r="D110" s="9">
        <v>707</v>
      </c>
      <c r="E110" s="8">
        <v>-5359.3479194622796</v>
      </c>
      <c r="F110" s="7">
        <f>(E110-(D110-$B$107)*C110)*27.2114</f>
        <v>-145835.35997565588</v>
      </c>
      <c r="G110" s="42"/>
    </row>
    <row r="111" spans="1:7" x14ac:dyDescent="0.25">
      <c r="A111" s="2">
        <v>0.8</v>
      </c>
      <c r="B111" s="7">
        <f>A111-0.0592*$B$17</f>
        <v>0.8</v>
      </c>
      <c r="C111" s="3">
        <f>-(A111+4.66)/27.2114</f>
        <v>-0.20065119765980433</v>
      </c>
      <c r="D111" s="9">
        <v>705.76793699999996</v>
      </c>
      <c r="E111" s="8">
        <v>-5359.1254538994199</v>
      </c>
      <c r="F111" s="7">
        <f t="shared" ref="F111:F113" si="22">(E111-(D111-$B$107)*C111)*27.2114</f>
        <v>-145836.03344021869</v>
      </c>
      <c r="G111" s="8">
        <f>(F111+$D$10/2-1*A111)-(F22+$J$13)+$E$4+$D$107-0.0592*$B$17</f>
        <v>-0.71971329715498644</v>
      </c>
    </row>
    <row r="112" spans="1:7" x14ac:dyDescent="0.25">
      <c r="A112" s="1">
        <v>0.4</v>
      </c>
      <c r="B112" s="7">
        <f t="shared" ref="B112:B113" si="23">A112-0.0592*$B$17</f>
        <v>0.4</v>
      </c>
      <c r="C112" s="3">
        <f>-(A112+4.66)/27.2114</f>
        <v>-0.18595147621952565</v>
      </c>
      <c r="D112" s="9">
        <v>706.23274600000002</v>
      </c>
      <c r="E112" s="8">
        <v>-5359.2151752605296</v>
      </c>
      <c r="F112" s="7">
        <f t="shared" si="22"/>
        <v>-145835.63012532439</v>
      </c>
      <c r="G112" s="8">
        <f t="shared" ref="G112:G113" si="24">(F112+$D$10/2-1*A112)-(F23+$J$13)+$E$4+$D$107-0.0592*$B$17</f>
        <v>-0.39948500344226989</v>
      </c>
    </row>
    <row r="113" spans="1:7" x14ac:dyDescent="0.25">
      <c r="A113" s="2">
        <v>0</v>
      </c>
      <c r="B113" s="7">
        <f t="shared" si="23"/>
        <v>0</v>
      </c>
      <c r="C113" s="3">
        <f>-(A113+4.66)/27.2114</f>
        <v>-0.17125175477924692</v>
      </c>
      <c r="D113" s="9">
        <v>706.676695</v>
      </c>
      <c r="E113" s="8">
        <v>-5359.2943860535497</v>
      </c>
      <c r="F113" s="7">
        <f t="shared" si="22"/>
        <v>-145835.40985795757</v>
      </c>
      <c r="G113" s="8">
        <f t="shared" si="24"/>
        <v>-6.8929075648076044E-2</v>
      </c>
    </row>
    <row r="116" spans="1:7" x14ac:dyDescent="0.25">
      <c r="A116" s="2" t="s">
        <v>3</v>
      </c>
      <c r="B116" s="2">
        <v>725</v>
      </c>
      <c r="C116" s="5" t="s">
        <v>96</v>
      </c>
      <c r="D116" s="2">
        <v>0.245</v>
      </c>
    </row>
    <row r="117" spans="1:7" x14ac:dyDescent="0.25">
      <c r="A117" s="73" t="s">
        <v>372</v>
      </c>
      <c r="B117" s="74"/>
      <c r="C117" s="74"/>
      <c r="D117" s="74"/>
      <c r="E117" s="74"/>
      <c r="F117" s="75"/>
      <c r="G117" s="2" t="s">
        <v>31</v>
      </c>
    </row>
    <row r="118" spans="1:7" x14ac:dyDescent="0.25">
      <c r="A118" s="4" t="s">
        <v>1</v>
      </c>
      <c r="B118" s="4" t="s">
        <v>100</v>
      </c>
      <c r="C118" s="4" t="s">
        <v>0</v>
      </c>
      <c r="D118" s="5" t="s">
        <v>2</v>
      </c>
      <c r="E118" s="5" t="s">
        <v>4</v>
      </c>
      <c r="F118" s="4" t="s">
        <v>5</v>
      </c>
      <c r="G118" s="6" t="s">
        <v>7</v>
      </c>
    </row>
    <row r="119" spans="1:7" x14ac:dyDescent="0.25">
      <c r="A119" s="7">
        <f>-C119*27.2114-4.66</f>
        <v>-0.13916649509380008</v>
      </c>
      <c r="B119" s="7">
        <f>A119-0.0592*$B$17</f>
        <v>-0.13916649509380008</v>
      </c>
      <c r="C119" s="1">
        <v>-0.166137483</v>
      </c>
      <c r="D119" s="9">
        <v>725</v>
      </c>
      <c r="E119" s="8">
        <v>-5402.6539633795201</v>
      </c>
      <c r="F119" s="7">
        <f>(E119-(D119-$B$116)*C119)*27.2114</f>
        <v>-147013.77805910548</v>
      </c>
      <c r="G119" s="42"/>
    </row>
    <row r="120" spans="1:7" x14ac:dyDescent="0.25">
      <c r="A120" s="2">
        <v>0.8</v>
      </c>
      <c r="B120" s="7">
        <f>A120-0.0592*$B$17</f>
        <v>0.8</v>
      </c>
      <c r="C120" s="3">
        <f>-(A120+4.66)/27.2114</f>
        <v>-0.20065119765980433</v>
      </c>
      <c r="D120" s="9">
        <v>724.033185</v>
      </c>
      <c r="E120" s="8">
        <v>-5402.4762870862096</v>
      </c>
      <c r="F120" s="7">
        <f t="shared" ref="F120:F122" si="25">(E120-(D120-$B$116)*C120)*27.2114</f>
        <v>-147014.22204831769</v>
      </c>
      <c r="G120" s="8">
        <f>(F120+$D$10/2-1*A120)-(F22+$J$14)+$E$5+$D$116-0.0592*$B$17</f>
        <v>-0.31383460567394461</v>
      </c>
    </row>
    <row r="121" spans="1:7" x14ac:dyDescent="0.25">
      <c r="A121" s="1">
        <v>0.4</v>
      </c>
      <c r="B121" s="7">
        <f t="shared" ref="B121:B122" si="26">A121-0.0592*$B$17</f>
        <v>0.4</v>
      </c>
      <c r="C121" s="3">
        <f>-(A121+4.66)/27.2114</f>
        <v>-0.18595147621952565</v>
      </c>
      <c r="D121" s="9">
        <v>724.46382400000005</v>
      </c>
      <c r="E121" s="8">
        <v>-5402.5595200231101</v>
      </c>
      <c r="F121" s="7">
        <f t="shared" si="25"/>
        <v>-147013.92117371687</v>
      </c>
      <c r="G121" s="8">
        <f t="shared" ref="G121:G122" si="27">(F121+$D$10/2-1*A121)-(F23+$J$14)+$E$5+$D$116-0.0592*$B$17</f>
        <v>-9.6046605432091259E-2</v>
      </c>
    </row>
    <row r="122" spans="1:7" x14ac:dyDescent="0.25">
      <c r="A122" s="2">
        <v>0</v>
      </c>
      <c r="B122" s="7">
        <f t="shared" si="26"/>
        <v>0</v>
      </c>
      <c r="C122" s="3">
        <f>-(A122+4.66)/27.2114</f>
        <v>-0.17125175477924692</v>
      </c>
      <c r="D122" s="9">
        <v>724.86990200000002</v>
      </c>
      <c r="E122" s="8">
        <v>-5402.6320167038002</v>
      </c>
      <c r="F122" s="7">
        <f t="shared" si="25"/>
        <v>-147013.78711601379</v>
      </c>
      <c r="G122" s="8">
        <f t="shared" si="27"/>
        <v>0.14829965861918221</v>
      </c>
    </row>
  </sheetData>
  <mergeCells count="14">
    <mergeCell ref="A54:F54"/>
    <mergeCell ref="B7:E7"/>
    <mergeCell ref="C15:D15"/>
    <mergeCell ref="A19:F19"/>
    <mergeCell ref="A27:F27"/>
    <mergeCell ref="A36:F36"/>
    <mergeCell ref="A45:F45"/>
    <mergeCell ref="A117:F117"/>
    <mergeCell ref="A108:F108"/>
    <mergeCell ref="A63:F63"/>
    <mergeCell ref="A72:F72"/>
    <mergeCell ref="A81:F81"/>
    <mergeCell ref="A90:F90"/>
    <mergeCell ref="A99:F99"/>
  </mergeCells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9419-5B60-4442-9EF6-0D9D2C01E95D}">
  <sheetPr>
    <tabColor theme="8" tint="0.79998168889431442"/>
  </sheetPr>
  <dimension ref="A1:J122"/>
  <sheetViews>
    <sheetView showGridLines="0" topLeftCell="A70" zoomScale="85" zoomScaleNormal="85" workbookViewId="0">
      <selection activeCell="F80" sqref="F80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</cols>
  <sheetData>
    <row r="1" spans="1:10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17">
        <v>0.14012681900000001</v>
      </c>
    </row>
    <row r="2" spans="1:10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10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10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10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6" spans="1:10" x14ac:dyDescent="0.25">
      <c r="A6" s="44"/>
      <c r="B6" s="45"/>
    </row>
    <row r="7" spans="1:10" ht="18.75" x14ac:dyDescent="0.3">
      <c r="A7" s="44"/>
      <c r="B7" s="76" t="s">
        <v>134</v>
      </c>
      <c r="C7" s="76"/>
      <c r="D7" s="76"/>
      <c r="E7" s="76"/>
    </row>
    <row r="8" spans="1:10" x14ac:dyDescent="0.25">
      <c r="A8" s="25" t="s">
        <v>73</v>
      </c>
    </row>
    <row r="9" spans="1:10" x14ac:dyDescent="0.25">
      <c r="B9" s="5" t="s">
        <v>4</v>
      </c>
      <c r="C9" s="5" t="s">
        <v>96</v>
      </c>
      <c r="D9" s="5" t="s">
        <v>11</v>
      </c>
      <c r="H9" s="5" t="s">
        <v>4</v>
      </c>
      <c r="I9" s="5" t="s">
        <v>96</v>
      </c>
      <c r="J9" s="5" t="s">
        <v>11</v>
      </c>
    </row>
    <row r="10" spans="1:10" x14ac:dyDescent="0.25">
      <c r="A10" s="5" t="s">
        <v>10</v>
      </c>
      <c r="B10" s="10">
        <v>-1.1651204227085801</v>
      </c>
      <c r="C10" s="8">
        <v>-4.2000000000000003E-2</v>
      </c>
      <c r="D10" s="2">
        <f>B10*27.2114+C10</f>
        <v>-31.746557870492257</v>
      </c>
      <c r="G10" s="5" t="s">
        <v>191</v>
      </c>
      <c r="H10" s="10">
        <v>-30.0430223619964</v>
      </c>
      <c r="I10" s="8">
        <v>-0.56100000000000005</v>
      </c>
      <c r="J10" s="2">
        <f>H10*27.2114+I10</f>
        <v>-818.07369870122886</v>
      </c>
    </row>
    <row r="11" spans="1:10" x14ac:dyDescent="0.25">
      <c r="A11" s="5" t="s">
        <v>29</v>
      </c>
      <c r="B11" s="10">
        <v>-37.8808477704033</v>
      </c>
      <c r="C11" s="8">
        <v>-0.251</v>
      </c>
      <c r="D11" s="2">
        <f>B11*27.2114+C11+'Exp. thermo'!$G$5/96.49</f>
        <v>-1030.9598193813147</v>
      </c>
      <c r="G11" s="5" t="s">
        <v>200</v>
      </c>
      <c r="H11" s="10">
        <v>-42.413044169722198</v>
      </c>
      <c r="I11" s="8">
        <v>-0.496</v>
      </c>
      <c r="J11" s="2">
        <f>H11*27.2114+I11 +'Exp. thermo'!$G$5/96.49</f>
        <v>-1154.5322284817412</v>
      </c>
    </row>
    <row r="12" spans="1:10" x14ac:dyDescent="0.25">
      <c r="A12" s="5" t="s">
        <v>30</v>
      </c>
      <c r="B12" s="10">
        <v>-17.268355960477901</v>
      </c>
      <c r="C12" s="8">
        <v>9.2999999999999999E-2</v>
      </c>
      <c r="D12" s="2">
        <f>B12*27.2114+C12+'Exp. thermo'!$G$5/96.49</f>
        <v>-469.72105974471066</v>
      </c>
      <c r="G12" s="5" t="s">
        <v>253</v>
      </c>
      <c r="H12" s="10">
        <v>-8.3935110948132401</v>
      </c>
      <c r="I12" s="8">
        <v>5.6000000000000001E-2</v>
      </c>
      <c r="J12" s="2">
        <f>H12*27.2114+I12 +'Exp. thermo'!$G$5/96.49</f>
        <v>-228.26110616716332</v>
      </c>
    </row>
    <row r="13" spans="1:10" x14ac:dyDescent="0.25">
      <c r="A13" s="5" t="s">
        <v>9</v>
      </c>
      <c r="B13" s="10">
        <v>-58.677193166200901</v>
      </c>
      <c r="C13" s="8">
        <v>-1.0999999999999999E-2</v>
      </c>
      <c r="D13" s="2">
        <f>B13*27.2114+C13+'Exp. thermo'!$G$5/96.49</f>
        <v>-1596.6174924845216</v>
      </c>
      <c r="G13" s="5" t="s">
        <v>48</v>
      </c>
      <c r="H13" s="10">
        <v>-45.958970677356099</v>
      </c>
      <c r="I13" s="8">
        <v>0.88400000000000001</v>
      </c>
      <c r="J13" s="2">
        <f>H13*27.2114+I13+'Exp. thermo'!$G$5/96.49</f>
        <v>-1249.64185305157</v>
      </c>
    </row>
    <row r="14" spans="1:10" x14ac:dyDescent="0.25">
      <c r="A14" s="5" t="s">
        <v>49</v>
      </c>
      <c r="B14" s="10">
        <v>-42.632854517177599</v>
      </c>
      <c r="C14" s="8">
        <v>-0.126</v>
      </c>
      <c r="D14" s="2">
        <f>B14*27.2114+C14+'Exp. thermo'!$G$5/96.49</f>
        <v>-1160.1435757704887</v>
      </c>
      <c r="G14" s="5" t="s">
        <v>231</v>
      </c>
      <c r="H14" s="10">
        <v>-89.257170769677202</v>
      </c>
      <c r="I14" s="8">
        <v>-3.2000000000000001E-2</v>
      </c>
      <c r="J14" s="2">
        <f>H14*27.2114+I14+'Exp. thermo'!$G$5/96.49</f>
        <v>-2428.7624950437571</v>
      </c>
    </row>
    <row r="15" spans="1:10" ht="18.75" x14ac:dyDescent="0.3">
      <c r="C15" s="76"/>
      <c r="D15" s="76"/>
    </row>
    <row r="16" spans="1:10" x14ac:dyDescent="0.25">
      <c r="A16" s="25" t="s">
        <v>77</v>
      </c>
    </row>
    <row r="17" spans="1:7" x14ac:dyDescent="0.25">
      <c r="A17" s="20" t="s">
        <v>12</v>
      </c>
      <c r="B17" s="21">
        <v>0</v>
      </c>
    </row>
    <row r="18" spans="1:7" x14ac:dyDescent="0.25">
      <c r="A18" s="21" t="s">
        <v>3</v>
      </c>
      <c r="B18" s="21">
        <v>540</v>
      </c>
    </row>
    <row r="19" spans="1:7" x14ac:dyDescent="0.25">
      <c r="A19" s="73" t="s">
        <v>156</v>
      </c>
      <c r="B19" s="74"/>
      <c r="C19" s="74"/>
      <c r="D19" s="74"/>
      <c r="E19" s="74"/>
      <c r="F19" s="75"/>
    </row>
    <row r="20" spans="1:7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x14ac:dyDescent="0.25">
      <c r="A21" s="7">
        <f>-C21*27.2114-4.66</f>
        <v>0.54364111053179975</v>
      </c>
      <c r="B21" s="7">
        <f>A21-0.0592*$B$17</f>
        <v>0.54364111053179975</v>
      </c>
      <c r="C21" s="3">
        <v>-0.191230187</v>
      </c>
      <c r="D21" s="9">
        <v>540</v>
      </c>
      <c r="E21" s="8">
        <v>-2753.0259674784302</v>
      </c>
      <c r="F21" s="7">
        <f>(E21-(D21-$B$18)*C21)*27.2114</f>
        <v>-74913.690811442561</v>
      </c>
    </row>
    <row r="22" spans="1:7" x14ac:dyDescent="0.25">
      <c r="A22" s="2">
        <v>0.8</v>
      </c>
      <c r="B22" s="7">
        <f>A22-0.0592*$B$17</f>
        <v>0.8</v>
      </c>
      <c r="C22" s="3">
        <f>-(A22+4.66)/27.2114</f>
        <v>-0.20065119765980433</v>
      </c>
      <c r="D22" s="9">
        <v>539.78172099999995</v>
      </c>
      <c r="E22" s="8">
        <v>-2752.98318875528</v>
      </c>
      <c r="F22" s="7">
        <f>(E22-(D22-$B$18)*C22)*27.2114</f>
        <v>-74913.718545835422</v>
      </c>
    </row>
    <row r="23" spans="1:7" x14ac:dyDescent="0.25">
      <c r="A23" s="1">
        <v>0.4</v>
      </c>
      <c r="B23" s="7">
        <f t="shared" ref="B23:B24" si="0">A23-0.0592*$B$17</f>
        <v>0.4</v>
      </c>
      <c r="C23" s="3">
        <f>-(A23+4.66)/27.2114</f>
        <v>-0.18595147621952565</v>
      </c>
      <c r="D23" s="9">
        <v>540.13444400000003</v>
      </c>
      <c r="E23" s="8">
        <v>-2753.0513059485402</v>
      </c>
      <c r="F23" s="7">
        <f>(E23-(D23-$B$18)*C23)*27.2114</f>
        <v>-74913.700020048112</v>
      </c>
    </row>
    <row r="24" spans="1:7" x14ac:dyDescent="0.25">
      <c r="A24" s="2">
        <v>0</v>
      </c>
      <c r="B24" s="7">
        <f t="shared" si="0"/>
        <v>0</v>
      </c>
      <c r="C24" s="3">
        <f>-(A24+4.66)/27.2114</f>
        <v>-0.17125175477924692</v>
      </c>
      <c r="D24" s="9">
        <v>540.76272300000005</v>
      </c>
      <c r="E24" s="8">
        <v>-2753.1629758863601</v>
      </c>
      <c r="F24" s="7">
        <f>(E24-(D24-$B$18)*C24)*27.2114</f>
        <v>-74913.864712854091</v>
      </c>
    </row>
    <row r="26" spans="1:7" x14ac:dyDescent="0.25">
      <c r="A26" s="5" t="s">
        <v>3</v>
      </c>
      <c r="B26" s="2">
        <v>563</v>
      </c>
      <c r="C26" s="5" t="s">
        <v>96</v>
      </c>
      <c r="D26" s="2">
        <v>0.65700000000000003</v>
      </c>
    </row>
    <row r="27" spans="1:7" x14ac:dyDescent="0.25">
      <c r="A27" s="73" t="s">
        <v>157</v>
      </c>
      <c r="B27" s="74"/>
      <c r="C27" s="74"/>
      <c r="D27" s="74"/>
      <c r="E27" s="74"/>
      <c r="F27" s="75"/>
      <c r="G27" s="2" t="s">
        <v>31</v>
      </c>
    </row>
    <row r="28" spans="1:7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x14ac:dyDescent="0.25">
      <c r="A29" s="7">
        <f>-C29*27.2114-4.66</f>
        <v>0.43929799041000006</v>
      </c>
      <c r="B29" s="7">
        <f>A29-0.0592*$B$17</f>
        <v>0.43929799041000006</v>
      </c>
      <c r="C29" s="1">
        <v>-0.18739565</v>
      </c>
      <c r="D29" s="9">
        <v>563</v>
      </c>
      <c r="E29" s="8">
        <v>-2807.6179456136801</v>
      </c>
      <c r="F29" s="7">
        <f>(E29-(D29-$B$26)*C29)*27.2114</f>
        <v>-76399.214965272098</v>
      </c>
      <c r="G29" s="42"/>
    </row>
    <row r="30" spans="1:7" x14ac:dyDescent="0.25">
      <c r="A30" s="2">
        <v>0.8</v>
      </c>
      <c r="B30" s="7">
        <f>A30-0.0592*$B$17</f>
        <v>0.8</v>
      </c>
      <c r="C30" s="3">
        <f>-(A30+4.66)/27.2114</f>
        <v>-0.20065119765980433</v>
      </c>
      <c r="D30" s="9">
        <v>562.69169799999997</v>
      </c>
      <c r="E30" s="8">
        <v>-2807.55817435174</v>
      </c>
      <c r="F30" s="7">
        <f>(E30-(D30-$B$26)*C30)*27.2114</f>
        <v>-76399.271834474945</v>
      </c>
      <c r="G30" s="8">
        <f>(F30+$D$10/2-1*A22)-(F22+$D$11+$D$12)+$B$2+$D$26-0.0592*$B$17</f>
        <v>-1.1139421403729592</v>
      </c>
    </row>
    <row r="31" spans="1:7" x14ac:dyDescent="0.25">
      <c r="A31" s="1">
        <v>0.4</v>
      </c>
      <c r="B31" s="7">
        <f t="shared" ref="B31:B32" si="1">A31-0.0592*$B$17</f>
        <v>0.4</v>
      </c>
      <c r="C31" s="3">
        <f>-(A31+4.66)/27.2114</f>
        <v>-0.18595147621952565</v>
      </c>
      <c r="D31" s="9">
        <v>563.03877999999997</v>
      </c>
      <c r="E31" s="8">
        <v>-2807.62519017882</v>
      </c>
      <c r="F31" s="7">
        <f>(E31-(D31-$B$26)*C31)*27.2114</f>
        <v>-76399.215873231951</v>
      </c>
      <c r="G31" s="8">
        <f>(F31+$D$10/2-1*A23)-(F23+$D$11+$D$12)+$B$2+$D$26-0.0592*$B$17</f>
        <v>-0.67650668467991082</v>
      </c>
    </row>
    <row r="32" spans="1:7" x14ac:dyDescent="0.25">
      <c r="A32" s="2">
        <v>0</v>
      </c>
      <c r="B32" s="7">
        <f t="shared" si="1"/>
        <v>0</v>
      </c>
      <c r="C32" s="3">
        <f>-(A32+4.66)/27.2114</f>
        <v>-0.17125175477924692</v>
      </c>
      <c r="D32" s="9">
        <v>563.50641499999995</v>
      </c>
      <c r="E32" s="8">
        <v>-2807.7085507644301</v>
      </c>
      <c r="F32" s="7">
        <f>(E32-(D32-$B$26)*C32)*27.2114</f>
        <v>-76399.320564371214</v>
      </c>
      <c r="G32" s="8">
        <f>(F32+$D$10/2-1*A24)-(F24+$D$11+$D$12)+$B$2+$D$26-0.0592*$B$17</f>
        <v>-0.21650501796989741</v>
      </c>
    </row>
    <row r="33" spans="1:7" x14ac:dyDescent="0.25">
      <c r="C33" s="15"/>
    </row>
    <row r="35" spans="1:7" x14ac:dyDescent="0.25">
      <c r="A35" s="2" t="s">
        <v>3</v>
      </c>
      <c r="B35" s="2">
        <v>562</v>
      </c>
      <c r="C35" s="5" t="s">
        <v>96</v>
      </c>
      <c r="D35" s="2">
        <v>0.307</v>
      </c>
    </row>
    <row r="36" spans="1:7" x14ac:dyDescent="0.25">
      <c r="A36" s="73" t="s">
        <v>158</v>
      </c>
      <c r="B36" s="74"/>
      <c r="C36" s="74"/>
      <c r="D36" s="74"/>
      <c r="E36" s="74"/>
      <c r="F36" s="75"/>
      <c r="G36" s="2" t="s">
        <v>31</v>
      </c>
    </row>
    <row r="37" spans="1:7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x14ac:dyDescent="0.25">
      <c r="A38" s="7">
        <f>-C38*27.2114-4.66</f>
        <v>1.1260264050274005</v>
      </c>
      <c r="B38" s="7">
        <f>A38-0.0592*$B$17</f>
        <v>1.1260264050274005</v>
      </c>
      <c r="C38" s="1">
        <v>-0.21263244100000001</v>
      </c>
      <c r="D38" s="9">
        <v>562</v>
      </c>
      <c r="E38" s="8">
        <v>-2806.9885462218099</v>
      </c>
      <c r="F38" s="7">
        <f>(E38-(D38-$B$35)*C38)*27.2114</f>
        <v>-76382.088126660165</v>
      </c>
      <c r="G38" s="42"/>
    </row>
    <row r="39" spans="1:7" x14ac:dyDescent="0.25">
      <c r="A39" s="2">
        <v>0.8</v>
      </c>
      <c r="B39" s="7">
        <f>A39-0.0592*$B$17</f>
        <v>0.8</v>
      </c>
      <c r="C39" s="3">
        <f>-(A39+4.66)/27.2114</f>
        <v>-0.20065119765980433</v>
      </c>
      <c r="D39" s="9">
        <v>562.31586400000003</v>
      </c>
      <c r="E39" s="8">
        <v>-2807.05385372397</v>
      </c>
      <c r="F39" s="7">
        <f>(E39-(D39-$B$35)*C39)*27.2114</f>
        <v>-76382.140617784433</v>
      </c>
      <c r="G39" s="8">
        <f>(F39+$D$10-2*A39)-(F22+$D$12+$D$11)+$B$3+$D$35-0.0592*$B$17</f>
        <v>-1.6149757774351958</v>
      </c>
    </row>
    <row r="40" spans="1:7" x14ac:dyDescent="0.25">
      <c r="A40" s="1">
        <v>0.4</v>
      </c>
      <c r="B40" s="7">
        <f t="shared" ref="B40:B41" si="2">A40-0.0592*$B$17</f>
        <v>0.4</v>
      </c>
      <c r="C40" s="3">
        <f>-(A40+4.66)/27.2114</f>
        <v>-0.18595147621952565</v>
      </c>
      <c r="D40" s="9">
        <v>562.68682200000001</v>
      </c>
      <c r="E40" s="8">
        <v>-2807.1255143088601</v>
      </c>
      <c r="F40" s="7">
        <f t="shared" ref="F40:F41" si="3">(E40-(D40-$B$35)*C40)*27.2114</f>
        <v>-76382.339900744118</v>
      </c>
      <c r="G40" s="8">
        <f>(F40+$D$10-2*A40)-(F23+$D$12+$D$11)+$B$3+$D$35-0.0592*$B$17</f>
        <v>-1.0327845244269913</v>
      </c>
    </row>
    <row r="41" spans="1:7" x14ac:dyDescent="0.25">
      <c r="A41" s="2">
        <v>0</v>
      </c>
      <c r="B41" s="7">
        <f t="shared" si="2"/>
        <v>0</v>
      </c>
      <c r="C41" s="3">
        <f>-(A41+4.66)/27.2114</f>
        <v>-0.17125175477924692</v>
      </c>
      <c r="D41" s="9">
        <v>563.155486</v>
      </c>
      <c r="E41" s="8">
        <v>-2807.2090945764598</v>
      </c>
      <c r="F41" s="7">
        <f t="shared" si="3"/>
        <v>-76382.704991397884</v>
      </c>
      <c r="G41" s="8">
        <f>(F41+$D$10-2*A41)-(F24+$D$12+$D$11)+$B$3+$D$35-0.0592*$B$17</f>
        <v>-0.4331823722119072</v>
      </c>
    </row>
    <row r="44" spans="1:7" x14ac:dyDescent="0.25">
      <c r="A44" s="2" t="s">
        <v>3</v>
      </c>
      <c r="B44" s="2">
        <v>563</v>
      </c>
      <c r="C44" s="5" t="s">
        <v>96</v>
      </c>
      <c r="D44" s="2">
        <v>0.318</v>
      </c>
    </row>
    <row r="45" spans="1:7" x14ac:dyDescent="0.25">
      <c r="A45" s="73" t="s">
        <v>159</v>
      </c>
      <c r="B45" s="74"/>
      <c r="C45" s="74"/>
      <c r="D45" s="74"/>
      <c r="E45" s="74"/>
      <c r="F45" s="75"/>
      <c r="G45" s="2" t="s">
        <v>31</v>
      </c>
    </row>
    <row r="46" spans="1:7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x14ac:dyDescent="0.25">
      <c r="A47" s="7">
        <f>-C47*27.2114-4.66</f>
        <v>0.70551794674720014</v>
      </c>
      <c r="B47" s="7">
        <f>A47-0.0592*$B$17</f>
        <v>0.70551794674720014</v>
      </c>
      <c r="C47" s="1">
        <v>-0.197179048</v>
      </c>
      <c r="D47" s="9">
        <v>563</v>
      </c>
      <c r="E47" s="8">
        <v>-2811.1370518640601</v>
      </c>
      <c r="F47" s="7">
        <f>(E47-(D47-$B$44)*C47)*27.2114</f>
        <v>-76494.974773093694</v>
      </c>
      <c r="G47" s="42"/>
    </row>
    <row r="48" spans="1:7" x14ac:dyDescent="0.25">
      <c r="A48" s="2">
        <v>0.8</v>
      </c>
      <c r="B48" s="7">
        <f>A48-0.0592*$B$17</f>
        <v>0.8</v>
      </c>
      <c r="C48" s="3">
        <f>-(A48+4.66)/27.2114</f>
        <v>-0.20065119765980433</v>
      </c>
      <c r="D48" s="9">
        <v>562.92001200000004</v>
      </c>
      <c r="E48" s="8">
        <v>-2811.1211418851999</v>
      </c>
      <c r="F48" s="7">
        <f t="shared" ref="F48:F50" si="4">(E48-(D48-$B$44)*C48)*27.2114</f>
        <v>-76494.978574774927</v>
      </c>
      <c r="G48" s="8">
        <f>(F48+$D$10/2-1*A48)-(F22+$D$13)+$B$4+$D$44-0.0592*$B$17</f>
        <v>-0.51913753169750954</v>
      </c>
    </row>
    <row r="49" spans="1:7" x14ac:dyDescent="0.25">
      <c r="A49" s="1">
        <v>0.4</v>
      </c>
      <c r="B49" s="7">
        <f t="shared" ref="B49:B50" si="5">A49-0.0592*$B$17</f>
        <v>0.4</v>
      </c>
      <c r="C49" s="3">
        <f>-(A49+4.66)/27.2114</f>
        <v>-0.18595147621952565</v>
      </c>
      <c r="D49" s="9">
        <v>563.26422000000002</v>
      </c>
      <c r="E49" s="8">
        <v>-2811.18764397921</v>
      </c>
      <c r="F49" s="7">
        <f t="shared" si="4"/>
        <v>-76495.01450217588</v>
      </c>
      <c r="G49" s="8">
        <f>(F49+$D$10/2-1*A49)-(F23+$D$13)+$B$4+$D$44-0.0592*$B$17</f>
        <v>-0.17359071995119252</v>
      </c>
    </row>
    <row r="50" spans="1:7" x14ac:dyDescent="0.25">
      <c r="A50" s="2">
        <v>0</v>
      </c>
      <c r="B50" s="7">
        <f t="shared" si="5"/>
        <v>0</v>
      </c>
      <c r="C50" s="3">
        <f>-(A50+4.66)/27.2114</f>
        <v>-0.17125175477924692</v>
      </c>
      <c r="D50" s="9">
        <v>563.70561699999996</v>
      </c>
      <c r="E50" s="8">
        <v>-2811.26633005952</v>
      </c>
      <c r="F50" s="7">
        <f t="shared" si="4"/>
        <v>-76495.204438561632</v>
      </c>
      <c r="G50" s="8">
        <f>(F50+$D$10/2-1*A50)-(F24+$D$13)+$B$4+$D$44-0.0592*$B$17</f>
        <v>0.2011657002691723</v>
      </c>
    </row>
    <row r="53" spans="1:7" x14ac:dyDescent="0.25">
      <c r="A53" s="2" t="s">
        <v>3</v>
      </c>
      <c r="B53" s="2">
        <v>557</v>
      </c>
      <c r="C53" s="5" t="s">
        <v>96</v>
      </c>
      <c r="D53" s="2">
        <v>0.21299999999999999</v>
      </c>
    </row>
    <row r="54" spans="1:7" x14ac:dyDescent="0.25">
      <c r="A54" s="73" t="s">
        <v>160</v>
      </c>
      <c r="B54" s="74"/>
      <c r="C54" s="74"/>
      <c r="D54" s="74"/>
      <c r="E54" s="74"/>
      <c r="F54" s="75"/>
      <c r="G54" s="2" t="s">
        <v>31</v>
      </c>
    </row>
    <row r="55" spans="1:7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7" x14ac:dyDescent="0.25">
      <c r="A56" s="7">
        <f>-C56*27.2114-4.66</f>
        <v>0.6244741797044</v>
      </c>
      <c r="B56" s="7">
        <f>A56-0.0592*$B$17</f>
        <v>0.6244741797044</v>
      </c>
      <c r="C56" s="1">
        <v>-0.19420074600000001</v>
      </c>
      <c r="D56" s="9">
        <v>557</v>
      </c>
      <c r="E56" s="8">
        <v>-2795.1020183351302</v>
      </c>
      <c r="F56" s="7">
        <f>(E56-(D56-$B$53)*C56)*27.2114</f>
        <v>-76058.639061724563</v>
      </c>
      <c r="G56" s="42"/>
    </row>
    <row r="57" spans="1:7" x14ac:dyDescent="0.25">
      <c r="A57" s="2">
        <v>0.8</v>
      </c>
      <c r="B57" s="7">
        <f>A57-0.0592*$B$17</f>
        <v>0.8</v>
      </c>
      <c r="C57" s="3">
        <f>-(A57+4.66)/27.2114</f>
        <v>-0.20065119765980433</v>
      </c>
      <c r="D57" s="9">
        <v>556.85515299999997</v>
      </c>
      <c r="E57" s="8">
        <v>-2795.0734223992699</v>
      </c>
      <c r="F57" s="7">
        <f t="shared" ref="F57:F59" si="6">(E57-(D57-$B$53)*C57)*27.2114</f>
        <v>-76058.651790895499</v>
      </c>
      <c r="G57" s="8">
        <f>(F57+$D$10/2-1*A57)-(F22+$D$14)+$B$5+$D$53-0.0592*$B$17</f>
        <v>-1.266191352985409</v>
      </c>
    </row>
    <row r="58" spans="1:7" x14ac:dyDescent="0.25">
      <c r="A58" s="1">
        <v>0.4</v>
      </c>
      <c r="B58" s="7">
        <f t="shared" ref="B58:B59" si="7">A58-0.0592*$B$17</f>
        <v>0.4</v>
      </c>
      <c r="C58" s="3">
        <f>-(A58+4.66)/27.2114</f>
        <v>-0.18595147621952565</v>
      </c>
      <c r="D58" s="9">
        <v>557.194074</v>
      </c>
      <c r="E58" s="8">
        <v>-2795.1388817666698</v>
      </c>
      <c r="F58" s="7">
        <f t="shared" si="6"/>
        <v>-76058.660152865574</v>
      </c>
      <c r="G58" s="8">
        <f>(F58+$D$10/2-1*A58)-(F23+$D$14)+$B$5+$D$53-0.0592*$B$17</f>
        <v>-0.89307911036019771</v>
      </c>
    </row>
    <row r="59" spans="1:7" x14ac:dyDescent="0.25">
      <c r="A59" s="2">
        <v>0</v>
      </c>
      <c r="B59" s="7">
        <f t="shared" si="7"/>
        <v>0</v>
      </c>
      <c r="C59" s="3">
        <f>-(A59+4.66)/27.2114</f>
        <v>-0.17125175477924692</v>
      </c>
      <c r="D59" s="9">
        <v>557.65556800000002</v>
      </c>
      <c r="E59" s="8">
        <v>-2795.2211113007702</v>
      </c>
      <c r="F59" s="7">
        <f t="shared" si="6"/>
        <v>-76058.824801169787</v>
      </c>
      <c r="G59" s="8">
        <f>(F59+$D$10/2-1*A59)-(F24+$D$14)+$B$5+$D$53-0.0592*$B$17</f>
        <v>-0.49303460860108594</v>
      </c>
    </row>
    <row r="62" spans="1:7" x14ac:dyDescent="0.25">
      <c r="A62" s="2" t="s">
        <v>3</v>
      </c>
      <c r="B62" s="2">
        <v>547</v>
      </c>
      <c r="C62" s="5" t="s">
        <v>96</v>
      </c>
      <c r="D62" s="2">
        <v>0.27600000000000002</v>
      </c>
    </row>
    <row r="63" spans="1:7" x14ac:dyDescent="0.25">
      <c r="A63" s="73" t="s">
        <v>317</v>
      </c>
      <c r="B63" s="74"/>
      <c r="C63" s="74"/>
      <c r="D63" s="74"/>
      <c r="E63" s="74"/>
      <c r="F63" s="75"/>
      <c r="G63" s="2" t="s">
        <v>31</v>
      </c>
    </row>
    <row r="64" spans="1:7" x14ac:dyDescent="0.25">
      <c r="A64" s="4" t="s">
        <v>1</v>
      </c>
      <c r="B64" s="4" t="s">
        <v>100</v>
      </c>
      <c r="C64" s="4" t="s">
        <v>0</v>
      </c>
      <c r="D64" s="5" t="s">
        <v>2</v>
      </c>
      <c r="E64" s="5" t="s">
        <v>4</v>
      </c>
      <c r="F64" s="4" t="s">
        <v>5</v>
      </c>
      <c r="G64" s="6" t="s">
        <v>7</v>
      </c>
    </row>
    <row r="65" spans="1:7" x14ac:dyDescent="0.25">
      <c r="A65" s="7">
        <f>-C65*27.2114-4.66</f>
        <v>0.55942075648919953</v>
      </c>
      <c r="B65" s="7">
        <f>A65-0.0592*$B$17</f>
        <v>0.55942075648919953</v>
      </c>
      <c r="C65" s="1">
        <v>-0.19181007799999999</v>
      </c>
      <c r="D65" s="9">
        <v>547</v>
      </c>
      <c r="E65" s="8">
        <v>-2769.7017023482899</v>
      </c>
      <c r="F65" s="7">
        <f>(E65-(D65-$B$62)*C65)*27.2114</f>
        <v>-75367.460903280255</v>
      </c>
      <c r="G65" s="42"/>
    </row>
    <row r="66" spans="1:7" x14ac:dyDescent="0.25">
      <c r="A66" s="2">
        <v>0.8</v>
      </c>
      <c r="B66" s="7">
        <f>A66-0.0592*$B$17</f>
        <v>0.8</v>
      </c>
      <c r="C66" s="3">
        <f>-(A66+4.66)/27.2114</f>
        <v>-0.20065119765980433</v>
      </c>
      <c r="D66" s="9">
        <v>546.78723300000001</v>
      </c>
      <c r="E66" s="8">
        <v>-2769.6599538369301</v>
      </c>
      <c r="F66" s="7">
        <f t="shared" ref="F66:F68" si="8">(E66-(D66-$B$62)*C66)*27.2114</f>
        <v>-75367.486575658244</v>
      </c>
      <c r="G66" s="8">
        <f>(F66+1/2*$D$10-1*A66)-(F22 + $D$12)+$D$62-0.0592*$B$17 + $E$2</f>
        <v>-1.1173926030517454</v>
      </c>
    </row>
    <row r="67" spans="1:7" x14ac:dyDescent="0.25">
      <c r="A67" s="1">
        <v>0.4</v>
      </c>
      <c r="B67" s="7">
        <f t="shared" ref="B67:B68" si="9">A67-0.0592*$B$17</f>
        <v>0.4</v>
      </c>
      <c r="C67" s="3">
        <f>-(A67+4.66)/27.2114</f>
        <v>-0.18595147621952565</v>
      </c>
      <c r="D67" s="9">
        <v>547.15930000000003</v>
      </c>
      <c r="E67" s="8">
        <v>-2769.73177482343</v>
      </c>
      <c r="F67" s="7">
        <f t="shared" si="8"/>
        <v>-75367.473159430287</v>
      </c>
      <c r="G67" s="8">
        <f t="shared" ref="G67:G68" si="10">(F67+1/2*$D$10-1*A67)-(F23 + $D$12)+$D$62-0.0592*$B$17 + $E$2</f>
        <v>-0.72250216239470899</v>
      </c>
    </row>
    <row r="68" spans="1:7" x14ac:dyDescent="0.25">
      <c r="A68" s="2">
        <v>0</v>
      </c>
      <c r="B68" s="7">
        <f t="shared" si="9"/>
        <v>0</v>
      </c>
      <c r="C68" s="3">
        <f>-(A68+4.66)/27.2114</f>
        <v>-0.17125175477924692</v>
      </c>
      <c r="D68" s="9">
        <v>547.81231500000001</v>
      </c>
      <c r="E68" s="8">
        <v>-2769.8478634458302</v>
      </c>
      <c r="F68" s="7">
        <f t="shared" si="8"/>
        <v>-75367.652763469872</v>
      </c>
      <c r="G68" s="8">
        <f t="shared" si="10"/>
        <v>-0.33741339600809295</v>
      </c>
    </row>
    <row r="71" spans="1:7" x14ac:dyDescent="0.25">
      <c r="A71" s="2" t="s">
        <v>3</v>
      </c>
      <c r="B71" s="2">
        <v>541</v>
      </c>
      <c r="C71" s="5" t="s">
        <v>96</v>
      </c>
      <c r="D71" s="2">
        <v>0.155</v>
      </c>
    </row>
    <row r="72" spans="1:7" x14ac:dyDescent="0.25">
      <c r="A72" s="73" t="s">
        <v>318</v>
      </c>
      <c r="B72" s="74"/>
      <c r="C72" s="74"/>
      <c r="D72" s="74"/>
      <c r="E72" s="74"/>
      <c r="F72" s="75"/>
      <c r="G72" s="2" t="s">
        <v>31</v>
      </c>
    </row>
    <row r="73" spans="1:7" x14ac:dyDescent="0.25">
      <c r="A73" s="4" t="s">
        <v>1</v>
      </c>
      <c r="B73" s="4" t="s">
        <v>100</v>
      </c>
      <c r="C73" s="4" t="s">
        <v>0</v>
      </c>
      <c r="D73" s="5" t="s">
        <v>2</v>
      </c>
      <c r="E73" s="5" t="s">
        <v>4</v>
      </c>
      <c r="F73" s="4" t="s">
        <v>5</v>
      </c>
      <c r="G73" s="6" t="s">
        <v>7</v>
      </c>
    </row>
    <row r="74" spans="1:7" x14ac:dyDescent="0.25">
      <c r="A74" s="7">
        <f>-C74*27.2114-4.66</f>
        <v>0.52178630183319985</v>
      </c>
      <c r="B74" s="7">
        <f>A74-0.0592*$B$17</f>
        <v>0.52178630183319985</v>
      </c>
      <c r="C74" s="1">
        <v>-0.19042703799999999</v>
      </c>
      <c r="D74" s="9">
        <v>541</v>
      </c>
      <c r="E74" s="8">
        <v>-2753.62876515874</v>
      </c>
      <c r="F74" s="7">
        <f>(E74-(D74-$B$71)*C74)*27.2114</f>
        <v>-74930.093780240539</v>
      </c>
      <c r="G74" s="42"/>
    </row>
    <row r="75" spans="1:7" x14ac:dyDescent="0.25">
      <c r="A75" s="2">
        <v>0.8</v>
      </c>
      <c r="B75" s="7">
        <f>A75-0.0592*$B$17</f>
        <v>0.8</v>
      </c>
      <c r="C75" s="3">
        <f>-(A75+4.66)/27.2114</f>
        <v>-0.20065119765980433</v>
      </c>
      <c r="D75" s="9">
        <v>540.76606000000004</v>
      </c>
      <c r="E75" s="8">
        <v>-2753.5830188219102</v>
      </c>
      <c r="F75" s="7">
        <f t="shared" ref="F75:F77" si="11">(E75-(D75-$B$71)*C75)*27.2114</f>
        <v>-74930.126270770532</v>
      </c>
      <c r="G75" s="8">
        <f>(F75)-(F22+$D$10/2-1*A75)+$D$71-0.0592*$B$17</f>
        <v>0.42055400014331101</v>
      </c>
    </row>
    <row r="76" spans="1:7" x14ac:dyDescent="0.25">
      <c r="A76" s="1">
        <v>0.4</v>
      </c>
      <c r="B76" s="7">
        <f t="shared" ref="B76:B77" si="12">A76-0.0592*$B$17</f>
        <v>0.4</v>
      </c>
      <c r="C76" s="3">
        <f>-(A76+4.66)/27.2114</f>
        <v>-0.18595147621952565</v>
      </c>
      <c r="D76" s="9">
        <v>541.10903399999995</v>
      </c>
      <c r="E76" s="8">
        <v>-2753.6492717016099</v>
      </c>
      <c r="F76" s="7">
        <f t="shared" si="11"/>
        <v>-74930.100079941185</v>
      </c>
      <c r="G76" s="8">
        <f t="shared" ref="G76:G77" si="13">(F76)-(F23+$D$10/2-1*A76)+$D$71-0.0592*$B$17</f>
        <v>2.8219042172422631E-2</v>
      </c>
    </row>
    <row r="77" spans="1:7" x14ac:dyDescent="0.25">
      <c r="A77" s="2">
        <v>0</v>
      </c>
      <c r="B77" s="7">
        <f t="shared" si="12"/>
        <v>0</v>
      </c>
      <c r="C77" s="3">
        <f>-(A77+4.66)/27.2114</f>
        <v>-0.17125175477924692</v>
      </c>
      <c r="D77" s="9">
        <v>541.68265299999996</v>
      </c>
      <c r="E77" s="8">
        <v>-2753.7512976238099</v>
      </c>
      <c r="F77" s="7">
        <f t="shared" si="11"/>
        <v>-74930.24689718055</v>
      </c>
      <c r="G77" s="8">
        <f t="shared" si="13"/>
        <v>-0.35390539120882747</v>
      </c>
    </row>
    <row r="80" spans="1:7" x14ac:dyDescent="0.25">
      <c r="A80" s="2" t="s">
        <v>3</v>
      </c>
      <c r="B80" s="2">
        <v>547</v>
      </c>
      <c r="C80" s="5" t="s">
        <v>96</v>
      </c>
      <c r="D80" s="2">
        <v>-2.8000000000000001E-2</v>
      </c>
      <c r="E80" s="5" t="s">
        <v>186</v>
      </c>
      <c r="F80" s="2">
        <v>1.36</v>
      </c>
    </row>
    <row r="81" spans="1:7" x14ac:dyDescent="0.25">
      <c r="A81" s="73" t="s">
        <v>319</v>
      </c>
      <c r="B81" s="74"/>
      <c r="C81" s="74"/>
      <c r="D81" s="74"/>
      <c r="E81" s="74"/>
      <c r="F81" s="75"/>
      <c r="G81" s="2" t="s">
        <v>31</v>
      </c>
    </row>
    <row r="82" spans="1:7" x14ac:dyDescent="0.25">
      <c r="A82" s="4" t="s">
        <v>1</v>
      </c>
      <c r="B82" s="4" t="s">
        <v>100</v>
      </c>
      <c r="C82" s="4" t="s">
        <v>0</v>
      </c>
      <c r="D82" s="5" t="s">
        <v>2</v>
      </c>
      <c r="E82" s="5" t="s">
        <v>4</v>
      </c>
      <c r="F82" s="4" t="s">
        <v>5</v>
      </c>
      <c r="G82" s="6" t="s">
        <v>7</v>
      </c>
    </row>
    <row r="83" spans="1:7" x14ac:dyDescent="0.25">
      <c r="A83" s="7">
        <f>-C83*27.2114-4.66</f>
        <v>0.45190892326020027</v>
      </c>
      <c r="B83" s="7">
        <f>A83-0.0592*$B$17</f>
        <v>0.45190892326020027</v>
      </c>
      <c r="C83" s="1">
        <v>-0.187859093</v>
      </c>
      <c r="D83" s="9">
        <v>547</v>
      </c>
      <c r="E83" s="8">
        <v>-2768.1113344803998</v>
      </c>
      <c r="F83" s="7">
        <f>(E83-(D83-$B$80)*C83)*27.2114</f>
        <v>-75324.184767079962</v>
      </c>
      <c r="G83" s="42"/>
    </row>
    <row r="84" spans="1:7" x14ac:dyDescent="0.25">
      <c r="A84" s="2">
        <v>0.8</v>
      </c>
      <c r="B84" s="7">
        <f>A84-0.0592*$B$17</f>
        <v>0.8</v>
      </c>
      <c r="C84" s="3">
        <f>-(A84+4.66)/27.2114</f>
        <v>-0.20065119765980433</v>
      </c>
      <c r="D84" s="9">
        <v>546.71145799999999</v>
      </c>
      <c r="E84" s="8">
        <v>-2768.0553020400998</v>
      </c>
      <c r="F84" s="7">
        <f t="shared" ref="F84:F86" si="14">(E84-(D84-$B$80)*C84)*27.2114</f>
        <v>-75324.235485253972</v>
      </c>
      <c r="G84" s="8">
        <f>(F84+1*($F$80-A84)) - (F22+$J$10/2) + $D$80</f>
        <v>-0.94809006794251038</v>
      </c>
    </row>
    <row r="85" spans="1:7" x14ac:dyDescent="0.25">
      <c r="A85" s="1">
        <v>0.4</v>
      </c>
      <c r="B85" s="7">
        <f t="shared" ref="B85:B86" si="15">A85-0.0592*$B$17</f>
        <v>0.4</v>
      </c>
      <c r="C85" s="3">
        <f>-(A85+4.66)/27.2114</f>
        <v>-0.18595147621952565</v>
      </c>
      <c r="D85" s="9">
        <v>547.04622900000004</v>
      </c>
      <c r="E85" s="8">
        <v>-2768.1199817409802</v>
      </c>
      <c r="F85" s="7">
        <f t="shared" si="14"/>
        <v>-75324.186152406517</v>
      </c>
      <c r="G85" s="8">
        <f t="shared" ref="G85:G86" si="16">(F85+1*($F$80-A85)) - (F23+$J$10/2) + $D$80</f>
        <v>-0.51728300778788983</v>
      </c>
    </row>
    <row r="86" spans="1:7" x14ac:dyDescent="0.25">
      <c r="A86" s="2">
        <v>0</v>
      </c>
      <c r="B86" s="7">
        <f t="shared" si="15"/>
        <v>0</v>
      </c>
      <c r="C86" s="3">
        <f>-(A86+4.66)/27.2114</f>
        <v>-0.17125175477924692</v>
      </c>
      <c r="D86" s="9">
        <v>547.51672099999996</v>
      </c>
      <c r="E86" s="8">
        <v>-2768.2038149320902</v>
      </c>
      <c r="F86" s="7">
        <f t="shared" si="14"/>
        <v>-75324.293369783089</v>
      </c>
      <c r="G86" s="8">
        <f t="shared" si="16"/>
        <v>-5.9807578387088139E-2</v>
      </c>
    </row>
    <row r="89" spans="1:7" x14ac:dyDescent="0.25">
      <c r="A89" s="2" t="s">
        <v>3</v>
      </c>
      <c r="B89" s="2">
        <v>570</v>
      </c>
      <c r="C89" s="5" t="s">
        <v>96</v>
      </c>
      <c r="D89" s="2">
        <v>0.36499999999999999</v>
      </c>
      <c r="E89" s="5" t="s">
        <v>186</v>
      </c>
      <c r="F89" s="2">
        <v>9.9000000000000005E-2</v>
      </c>
    </row>
    <row r="90" spans="1:7" x14ac:dyDescent="0.25">
      <c r="A90" s="73" t="s">
        <v>320</v>
      </c>
      <c r="B90" s="74"/>
      <c r="C90" s="74"/>
      <c r="D90" s="74"/>
      <c r="E90" s="74"/>
      <c r="F90" s="75"/>
      <c r="G90" s="2" t="s">
        <v>31</v>
      </c>
    </row>
    <row r="91" spans="1:7" x14ac:dyDescent="0.25">
      <c r="A91" s="4" t="s">
        <v>1</v>
      </c>
      <c r="B91" s="4" t="s">
        <v>100</v>
      </c>
      <c r="C91" s="4" t="s">
        <v>0</v>
      </c>
      <c r="D91" s="5" t="s">
        <v>2</v>
      </c>
      <c r="E91" s="5" t="s">
        <v>4</v>
      </c>
      <c r="F91" s="4" t="s">
        <v>5</v>
      </c>
      <c r="G91" s="6" t="s">
        <v>7</v>
      </c>
    </row>
    <row r="92" spans="1:7" x14ac:dyDescent="0.25">
      <c r="A92" s="7">
        <f>-C92*27.2114-4.66</f>
        <v>0.97830414996140025</v>
      </c>
      <c r="B92" s="7">
        <f>A92-0.0592*$B$17</f>
        <v>0.97830414996140025</v>
      </c>
      <c r="C92" s="1">
        <v>-0.20720375099999999</v>
      </c>
      <c r="D92" s="9">
        <v>570</v>
      </c>
      <c r="E92" s="8">
        <v>-2827.6485808205398</v>
      </c>
      <c r="F92" s="7">
        <f>(E92-(D92-$B$89)*C92)*27.2114</f>
        <v>-76944.276592140042</v>
      </c>
      <c r="G92" s="42"/>
    </row>
    <row r="93" spans="1:7" x14ac:dyDescent="0.25">
      <c r="A93" s="2">
        <v>0.8</v>
      </c>
      <c r="B93" s="7">
        <f>A93-0.0592*$B$17</f>
        <v>0.8</v>
      </c>
      <c r="C93" s="3">
        <f>-(A93+4.66)/27.2114</f>
        <v>-0.20065119765980433</v>
      </c>
      <c r="D93" s="9">
        <v>570.15491299999996</v>
      </c>
      <c r="E93" s="8">
        <v>-2827.6801778112599</v>
      </c>
      <c r="F93" s="7">
        <f t="shared" ref="F93:F95" si="17">(E93-(D93-$B$89)*C93)*27.2114</f>
        <v>-76944.290565513322</v>
      </c>
      <c r="G93" s="8">
        <f>(F93+2*$D$10-2*(A93+$F$89))-(F22 + $J$11+'Exp. thermo'!$C$64/96.49 + 2*$D$12-2*'Exp. thermo'!$G$6/96.49+2*'Exp. thermo'!$B$71/96.49)+$D$89-0.0592*$B$130-'Exp. thermo'!$C$41/96.49</f>
        <v>-1.2389790658017013</v>
      </c>
    </row>
    <row r="94" spans="1:7" x14ac:dyDescent="0.25">
      <c r="A94" s="1">
        <v>0.4</v>
      </c>
      <c r="B94" s="7">
        <f t="shared" ref="B94:B95" si="18">A94-0.0592*$B$17</f>
        <v>0.4</v>
      </c>
      <c r="C94" s="3">
        <f>-(A94+4.66)/27.2114</f>
        <v>-0.18595147621952565</v>
      </c>
      <c r="D94" s="9">
        <v>570.51342099999999</v>
      </c>
      <c r="E94" s="8">
        <v>-2827.7494466180701</v>
      </c>
      <c r="F94" s="7">
        <f t="shared" si="17"/>
        <v>-76944.423381442946</v>
      </c>
      <c r="G94" s="8">
        <f>(F94+2*$D$10-2*(A94+$F$89))-(F23 + $J$11+'Exp. thermo'!$C$64/96.49 + 2*$D$12-2*'Exp. thermo'!$G$6/96.49+2*'Exp. thermo'!$B$71/96.49)+$D$89-0.0592*$B$130-'Exp. thermo'!$C$41/96.49</f>
        <v>-0.5903207827468725</v>
      </c>
    </row>
    <row r="95" spans="1:7" x14ac:dyDescent="0.25">
      <c r="A95" s="2">
        <v>0</v>
      </c>
      <c r="B95" s="7">
        <f t="shared" si="18"/>
        <v>0</v>
      </c>
      <c r="C95" s="3">
        <f>-(A95+4.66)/27.2114</f>
        <v>-0.17125175477924692</v>
      </c>
      <c r="D95" s="9">
        <v>570.96671500000002</v>
      </c>
      <c r="E95" s="8">
        <v>-2827.8302777613098</v>
      </c>
      <c r="F95" s="7">
        <f t="shared" si="17"/>
        <v>-76944.715928374106</v>
      </c>
      <c r="G95" s="8">
        <f>(F95+2*$D$10-2*(A95+$F$89))-(F24 + $J$11+'Exp. thermo'!$C$64/96.49 + 2*$D$12-2*'Exp. thermo'!$G$6/96.49+2*'Exp. thermo'!$B$71/96.49)+$D$89-0.0592*$B$130-'Exp. thermo'!$C$41/96.49</f>
        <v>8.1825092074708422E-2</v>
      </c>
    </row>
    <row r="98" spans="1:7" x14ac:dyDescent="0.25">
      <c r="A98" s="2" t="s">
        <v>3</v>
      </c>
      <c r="B98" s="2">
        <v>569</v>
      </c>
      <c r="C98" s="5" t="s">
        <v>96</v>
      </c>
      <c r="D98" s="2">
        <v>0.34899999999999998</v>
      </c>
      <c r="E98" s="5" t="s">
        <v>186</v>
      </c>
      <c r="F98" s="2">
        <v>-0.26900000000000002</v>
      </c>
    </row>
    <row r="99" spans="1:7" x14ac:dyDescent="0.25">
      <c r="A99" s="73" t="s">
        <v>321</v>
      </c>
      <c r="B99" s="74"/>
      <c r="C99" s="74"/>
      <c r="D99" s="74"/>
      <c r="E99" s="74"/>
      <c r="F99" s="75"/>
      <c r="G99" s="2" t="s">
        <v>31</v>
      </c>
    </row>
    <row r="100" spans="1:7" x14ac:dyDescent="0.25">
      <c r="A100" s="4" t="s">
        <v>1</v>
      </c>
      <c r="B100" s="4" t="s">
        <v>100</v>
      </c>
      <c r="C100" s="4" t="s">
        <v>0</v>
      </c>
      <c r="D100" s="5" t="s">
        <v>2</v>
      </c>
      <c r="E100" s="5" t="s">
        <v>4</v>
      </c>
      <c r="F100" s="4" t="s">
        <v>5</v>
      </c>
      <c r="G100" s="6" t="s">
        <v>7</v>
      </c>
    </row>
    <row r="101" spans="1:7" x14ac:dyDescent="0.25">
      <c r="A101" s="7">
        <f>-C101*27.2114-4.66</f>
        <v>1.3411044670739996</v>
      </c>
      <c r="B101" s="7">
        <f>A101-0.0592*$B$17</f>
        <v>1.3411044670739996</v>
      </c>
      <c r="C101" s="1">
        <v>-0.22053640999999999</v>
      </c>
      <c r="D101" s="9">
        <v>569</v>
      </c>
      <c r="E101" s="8">
        <v>-2824.1081770055598</v>
      </c>
      <c r="F101" s="7">
        <f>(E101-(D101-$B$98)*C101)*27.2114</f>
        <v>-76847.937247769092</v>
      </c>
      <c r="G101" s="42"/>
    </row>
    <row r="102" spans="1:7" x14ac:dyDescent="0.25">
      <c r="A102" s="2">
        <v>0.8</v>
      </c>
      <c r="B102" s="7">
        <f>A102-0.0592*$B$17</f>
        <v>0.8</v>
      </c>
      <c r="C102" s="3">
        <f>-(A102+4.66)/27.2114</f>
        <v>-0.20065119765980433</v>
      </c>
      <c r="D102" s="9">
        <v>569.48835599999995</v>
      </c>
      <c r="E102" s="8">
        <v>-2824.2111004295198</v>
      </c>
      <c r="F102" s="7">
        <f>(E102-(D102-$B$98)*C102)*27.2114</f>
        <v>-76848.07151446784</v>
      </c>
      <c r="G102" s="8">
        <f>(F102+11/2*$D$10-3*A102-8*$F$98)-(F22 + $J$12 + 4*$D$12-4*'Exp. thermo'!$G$6/96.49+4*'Exp. thermo'!$B$71/96.49)+$D$98-0.0592*$B$17 + $E$3</f>
        <v>-2.3690549918862982</v>
      </c>
    </row>
    <row r="103" spans="1:7" x14ac:dyDescent="0.25">
      <c r="A103" s="1">
        <v>0.4</v>
      </c>
      <c r="B103" s="7">
        <f t="shared" ref="B103:B104" si="19">A103-0.0592*$B$17</f>
        <v>0.4</v>
      </c>
      <c r="C103" s="3">
        <f>-(A103+4.66)/27.2114</f>
        <v>-0.18595147621952565</v>
      </c>
      <c r="D103" s="9">
        <v>569.85276199999998</v>
      </c>
      <c r="E103" s="8">
        <v>-2824.2814457988802</v>
      </c>
      <c r="F103" s="7">
        <f>(E103-(D103-$B$98)*C103)*27.2114</f>
        <v>-76848.33715849166</v>
      </c>
      <c r="G103" s="8">
        <f>(F103+11/2*$D$10-3*A103-8*$F$98)-(F23 + $J$12 + 4*$D$12-4*'Exp. thermo'!$G$6/96.49+4*'Exp. thermo'!$B$71/96.49)+$D$98-0.0592*$B$17 + $E$3</f>
        <v>-1.453224803018895</v>
      </c>
    </row>
    <row r="104" spans="1:7" x14ac:dyDescent="0.25">
      <c r="A104" s="2">
        <v>0</v>
      </c>
      <c r="B104" s="7">
        <f t="shared" si="19"/>
        <v>0</v>
      </c>
      <c r="C104" s="3">
        <f>-(A104+4.66)/27.2114</f>
        <v>-0.17125175477924692</v>
      </c>
      <c r="D104" s="9">
        <v>570.34065599999997</v>
      </c>
      <c r="E104" s="8">
        <v>-2824.3684123522298</v>
      </c>
      <c r="F104" s="7">
        <f>(E104-(D104-$B$98)*C104)*27.2114</f>
        <v>-76848.771158921474</v>
      </c>
      <c r="G104" s="8">
        <f>(F104+11/2*$D$10-3*A104-8*$F$98)-(F24 + $J$12 + 4*$D$12-4*'Exp. thermo'!$G$6/96.49+4*'Exp. thermo'!$B$71/96.49)+$D$98-0.0592*$B$17 + $E$3</f>
        <v>-0.52253242685743517</v>
      </c>
    </row>
    <row r="107" spans="1:7" x14ac:dyDescent="0.25">
      <c r="A107" s="2" t="s">
        <v>3</v>
      </c>
      <c r="B107" s="2">
        <v>563</v>
      </c>
      <c r="C107" s="5" t="s">
        <v>96</v>
      </c>
      <c r="D107" s="2">
        <v>1.22</v>
      </c>
    </row>
    <row r="108" spans="1:7" x14ac:dyDescent="0.25">
      <c r="A108" s="73" t="s">
        <v>322</v>
      </c>
      <c r="B108" s="74"/>
      <c r="C108" s="74"/>
      <c r="D108" s="74"/>
      <c r="E108" s="74"/>
      <c r="F108" s="75"/>
      <c r="G108" s="2" t="s">
        <v>31</v>
      </c>
    </row>
    <row r="109" spans="1:7" x14ac:dyDescent="0.25">
      <c r="A109" s="4" t="s">
        <v>1</v>
      </c>
      <c r="B109" s="4" t="s">
        <v>100</v>
      </c>
      <c r="C109" s="4" t="s">
        <v>0</v>
      </c>
      <c r="D109" s="5" t="s">
        <v>2</v>
      </c>
      <c r="E109" s="5" t="s">
        <v>4</v>
      </c>
      <c r="F109" s="4" t="s">
        <v>5</v>
      </c>
      <c r="G109" s="6" t="s">
        <v>7</v>
      </c>
    </row>
    <row r="110" spans="1:7" x14ac:dyDescent="0.25">
      <c r="A110" s="7">
        <f>-C110*27.2114-4.66</f>
        <v>0.39544725469240039</v>
      </c>
      <c r="B110" s="7">
        <f>A110-0.0592*$B$17</f>
        <v>0.39544725469240039</v>
      </c>
      <c r="C110" s="1">
        <v>-0.185784166</v>
      </c>
      <c r="D110" s="9">
        <v>563</v>
      </c>
      <c r="E110" s="8">
        <v>-2798.43229221094</v>
      </c>
      <c r="F110" s="7">
        <f>(E110-(D110-$B$107)*C110)*27.2114</f>
        <v>-76149.26047626877</v>
      </c>
      <c r="G110" s="42"/>
    </row>
    <row r="111" spans="1:7" x14ac:dyDescent="0.25">
      <c r="A111" s="2">
        <v>0.8</v>
      </c>
      <c r="B111" s="7">
        <f>A111-0.0592*$B$17</f>
        <v>0.8</v>
      </c>
      <c r="C111" s="3">
        <f>-(A111+4.66)/27.2114</f>
        <v>-0.20065119765980433</v>
      </c>
      <c r="D111" s="9">
        <v>562.65103299999998</v>
      </c>
      <c r="E111" s="8">
        <v>-2798.3650243132602</v>
      </c>
      <c r="F111" s="7">
        <f t="shared" ref="F111:F113" si="20">(E111-(D111-$B$107)*C111)*27.2114</f>
        <v>-76149.335382417863</v>
      </c>
      <c r="G111" s="8">
        <f>(F111+$D$10/2-1*A111)-(F22+$J$13)+$E$4+$D$107-0.0592*$B$17</f>
        <v>-1.4143042342897962</v>
      </c>
    </row>
    <row r="112" spans="1:7" x14ac:dyDescent="0.25">
      <c r="A112" s="1">
        <v>0.4</v>
      </c>
      <c r="B112" s="7">
        <f t="shared" ref="B112:B113" si="21">A112-0.0592*$B$17</f>
        <v>0.4</v>
      </c>
      <c r="C112" s="3">
        <f>-(A112+4.66)/27.2114</f>
        <v>-0.18595147621952565</v>
      </c>
      <c r="D112" s="9">
        <v>562.99591499999997</v>
      </c>
      <c r="E112" s="8">
        <v>-2798.4315349451199</v>
      </c>
      <c r="F112" s="7">
        <f t="shared" si="20"/>
        <v>-76149.260540105635</v>
      </c>
      <c r="G112" s="8">
        <f t="shared" ref="G112:G113" si="22">(F112+$D$10/2-1*A112)-(F23+$J$13)+$E$4+$D$107-0.0592*$B$17</f>
        <v>-0.95798770936240829</v>
      </c>
    </row>
    <row r="113" spans="1:7" x14ac:dyDescent="0.25">
      <c r="A113" s="2">
        <v>0</v>
      </c>
      <c r="B113" s="7">
        <f t="shared" si="21"/>
        <v>0</v>
      </c>
      <c r="C113" s="3">
        <f>-(A113+4.66)/27.2114</f>
        <v>-0.17125175477924692</v>
      </c>
      <c r="D113" s="9">
        <v>563.44567099999995</v>
      </c>
      <c r="E113" s="8">
        <v>-2798.5116817406201</v>
      </c>
      <c r="F113" s="7">
        <f t="shared" si="20"/>
        <v>-76149.343949656715</v>
      </c>
      <c r="G113" s="8">
        <f t="shared" si="22"/>
        <v>-0.47670445447007581</v>
      </c>
    </row>
    <row r="116" spans="1:7" x14ac:dyDescent="0.25">
      <c r="A116" s="2" t="s">
        <v>3</v>
      </c>
      <c r="B116" s="2">
        <v>581</v>
      </c>
      <c r="C116" s="5" t="s">
        <v>96</v>
      </c>
      <c r="D116" s="2">
        <v>0.35</v>
      </c>
    </row>
    <row r="117" spans="1:7" x14ac:dyDescent="0.25">
      <c r="A117" s="73" t="s">
        <v>373</v>
      </c>
      <c r="B117" s="74"/>
      <c r="C117" s="74"/>
      <c r="D117" s="74"/>
      <c r="E117" s="74"/>
      <c r="F117" s="75"/>
      <c r="G117" s="2" t="s">
        <v>31</v>
      </c>
    </row>
    <row r="118" spans="1:7" x14ac:dyDescent="0.25">
      <c r="A118" s="4" t="s">
        <v>1</v>
      </c>
      <c r="B118" s="4" t="s">
        <v>100</v>
      </c>
      <c r="C118" s="4" t="s">
        <v>0</v>
      </c>
      <c r="D118" s="5" t="s">
        <v>2</v>
      </c>
      <c r="E118" s="5" t="s">
        <v>4</v>
      </c>
      <c r="F118" s="4" t="s">
        <v>5</v>
      </c>
      <c r="G118" s="6" t="s">
        <v>7</v>
      </c>
    </row>
    <row r="119" spans="1:7" x14ac:dyDescent="0.25">
      <c r="A119" s="7">
        <f>-C119*27.2114-4.66</f>
        <v>0.59117194319679989</v>
      </c>
      <c r="B119" s="7">
        <f>A119-0.0592*$B$17</f>
        <v>0.59117194319679989</v>
      </c>
      <c r="C119" s="1">
        <v>-0.192976912</v>
      </c>
      <c r="D119" s="9">
        <v>581</v>
      </c>
      <c r="E119" s="8">
        <v>-2841.7279196699701</v>
      </c>
      <c r="F119" s="7">
        <f>(E119-(D119-$B$116)*C119)*27.2114</f>
        <v>-77327.39511330743</v>
      </c>
      <c r="G119" s="42"/>
    </row>
    <row r="120" spans="1:7" x14ac:dyDescent="0.25">
      <c r="A120" s="2">
        <v>0.8</v>
      </c>
      <c r="B120" s="7">
        <f>A120-0.0592*$B$17</f>
        <v>0.8</v>
      </c>
      <c r="C120" s="3">
        <f>-(A120+4.66)/27.2114</f>
        <v>-0.20065119765980433</v>
      </c>
      <c r="D120" s="9">
        <v>580.85872500000005</v>
      </c>
      <c r="E120" s="8">
        <v>-2841.7001177782799</v>
      </c>
      <c r="F120" s="7">
        <f t="shared" ref="F120:F122" si="23">(E120-(D120-$B$116)*C120)*27.2114</f>
        <v>-77327.409946411892</v>
      </c>
      <c r="G120" s="8">
        <f>(F120+$D$10/2-1*A120)-(F22+$J$14)+$E$5+$D$116-0.0592*$B$17</f>
        <v>-0.91238143780039349</v>
      </c>
    </row>
    <row r="121" spans="1:7" x14ac:dyDescent="0.25">
      <c r="A121" s="1">
        <v>0.4</v>
      </c>
      <c r="B121" s="7">
        <f t="shared" ref="B121:B122" si="24">A121-0.0592*$B$17</f>
        <v>0.4</v>
      </c>
      <c r="C121" s="3">
        <f>-(A121+4.66)/27.2114</f>
        <v>-0.18595147621952565</v>
      </c>
      <c r="D121" s="9">
        <v>581.13249699999994</v>
      </c>
      <c r="E121" s="8">
        <v>-2841.7530153614398</v>
      </c>
      <c r="F121" s="7">
        <f t="shared" si="23"/>
        <v>-77327.407567386283</v>
      </c>
      <c r="G121" s="8">
        <f t="shared" ref="G121:G122" si="25">(F121+$D$10/2-1*A121)-(F23+$J$14)+$E$5+$D$116-0.0592*$B$17</f>
        <v>-0.52852819949159124</v>
      </c>
    </row>
    <row r="122" spans="1:7" x14ac:dyDescent="0.25">
      <c r="A122" s="2">
        <v>0</v>
      </c>
      <c r="B122" s="7">
        <f t="shared" si="24"/>
        <v>0</v>
      </c>
      <c r="C122" s="3">
        <f>-(A122+4.66)/27.2114</f>
        <v>-0.17125175477924692</v>
      </c>
      <c r="D122" s="9">
        <v>581.47074899999996</v>
      </c>
      <c r="E122" s="8">
        <v>-2841.8133749573099</v>
      </c>
      <c r="F122" s="7">
        <f t="shared" si="23"/>
        <v>-77327.526780973349</v>
      </c>
      <c r="G122" s="8">
        <f t="shared" si="25"/>
        <v>-8.3048980585333887E-2</v>
      </c>
    </row>
  </sheetData>
  <mergeCells count="14">
    <mergeCell ref="A117:F117"/>
    <mergeCell ref="A45:F45"/>
    <mergeCell ref="A54:F54"/>
    <mergeCell ref="B7:E7"/>
    <mergeCell ref="C15:D15"/>
    <mergeCell ref="A19:F19"/>
    <mergeCell ref="A27:F27"/>
    <mergeCell ref="A36:F36"/>
    <mergeCell ref="A108:F108"/>
    <mergeCell ref="A63:F63"/>
    <mergeCell ref="A72:F72"/>
    <mergeCell ref="A81:F81"/>
    <mergeCell ref="A90:F90"/>
    <mergeCell ref="A99:F99"/>
  </mergeCells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3C5D1-790D-4A34-B350-2EC0D0720B7C}">
  <sheetPr>
    <tabColor theme="8" tint="0.59999389629810485"/>
  </sheetPr>
  <dimension ref="A1:AR431"/>
  <sheetViews>
    <sheetView showGridLines="0" topLeftCell="A300" zoomScale="85" zoomScaleNormal="85" workbookViewId="0">
      <selection activeCell="AQ373" sqref="AQ373"/>
    </sheetView>
  </sheetViews>
  <sheetFormatPr defaultRowHeight="15" x14ac:dyDescent="0.25"/>
  <cols>
    <col min="1" max="1" width="15.42578125" customWidth="1"/>
    <col min="2" max="2" width="11.7109375" customWidth="1"/>
    <col min="3" max="3" width="12.7109375" bestFit="1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4.28515625" customWidth="1"/>
    <col min="9" max="9" width="11.7109375" customWidth="1"/>
    <col min="10" max="10" width="16" customWidth="1"/>
    <col min="11" max="11" width="18.85546875" customWidth="1"/>
    <col min="12" max="12" width="14" customWidth="1"/>
    <col min="13" max="13" width="12.42578125" customWidth="1"/>
    <col min="14" max="14" width="14.140625" customWidth="1"/>
    <col min="15" max="15" width="10.28515625" customWidth="1"/>
    <col min="16" max="16" width="15.42578125" customWidth="1"/>
    <col min="17" max="17" width="13.5703125" customWidth="1"/>
    <col min="18" max="18" width="12.7109375" bestFit="1" customWidth="1"/>
    <col min="19" max="19" width="12" bestFit="1" customWidth="1"/>
    <col min="20" max="20" width="11.28515625" customWidth="1"/>
    <col min="21" max="21" width="11.42578125" customWidth="1"/>
    <col min="22" max="22" width="14.140625" customWidth="1"/>
    <col min="23" max="23" width="10.28515625" customWidth="1"/>
    <col min="24" max="24" width="12.7109375" customWidth="1"/>
    <col min="25" max="25" width="11.85546875" customWidth="1"/>
    <col min="26" max="26" width="12.7109375" bestFit="1" customWidth="1"/>
    <col min="28" max="28" width="10.140625" customWidth="1"/>
    <col min="30" max="30" width="10.85546875" customWidth="1"/>
    <col min="31" max="31" width="10.140625" customWidth="1"/>
    <col min="32" max="32" width="12" customWidth="1"/>
    <col min="33" max="33" width="14.140625" customWidth="1"/>
    <col min="34" max="34" width="12.140625" customWidth="1"/>
    <col min="35" max="35" width="11.140625" customWidth="1"/>
    <col min="36" max="36" width="12.42578125" customWidth="1"/>
    <col min="38" max="38" width="10.42578125" customWidth="1"/>
    <col min="39" max="39" width="10.85546875" customWidth="1"/>
    <col min="40" max="40" width="11.5703125" customWidth="1"/>
    <col min="41" max="41" width="12.85546875" customWidth="1"/>
    <col min="42" max="42" width="11.5703125" customWidth="1"/>
    <col min="43" max="43" width="11.140625" bestFit="1" customWidth="1"/>
    <col min="44" max="44" width="12.140625" customWidth="1"/>
  </cols>
  <sheetData>
    <row r="1" spans="1:8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79</v>
      </c>
      <c r="H1" s="5" t="s">
        <v>13</v>
      </c>
    </row>
    <row r="2" spans="1:8" x14ac:dyDescent="0.25">
      <c r="A2" s="11" t="s">
        <v>52</v>
      </c>
      <c r="B2" s="9">
        <f>'Exp. thermo'!I21</f>
        <v>-0.22525369162266182</v>
      </c>
      <c r="D2" s="2" t="s">
        <v>244</v>
      </c>
      <c r="E2" s="9">
        <f>'Exp. thermo'!I30</f>
        <v>0.21917745215957576</v>
      </c>
      <c r="G2" s="1" t="s">
        <v>261</v>
      </c>
      <c r="H2" s="9">
        <f>'Exp. thermo'!I39</f>
        <v>-0.12711538772040426</v>
      </c>
    </row>
    <row r="3" spans="1:8" x14ac:dyDescent="0.25">
      <c r="A3" s="11" t="s">
        <v>74</v>
      </c>
      <c r="B3" s="9">
        <f>'Exp. thermo'!I22</f>
        <v>-0.83422508395762196</v>
      </c>
      <c r="D3" s="2" t="s">
        <v>245</v>
      </c>
      <c r="E3" s="9">
        <f>'Exp. thermo'!I31</f>
        <v>0.26789701220187584</v>
      </c>
      <c r="G3" s="1" t="s">
        <v>262</v>
      </c>
      <c r="H3" s="9">
        <f>'Exp. thermo'!I40</f>
        <v>-0.54630055001699318</v>
      </c>
    </row>
    <row r="4" spans="1:8" x14ac:dyDescent="0.25">
      <c r="A4" s="11" t="s">
        <v>75</v>
      </c>
      <c r="B4" s="9">
        <f>'Exp. thermo'!I23</f>
        <v>0.47867785853567379</v>
      </c>
      <c r="D4" s="11" t="s">
        <v>97</v>
      </c>
      <c r="E4" s="9">
        <f>'Exp. thermo'!I32</f>
        <v>0.29818410104746923</v>
      </c>
      <c r="G4" s="1" t="s">
        <v>263</v>
      </c>
      <c r="H4" s="9">
        <f>'Exp. thermo'!I41</f>
        <v>-1.2747012833729843</v>
      </c>
    </row>
    <row r="5" spans="1:8" x14ac:dyDescent="0.25">
      <c r="A5" s="11" t="s">
        <v>76</v>
      </c>
      <c r="B5" s="9">
        <f>'Exp. thermo'!I24</f>
        <v>-1.6243128143442864E-2</v>
      </c>
      <c r="D5" s="2" t="s">
        <v>197</v>
      </c>
      <c r="E5" s="9">
        <f>'Exp. thermo'!I33</f>
        <v>0.51551829477751665</v>
      </c>
      <c r="G5" s="1" t="s">
        <v>271</v>
      </c>
      <c r="H5" s="9">
        <f>'Exp. thermo'!I42</f>
        <v>-0.67314358968766319</v>
      </c>
    </row>
    <row r="6" spans="1:8" x14ac:dyDescent="0.25">
      <c r="A6" s="11" t="s">
        <v>80</v>
      </c>
      <c r="B6" s="9">
        <f>'Exp. thermo'!I25</f>
        <v>1.3958231839585042E-2</v>
      </c>
      <c r="D6" s="2" t="s">
        <v>214</v>
      </c>
      <c r="E6" s="9">
        <f>'Exp. thermo'!I34</f>
        <v>0.25537517572180546</v>
      </c>
      <c r="G6" s="1" t="s">
        <v>275</v>
      </c>
      <c r="H6" s="9">
        <f>'Exp. thermo'!I43</f>
        <v>1.0281365400975973</v>
      </c>
    </row>
    <row r="7" spans="1:8" x14ac:dyDescent="0.25">
      <c r="A7" s="2" t="s">
        <v>98</v>
      </c>
      <c r="B7" s="9">
        <f>'Exp. thermo'!I26</f>
        <v>0.11890812746662772</v>
      </c>
      <c r="D7" s="2" t="s">
        <v>207</v>
      </c>
      <c r="E7" s="9">
        <f>'Exp. thermo'!I35</f>
        <v>0.13140633423696924</v>
      </c>
    </row>
    <row r="8" spans="1:8" x14ac:dyDescent="0.25">
      <c r="A8" s="2" t="s">
        <v>234</v>
      </c>
      <c r="B8" s="9">
        <f>'Exp. thermo'!I27</f>
        <v>0.21079982078212076</v>
      </c>
      <c r="D8" s="2" t="s">
        <v>215</v>
      </c>
      <c r="E8" s="9">
        <f>'Exp. thermo'!I36</f>
        <v>-0.29487364039750275</v>
      </c>
      <c r="G8" s="5" t="s">
        <v>366</v>
      </c>
      <c r="H8" s="17">
        <v>0.115625054</v>
      </c>
    </row>
    <row r="9" spans="1:8" x14ac:dyDescent="0.25">
      <c r="A9" s="2" t="s">
        <v>99</v>
      </c>
      <c r="B9" s="9">
        <f>'Exp. thermo'!I28</f>
        <v>0.30822274254895926</v>
      </c>
    </row>
    <row r="10" spans="1:8" x14ac:dyDescent="0.25">
      <c r="A10" s="2" t="s">
        <v>235</v>
      </c>
      <c r="B10" s="9">
        <f>'Exp. thermo'!I29</f>
        <v>0.33980303016313168</v>
      </c>
    </row>
    <row r="11" spans="1:8" ht="18" customHeight="1" x14ac:dyDescent="0.3">
      <c r="A11" s="80" t="s">
        <v>137</v>
      </c>
      <c r="B11" s="80"/>
      <c r="C11" s="80"/>
      <c r="D11" s="80"/>
      <c r="E11" s="80"/>
      <c r="F11" s="80"/>
    </row>
    <row r="12" spans="1:8" hidden="1" x14ac:dyDescent="0.25"/>
    <row r="13" spans="1:8" ht="15" hidden="1" customHeight="1" x14ac:dyDescent="0.25">
      <c r="A13" s="25" t="s">
        <v>73</v>
      </c>
    </row>
    <row r="14" spans="1:8" ht="15" hidden="1" customHeight="1" x14ac:dyDescent="0.25">
      <c r="B14" s="5" t="s">
        <v>4</v>
      </c>
      <c r="C14" s="5" t="s">
        <v>96</v>
      </c>
      <c r="D14" s="5" t="s">
        <v>11</v>
      </c>
    </row>
    <row r="15" spans="1:8" ht="15" hidden="1" customHeight="1" x14ac:dyDescent="0.25">
      <c r="A15" s="5" t="s">
        <v>10</v>
      </c>
      <c r="B15" s="10">
        <v>-1.1771435480339401</v>
      </c>
      <c r="C15" s="8">
        <v>-3.9E-2</v>
      </c>
      <c r="D15" s="2">
        <f>B15*27.2114+C15+'Exp. thermo'!$G$5/96.49</f>
        <v>-31.988642304733084</v>
      </c>
    </row>
    <row r="16" spans="1:8" ht="15" hidden="1" customHeight="1" x14ac:dyDescent="0.25">
      <c r="A16" s="5" t="s">
        <v>29</v>
      </c>
      <c r="B16" s="10">
        <v>-37.922756066077497</v>
      </c>
      <c r="C16" s="8">
        <v>-0.253</v>
      </c>
      <c r="D16" s="2">
        <f>B16*27.2114+C16+'Exp. thermo'!$G$5/96.49</f>
        <v>-1032.1022027782235</v>
      </c>
    </row>
    <row r="17" spans="1:6" ht="15" hidden="1" customHeight="1" x14ac:dyDescent="0.25">
      <c r="A17" s="5" t="s">
        <v>30</v>
      </c>
      <c r="B17" s="10">
        <v>-17.2946955359131</v>
      </c>
      <c r="C17" s="8">
        <v>9.4E-2</v>
      </c>
      <c r="D17" s="2">
        <f>B17*27.2114+C17+'Exp. thermo'!$G$5/96.49</f>
        <v>-470.43679646770806</v>
      </c>
    </row>
    <row r="18" spans="1:6" ht="15" hidden="1" customHeight="1" x14ac:dyDescent="0.25">
      <c r="A18" s="5" t="s">
        <v>9</v>
      </c>
      <c r="B18" s="10">
        <v>-58.735501479807802</v>
      </c>
      <c r="C18" s="8">
        <v>-1.2999999999999999E-2</v>
      </c>
      <c r="D18" s="2">
        <f>B18*27.2114+C18+'Exp. thermo'!$G$5/96.49</f>
        <v>-1598.2061433294043</v>
      </c>
    </row>
    <row r="19" spans="1:6" ht="15" hidden="1" customHeight="1" x14ac:dyDescent="0.25">
      <c r="A19" s="5" t="s">
        <v>49</v>
      </c>
      <c r="B19" s="10">
        <v>-42.679147793998197</v>
      </c>
      <c r="C19" s="8">
        <v>-0.128</v>
      </c>
      <c r="D19" s="2">
        <f>B19*27.2114+C19+'Exp. thermo'!$G$5/96.49</f>
        <v>-1161.4052806433649</v>
      </c>
    </row>
    <row r="20" spans="1:6" ht="15" hidden="1" customHeight="1" x14ac:dyDescent="0.25">
      <c r="A20" s="5" t="s">
        <v>48</v>
      </c>
      <c r="B20" s="10">
        <v>-46.016121910083903</v>
      </c>
      <c r="C20" s="8">
        <v>0.90400000000000003</v>
      </c>
      <c r="D20" s="2">
        <f>B20*27.2114+C20+'Exp. thermo'!$G$5/96.49</f>
        <v>-1251.1770181058196</v>
      </c>
    </row>
    <row r="21" spans="1:6" ht="15" hidden="1" customHeight="1" x14ac:dyDescent="0.25">
      <c r="A21" s="5" t="s">
        <v>93</v>
      </c>
      <c r="B21" s="10">
        <v>-62.091312941633298</v>
      </c>
      <c r="C21" s="8">
        <v>0.99199999999999999</v>
      </c>
      <c r="D21" s="2">
        <f>B21*27.2114+C21+'Exp. thermo'!$G$5/96.49</f>
        <v>-1688.5174713417227</v>
      </c>
    </row>
    <row r="22" spans="1:6" ht="15" hidden="1" customHeight="1" x14ac:dyDescent="0.25">
      <c r="A22" s="5" t="s">
        <v>94</v>
      </c>
      <c r="B22" s="10">
        <v>-74.861926934021994</v>
      </c>
      <c r="C22" s="8">
        <v>0.29099999999999998</v>
      </c>
      <c r="D22" s="2">
        <f>B22*27.2114+C22+'Exp. thermo'!$G$5/96.49</f>
        <v>-2036.7247569342085</v>
      </c>
    </row>
    <row r="23" spans="1:6" ht="15" hidden="1" customHeight="1" x14ac:dyDescent="0.25">
      <c r="A23" s="5" t="s">
        <v>95</v>
      </c>
      <c r="B23" s="10">
        <v>-117.21392104566701</v>
      </c>
      <c r="C23" s="8">
        <v>0.16900000000000001</v>
      </c>
      <c r="D23" s="2">
        <f>B23*27.2114+C23+'Exp. thermo'!$G$5/96.49</f>
        <v>-3189.303809503826</v>
      </c>
    </row>
    <row r="24" spans="1:6" ht="15" hidden="1" customHeight="1" x14ac:dyDescent="0.25">
      <c r="A24" s="5" t="s">
        <v>191</v>
      </c>
      <c r="B24" s="10">
        <v>-30.035509034753101</v>
      </c>
      <c r="C24" s="8">
        <v>-0.56200000000000006</v>
      </c>
      <c r="D24" s="2">
        <f>B24*27.2114+C24</f>
        <v>-817.87025054828064</v>
      </c>
    </row>
    <row r="25" spans="1:6" ht="15" hidden="1" customHeight="1" x14ac:dyDescent="0.25">
      <c r="A25" s="25"/>
    </row>
    <row r="26" spans="1:6" ht="15" hidden="1" customHeight="1" x14ac:dyDescent="0.25">
      <c r="A26" s="25" t="s">
        <v>77</v>
      </c>
    </row>
    <row r="27" spans="1:6" ht="15" hidden="1" customHeight="1" x14ac:dyDescent="0.25">
      <c r="A27" s="20" t="s">
        <v>12</v>
      </c>
      <c r="B27" s="21">
        <v>1</v>
      </c>
    </row>
    <row r="28" spans="1:6" ht="15" hidden="1" customHeight="1" x14ac:dyDescent="0.25">
      <c r="A28" s="2" t="s">
        <v>3</v>
      </c>
      <c r="B28" s="2">
        <v>576</v>
      </c>
    </row>
    <row r="29" spans="1:6" ht="15" hidden="1" customHeight="1" x14ac:dyDescent="0.25">
      <c r="A29" s="73" t="s">
        <v>82</v>
      </c>
      <c r="B29" s="74"/>
      <c r="C29" s="74"/>
      <c r="D29" s="74"/>
      <c r="E29" s="75"/>
    </row>
    <row r="30" spans="1:6" ht="15" hidden="1" customHeight="1" x14ac:dyDescent="0.25">
      <c r="A30" s="4" t="s">
        <v>1</v>
      </c>
      <c r="B30" s="4" t="s">
        <v>100</v>
      </c>
      <c r="C30" s="4" t="s">
        <v>0</v>
      </c>
      <c r="D30" s="5" t="s">
        <v>2</v>
      </c>
      <c r="E30" s="5" t="s">
        <v>4</v>
      </c>
      <c r="F30" s="4" t="s">
        <v>5</v>
      </c>
    </row>
    <row r="31" spans="1:6" ht="15" hidden="1" customHeight="1" x14ac:dyDescent="0.25">
      <c r="A31" s="7">
        <f>-C31*27.2114-4.66</f>
        <v>0.54237975329620003</v>
      </c>
      <c r="B31" s="7">
        <f>A31-0.0592*$B$27</f>
        <v>0.4831797532962</v>
      </c>
      <c r="C31" s="1">
        <v>-0.191183833</v>
      </c>
      <c r="D31" s="9">
        <v>576</v>
      </c>
      <c r="E31" s="8">
        <v>-3200.3137709428202</v>
      </c>
      <c r="F31" s="7">
        <f t="shared" ref="F31:F36" si="0">(E31-(D31-$B$28)*C31)*27.2114</f>
        <v>-87085.018146633462</v>
      </c>
    </row>
    <row r="32" spans="1:6" ht="15" hidden="1" customHeight="1" x14ac:dyDescent="0.25">
      <c r="A32" s="2">
        <v>0.8</v>
      </c>
      <c r="B32" s="7">
        <f t="shared" ref="B32:B36" si="1">A32-0.0592*$B$27</f>
        <v>0.74080000000000001</v>
      </c>
      <c r="C32" s="3">
        <f>-(A32+4.66)/27.2114</f>
        <v>-0.20065119765980433</v>
      </c>
      <c r="D32" s="9">
        <v>575.76733100000001</v>
      </c>
      <c r="E32" s="8">
        <v>-3200.2681853955</v>
      </c>
      <c r="F32" s="7">
        <f t="shared" si="0"/>
        <v>-87085.048072811114</v>
      </c>
    </row>
    <row r="33" spans="1:8" ht="15" hidden="1" customHeight="1" x14ac:dyDescent="0.25">
      <c r="A33" s="1">
        <v>0.4</v>
      </c>
      <c r="B33" s="7">
        <f t="shared" si="1"/>
        <v>0.34079999999999999</v>
      </c>
      <c r="C33" s="3">
        <f>-(A33+4.66)/27.2114</f>
        <v>-0.18595147621952565</v>
      </c>
      <c r="D33" s="9">
        <v>576.14489100000003</v>
      </c>
      <c r="E33" s="8">
        <v>-3200.34106939921</v>
      </c>
      <c r="F33" s="7">
        <f t="shared" si="0"/>
        <v>-87085.027827389669</v>
      </c>
    </row>
    <row r="34" spans="1:8" ht="15" hidden="1" customHeight="1" x14ac:dyDescent="0.25">
      <c r="A34" s="2">
        <v>0</v>
      </c>
      <c r="B34" s="7">
        <f t="shared" si="1"/>
        <v>-5.9200000000000003E-2</v>
      </c>
      <c r="C34" s="3">
        <f>-(A34+4.66)/27.2114</f>
        <v>-0.17125175477924692</v>
      </c>
      <c r="D34" s="9">
        <v>576.855232</v>
      </c>
      <c r="E34" s="8">
        <v>-3200.46719684962</v>
      </c>
      <c r="F34" s="7">
        <f t="shared" si="0"/>
        <v>-87085.207699233753</v>
      </c>
    </row>
    <row r="35" spans="1:8" ht="15" hidden="1" customHeight="1" x14ac:dyDescent="0.25">
      <c r="A35" s="1">
        <v>-0.4</v>
      </c>
      <c r="B35" s="7">
        <f t="shared" si="1"/>
        <v>-0.45920000000000005</v>
      </c>
      <c r="C35" s="3">
        <f>-(A35+4.66)/27.2114</f>
        <v>-0.15655203333896822</v>
      </c>
      <c r="D35" s="9">
        <v>578.07712000000004</v>
      </c>
      <c r="E35" s="8">
        <v>-3200.6694571689</v>
      </c>
      <c r="F35" s="7">
        <f t="shared" si="0"/>
        <v>-87085.848335605813</v>
      </c>
    </row>
    <row r="36" spans="1:8" ht="15" hidden="1" customHeight="1" x14ac:dyDescent="0.25">
      <c r="A36" s="2">
        <v>-0.8</v>
      </c>
      <c r="B36" s="7">
        <f t="shared" si="1"/>
        <v>-0.85920000000000007</v>
      </c>
      <c r="C36" s="3">
        <f>-(A36+4.66)/27.2114</f>
        <v>-0.14185231189868952</v>
      </c>
      <c r="D36" s="9">
        <v>578.76087800000005</v>
      </c>
      <c r="E36" s="8">
        <v>-3200.7716288745301</v>
      </c>
      <c r="F36" s="7">
        <f t="shared" si="0"/>
        <v>-87086.82011287639</v>
      </c>
    </row>
    <row r="37" spans="1:8" ht="15" hidden="1" customHeight="1" x14ac:dyDescent="0.25"/>
    <row r="38" spans="1:8" ht="15" hidden="1" customHeight="1" x14ac:dyDescent="0.25">
      <c r="A38" s="2" t="s">
        <v>3</v>
      </c>
      <c r="B38" s="2">
        <v>599</v>
      </c>
      <c r="C38" s="5" t="s">
        <v>96</v>
      </c>
      <c r="D38" s="2">
        <v>1.181</v>
      </c>
    </row>
    <row r="39" spans="1:8" ht="15" hidden="1" customHeight="1" x14ac:dyDescent="0.25">
      <c r="A39" s="73" t="s">
        <v>89</v>
      </c>
      <c r="B39" s="74"/>
      <c r="C39" s="74"/>
      <c r="D39" s="74"/>
      <c r="E39" s="74"/>
      <c r="F39" s="75"/>
      <c r="G39" s="2" t="s">
        <v>31</v>
      </c>
      <c r="H39" s="2" t="s">
        <v>32</v>
      </c>
    </row>
    <row r="40" spans="1:8" ht="15" hidden="1" customHeight="1" x14ac:dyDescent="0.25">
      <c r="A40" s="4" t="s">
        <v>1</v>
      </c>
      <c r="B40" s="4" t="s">
        <v>100</v>
      </c>
      <c r="C40" s="4" t="s">
        <v>0</v>
      </c>
      <c r="D40" s="5" t="s">
        <v>2</v>
      </c>
      <c r="E40" s="5" t="s">
        <v>4</v>
      </c>
      <c r="F40" s="4" t="s">
        <v>5</v>
      </c>
      <c r="G40" s="6" t="s">
        <v>7</v>
      </c>
      <c r="H40" s="6" t="s">
        <v>7</v>
      </c>
    </row>
    <row r="41" spans="1:8" ht="15" hidden="1" customHeight="1" x14ac:dyDescent="0.25">
      <c r="A41" s="7">
        <f>-C41*27.2114-4.66</f>
        <v>0.4561386360648001</v>
      </c>
      <c r="B41" s="7">
        <f>A41-0.0592*$B$27</f>
        <v>0.39693863606480007</v>
      </c>
      <c r="C41" s="1">
        <v>-0.18801453200000001</v>
      </c>
      <c r="D41" s="9">
        <v>599</v>
      </c>
      <c r="E41" s="8">
        <v>-3245.7255981431199</v>
      </c>
      <c r="F41" s="7">
        <f t="shared" ref="F41:F46" si="2">(E41-(D41-$B$38)*C41)*27.2114</f>
        <v>-88320.737541311697</v>
      </c>
      <c r="G41" s="79"/>
      <c r="H41" s="78"/>
    </row>
    <row r="42" spans="1:8" ht="15" hidden="1" customHeight="1" x14ac:dyDescent="0.25">
      <c r="A42" s="2">
        <v>0.8</v>
      </c>
      <c r="B42" s="7">
        <f>A42-0.0592*$B$27</f>
        <v>0.74080000000000001</v>
      </c>
      <c r="C42" s="3">
        <f>-(A42+4.66)/27.2114</f>
        <v>-0.20065119765980433</v>
      </c>
      <c r="D42" s="9">
        <v>598.68577500000004</v>
      </c>
      <c r="E42" s="8">
        <v>-3245.66443537941</v>
      </c>
      <c r="F42" s="7">
        <f t="shared" si="2"/>
        <v>-88320.78888538327</v>
      </c>
      <c r="G42" s="8">
        <f>(F42+$D$15/2-1*A42)-(F32+$D$20)+$B$6+$D$38-0.0592*$B$27</f>
        <v>-0.22235738685964521</v>
      </c>
      <c r="H42" s="8">
        <f>($F$41+$D$15/2-1*A42)-($F$31+$D$20)+$B$6+$D$38</f>
        <v>-0.14173949293920218</v>
      </c>
    </row>
    <row r="43" spans="1:8" ht="15" hidden="1" customHeight="1" x14ac:dyDescent="0.25">
      <c r="A43" s="1">
        <v>0.4</v>
      </c>
      <c r="B43" s="7">
        <f t="shared" ref="B43:B46" si="3">A43-0.0592*$B$27</f>
        <v>0.34079999999999999</v>
      </c>
      <c r="C43" s="3">
        <f>-(A43+4.66)/27.2114</f>
        <v>-0.18595147621952565</v>
      </c>
      <c r="D43" s="9">
        <v>599.05592200000001</v>
      </c>
      <c r="E43" s="8">
        <v>-3245.7359117409301</v>
      </c>
      <c r="F43" s="7">
        <f t="shared" si="2"/>
        <v>-88320.735223427153</v>
      </c>
      <c r="G43" s="8">
        <f>(F43+$D$15/2-1*A43)-(F33+$D$20)+$B$6+$D$38-0.0592*$B$27</f>
        <v>0.21105914782122795</v>
      </c>
      <c r="H43" s="8">
        <f>($F$41+$D$15/2-1*A43)-($F$31+$D$20)+$B$6+$D$38</f>
        <v>0.25826050706952897</v>
      </c>
    </row>
    <row r="44" spans="1:8" ht="15" hidden="1" customHeight="1" x14ac:dyDescent="0.25">
      <c r="A44" s="2">
        <v>0</v>
      </c>
      <c r="B44" s="7">
        <f t="shared" si="3"/>
        <v>-5.9200000000000003E-2</v>
      </c>
      <c r="C44" s="3">
        <f>-(A44+4.66)/27.2114</f>
        <v>-0.17125175477924692</v>
      </c>
      <c r="D44" s="9">
        <v>599.57251599999995</v>
      </c>
      <c r="E44" s="8">
        <v>-3245.8280111344002</v>
      </c>
      <c r="F44" s="7">
        <f t="shared" si="2"/>
        <v>-88320.856417622621</v>
      </c>
      <c r="G44" s="8">
        <f>(F44+$D$15/2-1*A44)-(F34+$D$20)+$B$6+$D$38-0.0592*$B$27</f>
        <v>0.66973679643154693</v>
      </c>
      <c r="H44" s="8">
        <f>($F$41+$D$15/2-1*A44)-($F$31+$D$20)+$B$6+$D$38</f>
        <v>0.6582605070637082</v>
      </c>
    </row>
    <row r="45" spans="1:8" ht="15" hidden="1" customHeight="1" x14ac:dyDescent="0.25">
      <c r="A45" s="1">
        <v>-0.4</v>
      </c>
      <c r="B45" s="7">
        <f t="shared" si="3"/>
        <v>-0.45920000000000005</v>
      </c>
      <c r="C45" s="3">
        <f>-(A45+4.66)/27.2114</f>
        <v>-0.15655203333896822</v>
      </c>
      <c r="D45" s="9">
        <v>600.64039400000001</v>
      </c>
      <c r="E45" s="8">
        <v>-3246.0027245205301</v>
      </c>
      <c r="F45" s="7">
        <f t="shared" si="2"/>
        <v>-88321.290459577955</v>
      </c>
      <c r="G45" s="8">
        <f>(F45+$D$15/2-1*A45)-(F35+$D$20)+$B$6+$D$38-0.0592*$B$27</f>
        <v>1.276331213151874</v>
      </c>
      <c r="H45" s="8">
        <f>($F$41+$D$15/2-1*A45)-($F$31+$D$20)+$B$6+$D$38</f>
        <v>1.0582605070578874</v>
      </c>
    </row>
    <row r="46" spans="1:8" ht="15" hidden="1" customHeight="1" x14ac:dyDescent="0.25">
      <c r="A46" s="2">
        <v>-0.8</v>
      </c>
      <c r="B46" s="7">
        <f t="shared" si="3"/>
        <v>-0.85920000000000007</v>
      </c>
      <c r="C46" s="3">
        <f>-(A46+4.66)/27.2114</f>
        <v>-0.14185231189868952</v>
      </c>
      <c r="D46" s="9">
        <v>601.49046999999996</v>
      </c>
      <c r="E46" s="8">
        <v>-3246.1296381921902</v>
      </c>
      <c r="F46" s="7">
        <f t="shared" si="2"/>
        <v>-88322.118822502962</v>
      </c>
      <c r="G46" s="8">
        <f>(F46+$D$15/2-1*A46)-(F36+$D$20)+$B$6+$D$38-0.0592*$B$27</f>
        <v>1.8197455587305138</v>
      </c>
      <c r="H46" s="8">
        <f>($F$41+$D$15/2-1*A46)-($F$31+$D$20)+$B$6+$D$38</f>
        <v>1.4582605070666186</v>
      </c>
    </row>
    <row r="47" spans="1:8" ht="15" hidden="1" customHeight="1" x14ac:dyDescent="0.25">
      <c r="C47" s="15"/>
    </row>
    <row r="48" spans="1:8" ht="15" hidden="1" customHeight="1" x14ac:dyDescent="0.25">
      <c r="A48" s="2" t="s">
        <v>3</v>
      </c>
      <c r="B48" s="2">
        <v>605</v>
      </c>
      <c r="C48" s="5" t="s">
        <v>96</v>
      </c>
      <c r="D48" s="2">
        <v>1.304</v>
      </c>
    </row>
    <row r="49" spans="1:8" ht="15" hidden="1" customHeight="1" x14ac:dyDescent="0.25">
      <c r="A49" s="73" t="s">
        <v>90</v>
      </c>
      <c r="B49" s="74"/>
      <c r="C49" s="74"/>
      <c r="D49" s="74"/>
      <c r="E49" s="74"/>
      <c r="F49" s="75"/>
      <c r="G49" s="2" t="s">
        <v>31</v>
      </c>
      <c r="H49" s="2" t="s">
        <v>32</v>
      </c>
    </row>
    <row r="50" spans="1:8" ht="15" hidden="1" customHeight="1" x14ac:dyDescent="0.25">
      <c r="A50" s="4" t="s">
        <v>1</v>
      </c>
      <c r="B50" s="4" t="s">
        <v>100</v>
      </c>
      <c r="C50" s="4" t="s">
        <v>0</v>
      </c>
      <c r="D50" s="5" t="s">
        <v>2</v>
      </c>
      <c r="E50" s="5" t="s">
        <v>4</v>
      </c>
      <c r="F50" s="4" t="s">
        <v>5</v>
      </c>
      <c r="G50" s="6" t="s">
        <v>7</v>
      </c>
      <c r="H50" s="6" t="s">
        <v>7</v>
      </c>
    </row>
    <row r="51" spans="1:8" ht="15" hidden="1" customHeight="1" x14ac:dyDescent="0.25">
      <c r="A51" s="7">
        <f>-C51*27.2114-4.66</f>
        <v>0.47733030294539969</v>
      </c>
      <c r="B51" s="7">
        <f>A51-0.0592*$B$27</f>
        <v>0.41813030294539966</v>
      </c>
      <c r="C51" s="1">
        <v>-0.18879331099999999</v>
      </c>
      <c r="D51" s="9">
        <v>605</v>
      </c>
      <c r="E51" s="8">
        <v>-3261.8029932999598</v>
      </c>
      <c r="F51" s="7">
        <f>(E51-(D51-$B$48)*C51)*27.2114</f>
        <v>-88758.225971882523</v>
      </c>
      <c r="G51" s="79"/>
      <c r="H51" s="78"/>
    </row>
    <row r="52" spans="1:8" ht="15" hidden="1" customHeight="1" x14ac:dyDescent="0.25">
      <c r="A52" s="2">
        <v>0.8</v>
      </c>
      <c r="B52" s="7">
        <f t="shared" ref="B52:B56" si="4">A52-0.0592*$B$27</f>
        <v>0.74080000000000001</v>
      </c>
      <c r="C52" s="3">
        <f>-(A52+4.66)/27.2114</f>
        <v>-0.20065119765980433</v>
      </c>
      <c r="D52" s="9">
        <v>604.70488999999998</v>
      </c>
      <c r="E52" s="8">
        <v>-3261.74561964024</v>
      </c>
      <c r="F52" s="7">
        <f t="shared" ref="F52:F56" si="5">(E52-(D52-$B$48)*C52)*27.2114</f>
        <v>-88758.276054878428</v>
      </c>
      <c r="G52" s="8">
        <f>(F52+$D$15/2-1*A52)-(F32+$D$21)+$B$7+$D$48-0.0592*$B$27</f>
        <v>-0.14112375049244949</v>
      </c>
      <c r="H52" s="8"/>
    </row>
    <row r="53" spans="1:8" ht="15" hidden="1" customHeight="1" x14ac:dyDescent="0.25">
      <c r="A53" s="1">
        <v>0.4</v>
      </c>
      <c r="B53" s="7">
        <f t="shared" si="4"/>
        <v>0.34079999999999999</v>
      </c>
      <c r="C53" s="3">
        <f>-(A53+4.66)/27.2114</f>
        <v>-0.18595147621952565</v>
      </c>
      <c r="D53" s="9">
        <v>605.12321299999996</v>
      </c>
      <c r="E53" s="8">
        <v>-3261.82388561469</v>
      </c>
      <c r="F53" s="7">
        <f t="shared" si="5"/>
        <v>-88758.171023235584</v>
      </c>
      <c r="G53" s="8">
        <f>(F53+$D$15/2-1*A53)-(F33+$D$21)+$B$7+$D$48-0.0592*$B$27</f>
        <v>0.34366247091583568</v>
      </c>
      <c r="H53" s="8"/>
    </row>
    <row r="54" spans="1:8" ht="15" hidden="1" customHeight="1" x14ac:dyDescent="0.25">
      <c r="A54" s="2">
        <v>0</v>
      </c>
      <c r="B54" s="7">
        <f t="shared" si="4"/>
        <v>-5.9200000000000003E-2</v>
      </c>
      <c r="C54" s="3">
        <f>-(A54+4.66)/27.2114</f>
        <v>-0.17125175477924692</v>
      </c>
      <c r="D54" s="9">
        <v>605.59546499999999</v>
      </c>
      <c r="E54" s="8">
        <v>-3261.90824098652</v>
      </c>
      <c r="F54" s="7">
        <f t="shared" si="5"/>
        <v>-88758.315041880589</v>
      </c>
      <c r="G54" s="8">
        <f>(F54+$D$15/2-1*A54)-(F34+$D$21)+$B$7+$D$48-0.0592*$B$27</f>
        <v>0.77951566998871635</v>
      </c>
      <c r="H54" s="8"/>
    </row>
    <row r="55" spans="1:8" ht="15" hidden="1" customHeight="1" x14ac:dyDescent="0.25">
      <c r="A55" s="1">
        <v>-0.4</v>
      </c>
      <c r="B55" s="7">
        <f t="shared" si="4"/>
        <v>-0.45920000000000005</v>
      </c>
      <c r="C55" s="3">
        <f>-(A55+4.66)/27.2114</f>
        <v>-0.15655203333896822</v>
      </c>
      <c r="D55" s="9">
        <v>606.66763800000001</v>
      </c>
      <c r="E55" s="8">
        <v>-3262.08464545576</v>
      </c>
      <c r="F55" s="7">
        <f t="shared" si="5"/>
        <v>-88758.785983474867</v>
      </c>
      <c r="G55" s="8">
        <f>(F55+$D$15/2-1*A55)-(F35+$D$21)+$B$7+$D$48-0.0592*$B$27</f>
        <v>1.349210447764738</v>
      </c>
      <c r="H55" s="8"/>
    </row>
    <row r="56" spans="1:8" ht="15" hidden="1" customHeight="1" x14ac:dyDescent="0.25">
      <c r="A56" s="2">
        <v>-0.8</v>
      </c>
      <c r="B56" s="7">
        <f t="shared" si="4"/>
        <v>-0.85920000000000007</v>
      </c>
      <c r="C56" s="3">
        <f>-(A56+4.66)/27.2114</f>
        <v>-0.14185231189868952</v>
      </c>
      <c r="D56" s="9">
        <v>607.59306500000002</v>
      </c>
      <c r="E56" s="8">
        <v>-3262.2215557302202</v>
      </c>
      <c r="F56" s="7">
        <f t="shared" si="5"/>
        <v>-88759.606410697321</v>
      </c>
      <c r="G56" s="8">
        <f>(F56+$D$15/2-1*A56)-(F36+$D$21)+$B$7+$D$48-0.0592*$B$27</f>
        <v>1.9005604958967459</v>
      </c>
      <c r="H56" s="8"/>
    </row>
    <row r="57" spans="1:8" ht="15" hidden="1" customHeight="1" x14ac:dyDescent="0.25"/>
    <row r="58" spans="1:8" ht="15" hidden="1" customHeight="1" x14ac:dyDescent="0.25">
      <c r="A58" s="2" t="s">
        <v>3</v>
      </c>
      <c r="B58" s="2">
        <v>611</v>
      </c>
      <c r="C58" s="5" t="s">
        <v>96</v>
      </c>
      <c r="D58" s="2">
        <v>0.63200000000000001</v>
      </c>
    </row>
    <row r="59" spans="1:8" ht="15" hidden="1" customHeight="1" x14ac:dyDescent="0.25">
      <c r="A59" s="73" t="s">
        <v>92</v>
      </c>
      <c r="B59" s="74"/>
      <c r="C59" s="74"/>
      <c r="D59" s="74"/>
      <c r="E59" s="74"/>
      <c r="F59" s="75"/>
      <c r="G59" s="2" t="s">
        <v>31</v>
      </c>
      <c r="H59" s="2" t="s">
        <v>32</v>
      </c>
    </row>
    <row r="60" spans="1:8" ht="15" hidden="1" customHeight="1" x14ac:dyDescent="0.25">
      <c r="A60" s="4" t="s">
        <v>1</v>
      </c>
      <c r="B60" s="4" t="s">
        <v>100</v>
      </c>
      <c r="C60" s="4" t="s">
        <v>0</v>
      </c>
      <c r="D60" s="5" t="s">
        <v>2</v>
      </c>
      <c r="E60" s="5" t="s">
        <v>4</v>
      </c>
      <c r="F60" s="4" t="s">
        <v>5</v>
      </c>
      <c r="G60" s="6" t="s">
        <v>7</v>
      </c>
      <c r="H60" s="6" t="s">
        <v>7</v>
      </c>
    </row>
    <row r="61" spans="1:8" ht="15" hidden="1" customHeight="1" x14ac:dyDescent="0.25">
      <c r="A61" s="7">
        <f>-C61*27.2114-4.66</f>
        <v>0.60825055254460025</v>
      </c>
      <c r="B61" s="7">
        <f>A61-0.0592*$B$27</f>
        <v>0.54905055254460022</v>
      </c>
      <c r="C61" s="1">
        <v>-0.19360453899999999</v>
      </c>
      <c r="D61" s="9">
        <v>611</v>
      </c>
      <c r="E61" s="8">
        <v>-3274.5671011371201</v>
      </c>
      <c r="F61" s="7">
        <f>(E61-(D61-$B$58)*C61)*27.2114</f>
        <v>-89105.555215882632</v>
      </c>
      <c r="G61" s="79"/>
      <c r="H61" s="78"/>
    </row>
    <row r="62" spans="1:8" ht="15" hidden="1" customHeight="1" x14ac:dyDescent="0.25">
      <c r="A62" s="2">
        <v>0.8</v>
      </c>
      <c r="B62" s="7">
        <f t="shared" ref="B62:B66" si="6">A62-0.0592*$B$27</f>
        <v>0.74080000000000001</v>
      </c>
      <c r="C62" s="3">
        <f>-(A62+4.66)/27.2114</f>
        <v>-0.20065119765980433</v>
      </c>
      <c r="D62" s="9">
        <v>610.84662700000001</v>
      </c>
      <c r="E62" s="8">
        <v>-3274.5368706307299</v>
      </c>
      <c r="F62" s="7">
        <f>(E62-(D62-$B$58)*C62)*27.2114</f>
        <v>-89105.570018061044</v>
      </c>
      <c r="G62" s="8">
        <f>(F62+$D$15/2-1*A62)-(F32+$D$22)+$B$9+$D$58-0.0592*$B$27</f>
        <v>0.28951327446673714</v>
      </c>
      <c r="H62" s="8"/>
    </row>
    <row r="63" spans="1:8" ht="15" hidden="1" customHeight="1" x14ac:dyDescent="0.25">
      <c r="A63" s="1">
        <v>0.4</v>
      </c>
      <c r="B63" s="7">
        <f t="shared" si="6"/>
        <v>0.34079999999999999</v>
      </c>
      <c r="C63" s="3">
        <f>-(A63+4.66)/27.2114</f>
        <v>-0.18595147621952565</v>
      </c>
      <c r="D63" s="9">
        <v>611.17176300000006</v>
      </c>
      <c r="E63" s="8">
        <v>-3274.5996876590998</v>
      </c>
      <c r="F63" s="7">
        <f>(E63-(D63-$B$58)*C63)*27.2114</f>
        <v>-89105.572819986832</v>
      </c>
      <c r="G63" s="8">
        <f>(F63+$D$15/2-1*A63)-(F33+$D$22)+$B$9+$D$58-0.0592*$B$27</f>
        <v>0.66646592724253606</v>
      </c>
      <c r="H63" s="8"/>
    </row>
    <row r="64" spans="1:8" ht="15" hidden="1" customHeight="1" x14ac:dyDescent="0.25">
      <c r="A64" s="2">
        <v>0</v>
      </c>
      <c r="B64" s="7">
        <f t="shared" si="6"/>
        <v>-5.9200000000000003E-2</v>
      </c>
      <c r="C64" s="3">
        <f>-(A64+4.66)/27.2114</f>
        <v>-0.17125175477924692</v>
      </c>
      <c r="D64" s="9">
        <v>611.60119399999996</v>
      </c>
      <c r="E64" s="8">
        <v>-3274.6763684097</v>
      </c>
      <c r="F64" s="7">
        <f>(E64-(D64-$B$58)*C64)*27.2114</f>
        <v>-89105.726967303723</v>
      </c>
      <c r="G64" s="8">
        <f>(F64+$D$15/2-1*A64)-(F34+$D$22)+$B$9+$D$58-0.0592*$B$27</f>
        <v>1.0921904544299486</v>
      </c>
      <c r="H64" s="8"/>
    </row>
    <row r="65" spans="1:8" ht="15" hidden="1" customHeight="1" x14ac:dyDescent="0.25">
      <c r="A65" s="1">
        <v>-0.4</v>
      </c>
      <c r="B65" s="7">
        <f t="shared" si="6"/>
        <v>-0.45920000000000005</v>
      </c>
      <c r="C65" s="3">
        <f>-(A65+4.66)/27.2114</f>
        <v>-0.15655203333896822</v>
      </c>
      <c r="D65" s="9">
        <v>612.416785</v>
      </c>
      <c r="E65" s="8">
        <v>-3274.80927951582</v>
      </c>
      <c r="F65" s="7">
        <f>(E65-(D65-$B$58)*C65)*27.2114</f>
        <v>-89106.109724516791</v>
      </c>
      <c r="G65" s="8">
        <f>(F65+$D$15/2-1*A65)-(F35+$D$22)+$B$9+$D$58-0.0592*$B$27</f>
        <v>1.7500696134154003</v>
      </c>
      <c r="H65" s="8"/>
    </row>
    <row r="66" spans="1:8" ht="15" hidden="1" customHeight="1" x14ac:dyDescent="0.25">
      <c r="A66" s="2">
        <v>-0.8</v>
      </c>
      <c r="B66" s="7">
        <f t="shared" si="6"/>
        <v>-0.85920000000000007</v>
      </c>
      <c r="C66" s="3">
        <f>-(A66+4.66)/27.2114</f>
        <v>-0.14185231189868952</v>
      </c>
      <c r="D66" s="9">
        <v>613.47571000000005</v>
      </c>
      <c r="E66" s="8">
        <v>-3274.9674862244201</v>
      </c>
      <c r="F66" s="7">
        <f t="shared" ref="F66" si="7">(E66-(D66-$B$58)*C66)*27.2114</f>
        <v>-89106.894014047182</v>
      </c>
      <c r="G66" s="8">
        <f>(F66+$D$15/2-1*A66)-(F36+$D$22)+$B$9+$D$58-0.0592*$B$27</f>
        <v>2.3375573536101744</v>
      </c>
      <c r="H66" s="8"/>
    </row>
    <row r="67" spans="1:8" ht="15" hidden="1" customHeight="1" x14ac:dyDescent="0.25"/>
    <row r="68" spans="1:8" ht="15" hidden="1" customHeight="1" x14ac:dyDescent="0.25">
      <c r="A68" s="2" t="s">
        <v>3</v>
      </c>
      <c r="B68" s="2">
        <v>617</v>
      </c>
      <c r="C68" s="5" t="s">
        <v>96</v>
      </c>
      <c r="D68" s="2">
        <v>0.48499999999999999</v>
      </c>
    </row>
    <row r="69" spans="1:8" ht="15" hidden="1" customHeight="1" x14ac:dyDescent="0.25">
      <c r="A69" s="73" t="s">
        <v>91</v>
      </c>
      <c r="B69" s="74"/>
      <c r="C69" s="74"/>
      <c r="D69" s="74"/>
      <c r="E69" s="74"/>
      <c r="F69" s="75"/>
      <c r="G69" s="2" t="s">
        <v>31</v>
      </c>
      <c r="H69" s="2" t="s">
        <v>32</v>
      </c>
    </row>
    <row r="70" spans="1:8" ht="15" hidden="1" customHeight="1" x14ac:dyDescent="0.25">
      <c r="A70" s="4" t="s">
        <v>1</v>
      </c>
      <c r="B70" s="4" t="s">
        <v>100</v>
      </c>
      <c r="C70" s="4" t="s">
        <v>0</v>
      </c>
      <c r="D70" s="5" t="s">
        <v>2</v>
      </c>
      <c r="E70" s="5" t="s">
        <v>4</v>
      </c>
      <c r="F70" s="4" t="s">
        <v>5</v>
      </c>
      <c r="G70" s="6" t="s">
        <v>7</v>
      </c>
      <c r="H70" s="6" t="s">
        <v>7</v>
      </c>
    </row>
    <row r="71" spans="1:8" ht="15" hidden="1" customHeight="1" x14ac:dyDescent="0.25">
      <c r="A71" s="7">
        <f>-C71*27.2114-4.66</f>
        <v>0.7049644396597996</v>
      </c>
      <c r="B71" s="7">
        <f>A71-0.0592*$B$27</f>
        <v>0.64576443965979957</v>
      </c>
      <c r="C71" s="1">
        <v>-0.19715870699999999</v>
      </c>
      <c r="D71" s="9">
        <v>617</v>
      </c>
      <c r="E71" s="8">
        <v>-3316.91973466133</v>
      </c>
      <c r="F71" s="7">
        <f t="shared" ref="F71:F76" si="8">(E71-(D71-$B$68)*C71)*27.2114</f>
        <v>-90258.029667763316</v>
      </c>
      <c r="G71" s="79"/>
      <c r="H71" s="78"/>
    </row>
    <row r="72" spans="1:8" ht="15" hidden="1" customHeight="1" x14ac:dyDescent="0.25">
      <c r="A72" s="2">
        <v>0.8</v>
      </c>
      <c r="B72" s="7">
        <f t="shared" ref="B72:B76" si="9">A72-0.0592*$B$27</f>
        <v>0.74080000000000001</v>
      </c>
      <c r="C72" s="3">
        <f>-(A72+4.66)/27.2114</f>
        <v>-0.20065119765980433</v>
      </c>
      <c r="D72" s="9">
        <v>616.91318799999999</v>
      </c>
      <c r="E72" s="8">
        <v>-3316.9024622327101</v>
      </c>
      <c r="F72" s="7">
        <f t="shared" si="8"/>
        <v>-90258.033654319181</v>
      </c>
      <c r="G72" s="8">
        <f>(F72+$D$15/2-1*A72)-(F32+$D$23)+$E$4+$D$68-0.0592*$B$27</f>
        <v>0.24789094443499102</v>
      </c>
      <c r="H72" s="8">
        <f>($F$71+$D$15/2-1*A72)-($F$31+$D$23)+$E$4+$D$68</f>
        <v>0.2811513226470071</v>
      </c>
    </row>
    <row r="73" spans="1:8" ht="15" hidden="1" customHeight="1" x14ac:dyDescent="0.25">
      <c r="A73" s="1">
        <v>0.4</v>
      </c>
      <c r="B73" s="7">
        <f t="shared" si="9"/>
        <v>0.34079999999999999</v>
      </c>
      <c r="C73" s="3">
        <f>-(A73+4.66)/27.2114</f>
        <v>-0.18595147621952565</v>
      </c>
      <c r="D73" s="9">
        <v>617.26429900000005</v>
      </c>
      <c r="E73" s="8">
        <v>-3316.9703579434499</v>
      </c>
      <c r="F73" s="7">
        <f t="shared" si="8"/>
        <v>-90258.069845202393</v>
      </c>
      <c r="G73" s="8">
        <f>(F73+$D$15/2-1*A73)-(F33+$D$23)+$E$4+$D$68-0.0592*$B$27</f>
        <v>0.59145463978588564</v>
      </c>
      <c r="H73" s="8">
        <f>($F$71+$D$15/2-1*A73)-($F$31+$D$23)+$E$4+$D$68</f>
        <v>0.68115132265573819</v>
      </c>
    </row>
    <row r="74" spans="1:8" ht="15" hidden="1" customHeight="1" x14ac:dyDescent="0.25">
      <c r="A74" s="2">
        <v>0</v>
      </c>
      <c r="B74" s="7">
        <f t="shared" si="9"/>
        <v>-5.9200000000000003E-2</v>
      </c>
      <c r="C74" s="3">
        <f t="shared" ref="C74:C76" si="10">-(A74+4.66)/27.2114</f>
        <v>-0.17125175477924692</v>
      </c>
      <c r="D74" s="9">
        <v>617.70975199999998</v>
      </c>
      <c r="E74" s="8">
        <v>-3317.0497309555999</v>
      </c>
      <c r="F74" s="7">
        <f t="shared" si="8"/>
        <v>-90258.25960460522</v>
      </c>
      <c r="G74" s="8">
        <f>(F74+$D$15/2-1*A74)-(F34+$D$23)+$E$4+$D$68-0.0592*$B$27</f>
        <v>0.98156708103728951</v>
      </c>
      <c r="H74" s="8">
        <f>($F$71+$D$15/2-1*A74)-($F$31+$D$23)+$E$4+$D$68</f>
        <v>1.0811513226499176</v>
      </c>
    </row>
    <row r="75" spans="1:8" ht="15" hidden="1" customHeight="1" x14ac:dyDescent="0.25">
      <c r="A75" s="1">
        <v>-0.4</v>
      </c>
      <c r="B75" s="7">
        <f t="shared" si="9"/>
        <v>-0.45920000000000005</v>
      </c>
      <c r="C75" s="3">
        <f t="shared" si="10"/>
        <v>-0.15655203333896822</v>
      </c>
      <c r="D75" s="9">
        <v>618.57401100000004</v>
      </c>
      <c r="E75" s="8">
        <v>-3317.19044485523</v>
      </c>
      <c r="F75" s="7">
        <f t="shared" si="8"/>
        <v>-90258.690784273611</v>
      </c>
      <c r="G75" s="8">
        <f>(F75+$D$15/2-1*A75)-(F35+$D$23)+$E$4+$D$68-0.0592*$B$27</f>
        <v>1.591023784700744</v>
      </c>
      <c r="H75" s="8">
        <f>($F$71+$D$15/2-1*A75)-($F$31+$D$23)+$E$4+$D$68</f>
        <v>1.4811513226440969</v>
      </c>
    </row>
    <row r="76" spans="1:8" ht="15" hidden="1" customHeight="1" x14ac:dyDescent="0.25">
      <c r="A76" s="2">
        <v>-0.8</v>
      </c>
      <c r="B76" s="7">
        <f t="shared" si="9"/>
        <v>-0.85920000000000007</v>
      </c>
      <c r="C76" s="3">
        <f t="shared" si="10"/>
        <v>-0.14185231189868952</v>
      </c>
      <c r="D76" s="9">
        <v>619.66323999999997</v>
      </c>
      <c r="E76" s="8">
        <v>-3317.3530859622101</v>
      </c>
      <c r="F76" s="7">
        <f t="shared" si="8"/>
        <v>-90259.541656952089</v>
      </c>
      <c r="G76" s="8">
        <f>(F76+$D$15/2-1*A76)-(F36+$D$23)+$E$4+$D$68-0.0592*$B$27</f>
        <v>2.1119283768081432</v>
      </c>
      <c r="H76" s="8">
        <f>($F$71+$D$15/2-1*A76)-($F$31+$D$23)+$E$4+$D$68</f>
        <v>1.881151322652828</v>
      </c>
    </row>
    <row r="77" spans="1:8" ht="15" hidden="1" customHeight="1" x14ac:dyDescent="0.25"/>
    <row r="78" spans="1:8" ht="15" hidden="1" customHeight="1" x14ac:dyDescent="0.25">
      <c r="A78" s="5" t="s">
        <v>3</v>
      </c>
      <c r="B78" s="2">
        <v>599</v>
      </c>
      <c r="C78" s="5" t="s">
        <v>96</v>
      </c>
      <c r="D78" s="2">
        <v>0.625</v>
      </c>
    </row>
    <row r="79" spans="1:8" ht="15" hidden="1" customHeight="1" x14ac:dyDescent="0.25">
      <c r="A79" s="73" t="s">
        <v>101</v>
      </c>
      <c r="B79" s="74"/>
      <c r="C79" s="74"/>
      <c r="D79" s="74"/>
      <c r="E79" s="74"/>
      <c r="F79" s="75"/>
      <c r="G79" s="2" t="s">
        <v>31</v>
      </c>
      <c r="H79" s="2" t="s">
        <v>32</v>
      </c>
    </row>
    <row r="80" spans="1:8" ht="15" hidden="1" customHeight="1" x14ac:dyDescent="0.25">
      <c r="A80" s="4" t="s">
        <v>1</v>
      </c>
      <c r="B80" s="4" t="s">
        <v>100</v>
      </c>
      <c r="C80" s="4" t="s">
        <v>0</v>
      </c>
      <c r="D80" s="5" t="s">
        <v>2</v>
      </c>
      <c r="E80" s="5" t="s">
        <v>4</v>
      </c>
      <c r="F80" s="4" t="s">
        <v>5</v>
      </c>
      <c r="G80" s="6" t="s">
        <v>7</v>
      </c>
      <c r="H80" s="6" t="s">
        <v>7</v>
      </c>
    </row>
    <row r="81" spans="1:8" ht="15" hidden="1" customHeight="1" x14ac:dyDescent="0.25">
      <c r="A81" s="7">
        <f>-C81*27.2114-4.66</f>
        <v>0.51977352899800078</v>
      </c>
      <c r="B81" s="7">
        <f>A81-0.0592*$B$27</f>
        <v>0.46057352899800075</v>
      </c>
      <c r="C81" s="1">
        <v>-0.19035307000000001</v>
      </c>
      <c r="D81" s="9">
        <v>599</v>
      </c>
      <c r="E81" s="8">
        <v>-3254.9141755637202</v>
      </c>
      <c r="F81" s="7">
        <f>(E81-(D81-$B$78)*C81)*27.2114</f>
        <v>-88570.771596934617</v>
      </c>
      <c r="G81" s="79"/>
      <c r="H81" s="78"/>
    </row>
    <row r="82" spans="1:8" ht="15" hidden="1" customHeight="1" x14ac:dyDescent="0.25">
      <c r="A82" s="2">
        <v>0.8</v>
      </c>
      <c r="B82" s="7">
        <f t="shared" ref="B82:B84" si="11">A82-0.0592*$B$27</f>
        <v>0.74080000000000001</v>
      </c>
      <c r="C82" s="3">
        <f>-(A82+4.66)/27.2114</f>
        <v>-0.20065119765980433</v>
      </c>
      <c r="D82" s="9">
        <v>598.744373</v>
      </c>
      <c r="E82" s="8">
        <v>-3254.8642139678</v>
      </c>
      <c r="F82" s="7">
        <f>(E82-(D82-$B$78)*C82)*27.2114</f>
        <v>-88570.8077953834</v>
      </c>
      <c r="G82" s="8">
        <f>(F82+$D$15/2-1*A82)-(F32+$D$16+$D$17)+$B$2+$D$78-0.0592*$B$27</f>
        <v>0.32550182964866936</v>
      </c>
      <c r="H82" s="8"/>
    </row>
    <row r="83" spans="1:8" ht="15" hidden="1" customHeight="1" x14ac:dyDescent="0.25">
      <c r="A83" s="1">
        <v>0.4</v>
      </c>
      <c r="B83" s="7">
        <f t="shared" si="11"/>
        <v>0.34079999999999999</v>
      </c>
      <c r="C83" s="3">
        <f>-(A83+4.66)/27.2114</f>
        <v>-0.18595147621952565</v>
      </c>
      <c r="D83" s="9">
        <v>599.12167399999998</v>
      </c>
      <c r="E83" s="8">
        <v>-3254.9370628104898</v>
      </c>
      <c r="F83" s="7">
        <f>(E83-(D83-$B$78)*C83)*27.2114</f>
        <v>-88570.778720521368</v>
      </c>
      <c r="G83" s="8">
        <f>(F83+$D$15/2-1*A83)-(F33+$D$16+$D$17)+$B$2+$D$78-0.0592*$B$27</f>
        <v>0.73433127024425149</v>
      </c>
      <c r="H83" s="8"/>
    </row>
    <row r="84" spans="1:8" ht="15" hidden="1" customHeight="1" x14ac:dyDescent="0.25">
      <c r="A84" s="2">
        <v>0</v>
      </c>
      <c r="B84" s="7">
        <f t="shared" si="11"/>
        <v>-5.9200000000000003E-2</v>
      </c>
      <c r="C84" s="3">
        <f>-(A84+4.66)/27.2114</f>
        <v>-0.17125175477924692</v>
      </c>
      <c r="D84" s="9">
        <v>599.65281100000004</v>
      </c>
      <c r="E84" s="8">
        <v>-3255.0317154828599</v>
      </c>
      <c r="F84" s="7">
        <f>(E84-(D84-$B$78)*C84)*27.2114</f>
        <v>-88570.927923430296</v>
      </c>
      <c r="G84" s="8">
        <f>(F84+$D$15/2-1*A84)-(F34+$D$16+$D$17)+$B$2+$D$78-0.0592*$B$27</f>
        <v>1.1650002053948583</v>
      </c>
      <c r="H84" s="8"/>
    </row>
    <row r="85" spans="1:8" ht="15" hidden="1" customHeight="1" x14ac:dyDescent="0.25">
      <c r="C85" s="15"/>
    </row>
    <row r="86" spans="1:8" ht="15" hidden="1" customHeight="1" x14ac:dyDescent="0.25"/>
    <row r="87" spans="1:8" ht="15" hidden="1" customHeight="1" x14ac:dyDescent="0.25">
      <c r="A87" s="2" t="s">
        <v>3</v>
      </c>
      <c r="B87" s="2">
        <v>598</v>
      </c>
      <c r="C87" s="5" t="s">
        <v>96</v>
      </c>
      <c r="D87" s="2">
        <v>0.313</v>
      </c>
    </row>
    <row r="88" spans="1:8" ht="15" hidden="1" customHeight="1" x14ac:dyDescent="0.25">
      <c r="A88" s="73" t="s">
        <v>102</v>
      </c>
      <c r="B88" s="74"/>
      <c r="C88" s="74"/>
      <c r="D88" s="74"/>
      <c r="E88" s="74"/>
      <c r="F88" s="75"/>
      <c r="G88" s="2" t="s">
        <v>31</v>
      </c>
      <c r="H88" s="2" t="s">
        <v>32</v>
      </c>
    </row>
    <row r="89" spans="1:8" ht="15" hidden="1" customHeight="1" x14ac:dyDescent="0.25">
      <c r="A89" s="4" t="s">
        <v>1</v>
      </c>
      <c r="B89" s="4" t="s">
        <v>100</v>
      </c>
      <c r="C89" s="4" t="s">
        <v>0</v>
      </c>
      <c r="D89" s="5" t="s">
        <v>2</v>
      </c>
      <c r="E89" s="5" t="s">
        <v>4</v>
      </c>
      <c r="F89" s="4" t="s">
        <v>5</v>
      </c>
      <c r="G89" s="6" t="s">
        <v>7</v>
      </c>
      <c r="H89" s="6" t="s">
        <v>7</v>
      </c>
    </row>
    <row r="90" spans="1:8" ht="15" hidden="1" customHeight="1" x14ac:dyDescent="0.25">
      <c r="A90" s="7">
        <f>-C90*27.2114-4.66</f>
        <v>1.1258807696146</v>
      </c>
      <c r="B90" s="7">
        <f>A90-0.0592*$B$27</f>
        <v>1.0666807696146001</v>
      </c>
      <c r="C90" s="1">
        <v>-0.21262708899999999</v>
      </c>
      <c r="D90" s="9">
        <v>598</v>
      </c>
      <c r="E90" s="8">
        <v>-3254.27962694181</v>
      </c>
      <c r="F90" s="7">
        <f>(E90-(D90-$B$87)*C90)*27.2114</f>
        <v>-88553.504640564366</v>
      </c>
      <c r="G90" s="79"/>
      <c r="H90" s="78"/>
    </row>
    <row r="91" spans="1:8" ht="15" hidden="1" customHeight="1" x14ac:dyDescent="0.25">
      <c r="A91" s="2">
        <v>0.8</v>
      </c>
      <c r="B91" s="7">
        <f t="shared" ref="B91:B93" si="12">A91-0.0592*$B$27</f>
        <v>0.74080000000000001</v>
      </c>
      <c r="C91" s="3">
        <f>-(A91+4.66)/27.2114</f>
        <v>-0.20065119765980433</v>
      </c>
      <c r="D91" s="9">
        <v>598.33993199999998</v>
      </c>
      <c r="E91" s="8">
        <v>-3254.3499023392201</v>
      </c>
      <c r="F91" s="7">
        <f>(E91-(D91-$B$87)*C91)*27.2114</f>
        <v>-88553.560903793448</v>
      </c>
      <c r="G91" s="8">
        <f>(F91+$D$15-2*A91)-(F32+$D$16+$D$17)+$B$3+$D$87-0.0592*$B$27</f>
        <v>-0.1428991251016363</v>
      </c>
      <c r="H91" s="8"/>
    </row>
    <row r="92" spans="1:8" ht="15" hidden="1" customHeight="1" x14ac:dyDescent="0.25">
      <c r="A92" s="1">
        <v>0.4</v>
      </c>
      <c r="B92" s="7">
        <f t="shared" si="12"/>
        <v>0.34079999999999999</v>
      </c>
      <c r="C92" s="3">
        <f>-(A92+4.66)/27.2114</f>
        <v>-0.18595147621952565</v>
      </c>
      <c r="D92" s="9">
        <v>598.75075800000002</v>
      </c>
      <c r="E92" s="8">
        <v>-3254.4293016042402</v>
      </c>
      <c r="F92" s="7">
        <f>(E92-(D92-$B$87)*C92)*27.2114</f>
        <v>-88553.778662193625</v>
      </c>
      <c r="G92" s="8">
        <f>(F92+$D$15-2*A92)-(F33+$D$16+$D$17)+$B$3+$D$87-0.0592*$B$27</f>
        <v>0.41909705327974156</v>
      </c>
      <c r="H92" s="8"/>
    </row>
    <row r="93" spans="1:8" ht="15" hidden="1" customHeight="1" x14ac:dyDescent="0.25">
      <c r="A93" s="2">
        <v>0</v>
      </c>
      <c r="B93" s="7">
        <f t="shared" si="12"/>
        <v>-5.9200000000000003E-2</v>
      </c>
      <c r="C93" s="3">
        <f>-(A93+4.66)/27.2114</f>
        <v>-0.17125175477924692</v>
      </c>
      <c r="D93" s="9">
        <v>599.27680399999997</v>
      </c>
      <c r="E93" s="8">
        <v>-3254.5230375818901</v>
      </c>
      <c r="F93" s="7">
        <f t="shared" ref="F93" si="13">(E93-(D93-$B$87)*C93)*27.2114</f>
        <v>-88554.178278215841</v>
      </c>
      <c r="G93" s="8">
        <f>(F93+$D$15-2*A93)-(F34+$D$16+$D$17)+$B$3+$D$87-0.0592*$B$27</f>
        <v>0.99935287515084703</v>
      </c>
      <c r="H93" s="8"/>
    </row>
    <row r="94" spans="1:8" ht="15" hidden="1" customHeight="1" x14ac:dyDescent="0.25"/>
    <row r="95" spans="1:8" ht="15" hidden="1" customHeight="1" x14ac:dyDescent="0.25"/>
    <row r="96" spans="1:8" ht="15" hidden="1" customHeight="1" x14ac:dyDescent="0.25">
      <c r="A96" s="2" t="s">
        <v>3</v>
      </c>
      <c r="B96" s="2">
        <v>599</v>
      </c>
      <c r="C96" s="5" t="s">
        <v>96</v>
      </c>
      <c r="D96" s="2">
        <v>0.23899999999999999</v>
      </c>
    </row>
    <row r="97" spans="1:8" ht="15" hidden="1" customHeight="1" x14ac:dyDescent="0.25">
      <c r="A97" s="73" t="s">
        <v>103</v>
      </c>
      <c r="B97" s="74"/>
      <c r="C97" s="74"/>
      <c r="D97" s="74"/>
      <c r="E97" s="74"/>
      <c r="F97" s="75"/>
      <c r="G97" s="2" t="s">
        <v>31</v>
      </c>
      <c r="H97" s="2" t="s">
        <v>32</v>
      </c>
    </row>
    <row r="98" spans="1:8" ht="15" hidden="1" customHeight="1" x14ac:dyDescent="0.25">
      <c r="A98" s="4" t="s">
        <v>1</v>
      </c>
      <c r="B98" s="4" t="s">
        <v>100</v>
      </c>
      <c r="C98" s="4" t="s">
        <v>0</v>
      </c>
      <c r="D98" s="5" t="s">
        <v>2</v>
      </c>
      <c r="E98" s="5" t="s">
        <v>4</v>
      </c>
      <c r="F98" s="4" t="s">
        <v>5</v>
      </c>
      <c r="G98" s="6" t="s">
        <v>7</v>
      </c>
      <c r="H98" s="6" t="s">
        <v>7</v>
      </c>
    </row>
    <row r="99" spans="1:8" ht="15" hidden="1" customHeight="1" x14ac:dyDescent="0.25">
      <c r="A99" s="7">
        <f>-C99*27.2114-4.66</f>
        <v>0.77516699446279969</v>
      </c>
      <c r="B99" s="7">
        <f>A99-0.0592*$B$27</f>
        <v>0.71596699446279966</v>
      </c>
      <c r="C99" s="1">
        <v>-0.19973860199999999</v>
      </c>
      <c r="D99" s="9">
        <v>599</v>
      </c>
      <c r="E99" s="8">
        <v>-3258.4367425886298</v>
      </c>
      <c r="F99" s="7">
        <f>(E99-(D99-$B$96)*C99)*27.2114</f>
        <v>-88666.625577276252</v>
      </c>
      <c r="G99" s="22"/>
      <c r="H99" s="23"/>
    </row>
    <row r="100" spans="1:8" ht="15" hidden="1" customHeight="1" x14ac:dyDescent="0.25">
      <c r="A100" s="2">
        <v>0.8</v>
      </c>
      <c r="B100" s="7">
        <f t="shared" ref="B100:B102" si="14">A100-0.0592*$B$27</f>
        <v>0.74080000000000001</v>
      </c>
      <c r="C100" s="3">
        <f>-(A100+4.66)/27.2114</f>
        <v>-0.20065119765980433</v>
      </c>
      <c r="D100" s="9">
        <v>598.97709499999996</v>
      </c>
      <c r="E100" s="8">
        <v>-3258.43220565301</v>
      </c>
      <c r="F100" s="7">
        <f t="shared" ref="F100:F102" si="15">(E100-(D100-$B$96)*C100)*27.2114</f>
        <v>-88666.627182206314</v>
      </c>
      <c r="G100" s="8">
        <f>(F100+$D$15/2-1*A100)-(F32+$D$18)+$B$4+$D$96-0.0592*$B$27</f>
        <v>0.49119064036950777</v>
      </c>
      <c r="H100" s="8"/>
    </row>
    <row r="101" spans="1:8" ht="15" hidden="1" customHeight="1" x14ac:dyDescent="0.25">
      <c r="A101" s="1">
        <v>0.4</v>
      </c>
      <c r="B101" s="7">
        <f t="shared" si="14"/>
        <v>0.34079999999999999</v>
      </c>
      <c r="C101" s="3">
        <f>-(A101+4.66)/27.2114</f>
        <v>-0.18595147621952565</v>
      </c>
      <c r="D101" s="9">
        <v>599.36877400000003</v>
      </c>
      <c r="E101" s="8">
        <v>-3258.5078924640602</v>
      </c>
      <c r="F101" s="7">
        <f t="shared" si="15"/>
        <v>-88666.695668556538</v>
      </c>
      <c r="G101" s="8">
        <f>(F101+$D$15/2-1*A101)-(F33+$D$18)+$B$4+$D$96-0.0592*$B$27</f>
        <v>0.80245886870853911</v>
      </c>
      <c r="H101" s="8"/>
    </row>
    <row r="102" spans="1:8" ht="15" hidden="1" customHeight="1" x14ac:dyDescent="0.25">
      <c r="A102" s="2">
        <v>0</v>
      </c>
      <c r="B102" s="7">
        <f t="shared" si="14"/>
        <v>-5.9200000000000003E-2</v>
      </c>
      <c r="C102" s="3">
        <f>-(A102+4.66)/27.2114</f>
        <v>-0.17125175477924692</v>
      </c>
      <c r="D102" s="9">
        <v>599.88912700000003</v>
      </c>
      <c r="E102" s="8">
        <v>-3258.6007822432798</v>
      </c>
      <c r="F102" s="7">
        <f t="shared" si="15"/>
        <v>-88666.945994114794</v>
      </c>
      <c r="G102" s="8">
        <f>(F102+$D$15/2-1*A102)-(F34+$D$18)+$B$4+$D$96-0.0592*$B$27</f>
        <v>1.1320051545308283</v>
      </c>
      <c r="H102" s="8"/>
    </row>
    <row r="103" spans="1:8" ht="15" hidden="1" customHeight="1" x14ac:dyDescent="0.25"/>
    <row r="104" spans="1:8" ht="15" hidden="1" customHeight="1" x14ac:dyDescent="0.25"/>
    <row r="105" spans="1:8" ht="15" hidden="1" customHeight="1" x14ac:dyDescent="0.25">
      <c r="A105" s="2" t="s">
        <v>3</v>
      </c>
      <c r="B105" s="2">
        <v>593</v>
      </c>
      <c r="C105" s="5" t="s">
        <v>96</v>
      </c>
      <c r="D105" s="2">
        <v>0.16600000000000001</v>
      </c>
    </row>
    <row r="106" spans="1:8" ht="15" hidden="1" customHeight="1" x14ac:dyDescent="0.25">
      <c r="A106" s="73" t="s">
        <v>104</v>
      </c>
      <c r="B106" s="74"/>
      <c r="C106" s="74"/>
      <c r="D106" s="74"/>
      <c r="E106" s="74"/>
      <c r="F106" s="75"/>
      <c r="G106" s="2" t="s">
        <v>31</v>
      </c>
      <c r="H106" s="2" t="s">
        <v>32</v>
      </c>
    </row>
    <row r="107" spans="1:8" ht="15" hidden="1" customHeight="1" x14ac:dyDescent="0.25">
      <c r="A107" s="4" t="s">
        <v>1</v>
      </c>
      <c r="B107" s="4" t="s">
        <v>100</v>
      </c>
      <c r="C107" s="4" t="s">
        <v>0</v>
      </c>
      <c r="D107" s="5" t="s">
        <v>2</v>
      </c>
      <c r="E107" s="5" t="s">
        <v>4</v>
      </c>
      <c r="F107" s="4" t="s">
        <v>5</v>
      </c>
      <c r="G107" s="6" t="s">
        <v>7</v>
      </c>
      <c r="H107" s="6" t="s">
        <v>7</v>
      </c>
    </row>
    <row r="108" spans="1:8" ht="15" hidden="1" customHeight="1" x14ac:dyDescent="0.25">
      <c r="A108" s="7">
        <f>-C108*27.2114-4.66</f>
        <v>0.63719042067260023</v>
      </c>
      <c r="B108" s="7">
        <f>A108-0.0592*$B$27</f>
        <v>0.5779904206726002</v>
      </c>
      <c r="C108" s="1">
        <v>-0.194668059</v>
      </c>
      <c r="D108" s="9">
        <v>593</v>
      </c>
      <c r="E108" s="8">
        <v>-3242.39268178356</v>
      </c>
      <c r="F108" s="7">
        <f>(E108-(D108-$B$105)*C108)*27.2114</f>
        <v>-88230.044221085162</v>
      </c>
      <c r="G108" s="22"/>
      <c r="H108" s="23"/>
    </row>
    <row r="109" spans="1:8" ht="15" hidden="1" customHeight="1" x14ac:dyDescent="0.25">
      <c r="A109" s="2">
        <v>0.8</v>
      </c>
      <c r="B109" s="7">
        <f t="shared" ref="B109:B111" si="16">A109-0.0592*$B$27</f>
        <v>0.74080000000000001</v>
      </c>
      <c r="C109" s="3">
        <f>-(A109+4.66)/27.2114</f>
        <v>-0.20065119765980433</v>
      </c>
      <c r="D109" s="9">
        <v>592.85597399999995</v>
      </c>
      <c r="E109" s="8">
        <v>-3242.36421623154</v>
      </c>
      <c r="F109" s="7">
        <f t="shared" ref="F109:F111" si="17">(E109-(D109-$B$105)*C109)*27.2114</f>
        <v>-88230.056015522932</v>
      </c>
      <c r="G109" s="8">
        <f>(F109+$D$15/2-1*A109)-(F32+$D$19)+$B$4+$D$105-0.0592*$B$27</f>
        <v>0.18849463771163333</v>
      </c>
      <c r="H109" s="8"/>
    </row>
    <row r="110" spans="1:8" ht="15" hidden="1" customHeight="1" x14ac:dyDescent="0.25">
      <c r="A110" s="1">
        <v>0.4</v>
      </c>
      <c r="B110" s="7">
        <f t="shared" si="16"/>
        <v>0.34079999999999999</v>
      </c>
      <c r="C110" s="3">
        <f>-(A110+4.66)/27.2114</f>
        <v>-0.18595147621952565</v>
      </c>
      <c r="D110" s="9">
        <v>593.22105399999998</v>
      </c>
      <c r="E110" s="8">
        <v>-3242.4347226865898</v>
      </c>
      <c r="F110" s="7">
        <f t="shared" si="17"/>
        <v>-88230.069679673863</v>
      </c>
      <c r="G110" s="8">
        <f>(F110+$D$15/2-1*A110)-(F33+$D$19)+$B$4+$D$105-0.0592*$B$27</f>
        <v>0.55458506534465901</v>
      </c>
      <c r="H110" s="8"/>
    </row>
    <row r="111" spans="1:8" ht="15" hidden="1" customHeight="1" x14ac:dyDescent="0.25">
      <c r="A111" s="2">
        <v>0</v>
      </c>
      <c r="B111" s="7">
        <f t="shared" si="16"/>
        <v>-5.9200000000000003E-2</v>
      </c>
      <c r="C111" s="3">
        <f>-(A111+4.66)/27.2114</f>
        <v>-0.17125175477924692</v>
      </c>
      <c r="D111" s="9">
        <v>593.73308299999997</v>
      </c>
      <c r="E111" s="8">
        <v>-3242.5259816515199</v>
      </c>
      <c r="F111" s="7">
        <f t="shared" si="17"/>
        <v>-88230.255330332177</v>
      </c>
      <c r="G111" s="8">
        <f>(F111+$D$15/2-1*A111)-(F34+$D$19)+$B$4+$D$105-0.0592*$B$27</f>
        <v>0.94880625110942252</v>
      </c>
      <c r="H111" s="8"/>
    </row>
    <row r="112" spans="1:8" ht="15" hidden="1" customHeight="1" x14ac:dyDescent="0.25"/>
    <row r="113" spans="1:7" ht="15" hidden="1" customHeight="1" x14ac:dyDescent="0.25">
      <c r="A113" s="2" t="s">
        <v>3</v>
      </c>
      <c r="B113" s="2">
        <v>583</v>
      </c>
      <c r="C113" s="5" t="s">
        <v>96</v>
      </c>
      <c r="D113" s="2">
        <v>-3.5000000000000003E-2</v>
      </c>
      <c r="E113" s="5" t="s">
        <v>186</v>
      </c>
      <c r="F113" s="2">
        <v>1.36</v>
      </c>
    </row>
    <row r="114" spans="1:7" ht="15" hidden="1" customHeight="1" x14ac:dyDescent="0.25">
      <c r="A114" s="73" t="s">
        <v>188</v>
      </c>
      <c r="B114" s="74"/>
      <c r="C114" s="74"/>
      <c r="D114" s="74"/>
      <c r="E114" s="74"/>
      <c r="F114" s="75"/>
      <c r="G114" s="2" t="s">
        <v>31</v>
      </c>
    </row>
    <row r="115" spans="1:7" ht="15" hidden="1" customHeight="1" x14ac:dyDescent="0.25">
      <c r="A115" s="4" t="s">
        <v>1</v>
      </c>
      <c r="B115" s="4" t="s">
        <v>100</v>
      </c>
      <c r="C115" s="4" t="s">
        <v>0</v>
      </c>
      <c r="D115" s="5" t="s">
        <v>2</v>
      </c>
      <c r="E115" s="5" t="s">
        <v>4</v>
      </c>
      <c r="F115" s="4" t="s">
        <v>5</v>
      </c>
      <c r="G115" s="6" t="s">
        <v>7</v>
      </c>
    </row>
    <row r="116" spans="1:7" ht="15" hidden="1" customHeight="1" x14ac:dyDescent="0.25">
      <c r="A116" s="54"/>
      <c r="B116" s="54"/>
      <c r="C116" s="54"/>
      <c r="D116" s="54"/>
      <c r="E116" s="54"/>
      <c r="F116" s="54"/>
      <c r="G116" s="54"/>
    </row>
    <row r="117" spans="1:7" ht="15" hidden="1" customHeight="1" x14ac:dyDescent="0.25">
      <c r="A117" s="2">
        <v>0.8</v>
      </c>
      <c r="B117" s="7">
        <f>A117-0.0592*$B$147</f>
        <v>0.8</v>
      </c>
      <c r="C117" s="3">
        <f>-(A117+4.66)/27.2114</f>
        <v>-0.20065119765980433</v>
      </c>
      <c r="D117" s="9">
        <v>582.753334</v>
      </c>
      <c r="E117" s="8">
        <v>-3215.3171854085099</v>
      </c>
      <c r="F117" s="7">
        <f>(E117-(D117-$B$299)*C117)*27.2114</f>
        <v>-87494.628855385119</v>
      </c>
      <c r="G117" s="8">
        <f>(F117+1*($F$113-A117)) - (F32+$D$24/2) + $D$113</f>
        <v>-0.12065729986003135</v>
      </c>
    </row>
    <row r="118" spans="1:7" ht="15" hidden="1" customHeight="1" x14ac:dyDescent="0.25">
      <c r="A118" s="1">
        <v>0.4</v>
      </c>
      <c r="B118" s="7">
        <f>A118-0.0592*$B$147</f>
        <v>0.4</v>
      </c>
      <c r="C118" s="3">
        <f>-(A118+4.66)/27.2114</f>
        <v>-0.18595147621952565</v>
      </c>
      <c r="D118" s="9">
        <v>583.10513300000002</v>
      </c>
      <c r="E118" s="8">
        <v>-3215.3851673388699</v>
      </c>
      <c r="F118" s="7">
        <f>(E118-(D118-$B$299)*C118)*27.2114</f>
        <v>-87494.599969544928</v>
      </c>
      <c r="G118" s="8">
        <f>(F118+1*($F$113-A118)) - (F33+$D$24/2) + $D$113</f>
        <v>0.28798311889462636</v>
      </c>
    </row>
    <row r="119" spans="1:7" ht="15" hidden="1" customHeight="1" x14ac:dyDescent="0.25">
      <c r="A119" s="2">
        <v>0</v>
      </c>
      <c r="B119" s="7">
        <f>A119-0.0592*$B$147</f>
        <v>0</v>
      </c>
      <c r="C119" s="3">
        <f>-(A119+4.66)/27.2114</f>
        <v>-0.17125175477924692</v>
      </c>
      <c r="D119" s="9">
        <v>583.64136199999996</v>
      </c>
      <c r="E119" s="8">
        <v>-3215.4806598842802</v>
      </c>
      <c r="F119" s="7">
        <f>(E119-(D119-$B$299)*C119)*27.2114</f>
        <v>-87494.741681455111</v>
      </c>
      <c r="G119" s="8">
        <f>(F119+1*($F$113-A119)) - (F34+$D$24/2) + $D$113</f>
        <v>0.72614305279043034</v>
      </c>
    </row>
    <row r="120" spans="1:7" ht="15" hidden="1" customHeight="1" x14ac:dyDescent="0.25"/>
    <row r="121" spans="1:7" ht="15" hidden="1" customHeight="1" x14ac:dyDescent="0.25">
      <c r="A121" s="2" t="s">
        <v>3</v>
      </c>
      <c r="B121" s="2">
        <v>583</v>
      </c>
      <c r="C121" s="5" t="s">
        <v>96</v>
      </c>
      <c r="D121" s="2">
        <v>0.254</v>
      </c>
    </row>
    <row r="122" spans="1:7" ht="15" hidden="1" customHeight="1" x14ac:dyDescent="0.25">
      <c r="A122" s="73" t="s">
        <v>265</v>
      </c>
      <c r="B122" s="74"/>
      <c r="C122" s="74"/>
      <c r="D122" s="74"/>
      <c r="E122" s="74"/>
      <c r="F122" s="75"/>
      <c r="G122" s="2" t="s">
        <v>31</v>
      </c>
    </row>
    <row r="123" spans="1:7" ht="15" hidden="1" customHeight="1" x14ac:dyDescent="0.25">
      <c r="A123" s="4" t="s">
        <v>1</v>
      </c>
      <c r="B123" s="4" t="s">
        <v>100</v>
      </c>
      <c r="C123" s="4" t="s">
        <v>0</v>
      </c>
      <c r="D123" s="5" t="s">
        <v>2</v>
      </c>
      <c r="E123" s="5" t="s">
        <v>4</v>
      </c>
      <c r="F123" s="4" t="s">
        <v>5</v>
      </c>
      <c r="G123" s="6" t="s">
        <v>7</v>
      </c>
    </row>
    <row r="124" spans="1:7" ht="15" hidden="1" customHeight="1" x14ac:dyDescent="0.25">
      <c r="A124" s="54"/>
      <c r="B124" s="54"/>
      <c r="C124" s="54"/>
      <c r="D124" s="54"/>
      <c r="E124" s="54"/>
      <c r="F124" s="54"/>
      <c r="G124" s="54"/>
    </row>
    <row r="125" spans="1:7" ht="15" hidden="1" customHeight="1" x14ac:dyDescent="0.25">
      <c r="A125" s="2">
        <v>0.8</v>
      </c>
      <c r="B125" s="7">
        <f t="shared" ref="B125:B127" si="18">A125-0.0592*$B$147</f>
        <v>0.8</v>
      </c>
      <c r="C125" s="3">
        <f>-(A125+4.66)/27.2114</f>
        <v>-0.20065119765980433</v>
      </c>
      <c r="D125" s="9">
        <v>582.81176900000003</v>
      </c>
      <c r="E125" s="8">
        <v>-3216.9482383259201</v>
      </c>
      <c r="F125" s="7">
        <f t="shared" ref="F125:F127" si="19">(E125-(D125-$B$389)*C125)*27.2114</f>
        <v>-87538.693033641946</v>
      </c>
      <c r="G125" s="8">
        <f>(F125+1/2*$D$15-1*A125)-(F32 + $D$17)+$D$121-0.0592*$B$147 + $H$5</f>
        <v>-0.42162910517923446</v>
      </c>
    </row>
    <row r="126" spans="1:7" ht="15" hidden="1" customHeight="1" x14ac:dyDescent="0.25">
      <c r="A126" s="1">
        <v>0.4</v>
      </c>
      <c r="B126" s="7">
        <f t="shared" si="18"/>
        <v>0.4</v>
      </c>
      <c r="C126" s="3">
        <f>-(A126+4.66)/27.2114</f>
        <v>-0.18595147621952565</v>
      </c>
      <c r="D126" s="9">
        <v>583.21050200000002</v>
      </c>
      <c r="E126" s="8">
        <v>-3217.0252116234601</v>
      </c>
      <c r="F126" s="7">
        <f t="shared" si="19"/>
        <v>-87538.69470345063</v>
      </c>
      <c r="G126" s="8">
        <f t="shared" ref="G126:G127" si="20">(F126+1/2*$D$15-1*A126)-(F33 + $D$17)+$D$121-0.0592*$B$147 + $H$5</f>
        <v>-4.3544335299301018E-2</v>
      </c>
    </row>
    <row r="127" spans="1:7" ht="15" hidden="1" customHeight="1" x14ac:dyDescent="0.25">
      <c r="A127" s="2">
        <v>0</v>
      </c>
      <c r="B127" s="7">
        <f t="shared" si="18"/>
        <v>0</v>
      </c>
      <c r="C127" s="3">
        <f>-(A127+4.66)/27.2114</f>
        <v>-0.17125175477924692</v>
      </c>
      <c r="D127" s="9">
        <v>583.90762800000005</v>
      </c>
      <c r="E127" s="8">
        <v>-3217.1491702672502</v>
      </c>
      <c r="F127" s="7">
        <f t="shared" si="19"/>
        <v>-87538.903385330254</v>
      </c>
      <c r="G127" s="8">
        <f t="shared" si="20"/>
        <v>0.3276456291556693</v>
      </c>
    </row>
    <row r="128" spans="1:7" hidden="1" x14ac:dyDescent="0.25"/>
    <row r="129" spans="1:10" ht="15" hidden="1" customHeight="1" x14ac:dyDescent="0.25"/>
    <row r="130" spans="1:10" ht="15" hidden="1" customHeight="1" x14ac:dyDescent="0.25"/>
    <row r="131" spans="1:10" ht="18.75" x14ac:dyDescent="0.3">
      <c r="A131" s="80" t="s">
        <v>134</v>
      </c>
      <c r="B131" s="80"/>
      <c r="C131" s="80"/>
      <c r="D131" s="80"/>
      <c r="E131" s="80"/>
      <c r="F131" s="80"/>
      <c r="H131" s="5" t="s">
        <v>4</v>
      </c>
      <c r="I131" s="5" t="s">
        <v>96</v>
      </c>
      <c r="J131" s="5" t="s">
        <v>11</v>
      </c>
    </row>
    <row r="132" spans="1:10" x14ac:dyDescent="0.25">
      <c r="B132" s="5" t="s">
        <v>4</v>
      </c>
      <c r="C132" s="5" t="s">
        <v>96</v>
      </c>
      <c r="D132" s="5" t="s">
        <v>11</v>
      </c>
      <c r="G132" s="5" t="s">
        <v>232</v>
      </c>
      <c r="H132" s="10">
        <v>-69.659584575991403</v>
      </c>
      <c r="I132" s="8">
        <v>0.66</v>
      </c>
      <c r="J132" s="2">
        <f>H132*27.2114+I132+'Exp. thermo'!$G$5/96.49</f>
        <v>-1894.7927380928948</v>
      </c>
    </row>
    <row r="133" spans="1:10" x14ac:dyDescent="0.25">
      <c r="A133" s="5" t="s">
        <v>10</v>
      </c>
      <c r="B133" s="10">
        <v>-1.1651204227085801</v>
      </c>
      <c r="C133" s="8">
        <v>-4.2000000000000003E-2</v>
      </c>
      <c r="D133" s="2">
        <f>B133*27.2114+C133</f>
        <v>-31.746557870492257</v>
      </c>
      <c r="G133" s="5" t="s">
        <v>233</v>
      </c>
      <c r="H133" s="10">
        <v>-93.374430528829606</v>
      </c>
      <c r="I133" s="8">
        <v>0.41899999999999998</v>
      </c>
      <c r="J133" s="2">
        <f>H133*27.2114+I133+'Exp. thermo'!$G$5/96.49</f>
        <v>-2540.3478972539565</v>
      </c>
    </row>
    <row r="134" spans="1:10" x14ac:dyDescent="0.25">
      <c r="A134" s="5" t="s">
        <v>29</v>
      </c>
      <c r="B134" s="10">
        <v>-37.8808477704033</v>
      </c>
      <c r="C134" s="8">
        <v>-0.251</v>
      </c>
      <c r="D134" s="2">
        <f>B134*27.2114+C134+'Exp. thermo'!$G$5/96.49</f>
        <v>-1030.9598193813147</v>
      </c>
      <c r="G134" s="5" t="s">
        <v>95</v>
      </c>
      <c r="H134" s="10">
        <v>-117.098430929489</v>
      </c>
      <c r="I134" s="8">
        <v>0.17299999999999999</v>
      </c>
      <c r="J134" s="2">
        <f>H134*27.2114+I134+'Exp. thermo'!$G$5/96.49</f>
        <v>-3186.15716175646</v>
      </c>
    </row>
    <row r="135" spans="1:10" x14ac:dyDescent="0.25">
      <c r="A135" s="5" t="s">
        <v>30</v>
      </c>
      <c r="B135" s="10">
        <v>-17.268355960477901</v>
      </c>
      <c r="C135" s="8">
        <v>9.2999999999999999E-2</v>
      </c>
      <c r="D135" s="2">
        <f>B135*27.2114+C135+'Exp. thermo'!$G$5/96.49</f>
        <v>-469.72105974471066</v>
      </c>
      <c r="G135" s="5" t="s">
        <v>190</v>
      </c>
      <c r="H135" s="10">
        <v>-48.458809097749104</v>
      </c>
      <c r="I135" s="8">
        <v>-0.47299999999999998</v>
      </c>
      <c r="J135" s="2">
        <f>H135*27.2114+I135</f>
        <v>-1319.10503788249</v>
      </c>
    </row>
    <row r="136" spans="1:10" x14ac:dyDescent="0.25">
      <c r="A136" s="5" t="s">
        <v>9</v>
      </c>
      <c r="B136" s="10">
        <v>-58.677193166200901</v>
      </c>
      <c r="C136" s="8">
        <v>-1.0999999999999999E-2</v>
      </c>
      <c r="D136" s="2">
        <f>B136*27.2114+C136+'Exp. thermo'!$G$5/96.49</f>
        <v>-1596.6174924845216</v>
      </c>
      <c r="G136" s="5" t="s">
        <v>191</v>
      </c>
      <c r="H136" s="10">
        <v>-30.0430223619964</v>
      </c>
      <c r="I136" s="8">
        <v>-0.56100000000000005</v>
      </c>
      <c r="J136" s="2">
        <f>H136*27.2114+I136</f>
        <v>-818.07369870122886</v>
      </c>
    </row>
    <row r="137" spans="1:10" x14ac:dyDescent="0.25">
      <c r="A137" s="5" t="s">
        <v>49</v>
      </c>
      <c r="B137" s="10">
        <v>-42.632854517177599</v>
      </c>
      <c r="C137" s="8">
        <v>-0.126</v>
      </c>
      <c r="D137" s="2">
        <f>B137*27.2114+C137+'Exp. thermo'!$G$5/96.49</f>
        <v>-1160.1435757704887</v>
      </c>
      <c r="G137" s="5" t="s">
        <v>246</v>
      </c>
      <c r="H137" s="10">
        <v>-27.166383582044201</v>
      </c>
      <c r="I137" s="8">
        <v>-0.63900000000000001</v>
      </c>
      <c r="J137" s="2">
        <f>H137*27.2114+I137</f>
        <v>-739.87433020443757</v>
      </c>
    </row>
    <row r="138" spans="1:10" x14ac:dyDescent="0.25">
      <c r="A138" s="5" t="s">
        <v>48</v>
      </c>
      <c r="B138" s="10">
        <v>-45.958970677356099</v>
      </c>
      <c r="C138" s="8">
        <v>0.88400000000000001</v>
      </c>
      <c r="D138" s="2">
        <f>B138*27.2114+C138+'Exp. thermo'!$G$5/96.49</f>
        <v>-1249.64185305157</v>
      </c>
      <c r="G138" s="5" t="s">
        <v>192</v>
      </c>
      <c r="H138" s="10">
        <v>-23.307621132944899</v>
      </c>
      <c r="I138" s="8">
        <v>-0.68700000000000006</v>
      </c>
      <c r="J138" s="2">
        <f>H138*27.2114+I138</f>
        <v>-634.9200016970168</v>
      </c>
    </row>
    <row r="139" spans="1:10" x14ac:dyDescent="0.25">
      <c r="A139" s="5" t="s">
        <v>93</v>
      </c>
      <c r="B139" s="10">
        <v>-62.022812760174503</v>
      </c>
      <c r="C139" s="8">
        <v>0.996</v>
      </c>
      <c r="D139" s="2">
        <f>B139*27.2114+C139+'Exp. thermo'!$G$5/96.49</f>
        <v>-1686.6494855039748</v>
      </c>
      <c r="G139" s="5" t="s">
        <v>213</v>
      </c>
      <c r="H139" s="10">
        <v>-76.909468248047901</v>
      </c>
      <c r="I139" s="8">
        <v>0.48699999999999999</v>
      </c>
      <c r="J139" s="2">
        <f>H139*27.2114+I139</f>
        <v>-2092.3273042849305</v>
      </c>
    </row>
    <row r="140" spans="1:10" x14ac:dyDescent="0.25">
      <c r="A140" s="5" t="s">
        <v>230</v>
      </c>
      <c r="B140" s="10">
        <v>-60.392241645820697</v>
      </c>
      <c r="C140" s="8">
        <v>0.6</v>
      </c>
      <c r="D140" s="2">
        <f>B140*27.2114+C140+'Exp. thermo'!$G$5/96.49</f>
        <v>-1642.6753626828477</v>
      </c>
      <c r="G140" s="5" t="s">
        <v>200</v>
      </c>
      <c r="H140" s="10">
        <v>-42.413044169722198</v>
      </c>
      <c r="I140" s="8">
        <v>-0.496</v>
      </c>
      <c r="J140" s="2">
        <f>H140*27.2114+I140 +'Exp. thermo'!$G$5/96.49</f>
        <v>-1154.5322284817412</v>
      </c>
    </row>
    <row r="141" spans="1:10" x14ac:dyDescent="0.25">
      <c r="A141" s="5" t="s">
        <v>94</v>
      </c>
      <c r="B141" s="10">
        <v>-74.828330392298597</v>
      </c>
      <c r="C141" s="8">
        <v>0.29099999999999998</v>
      </c>
      <c r="D141" s="2">
        <f>B141*27.2114+C141+'Exp. thermo'!$G$5/96.49</f>
        <v>-2035.8105479987564</v>
      </c>
      <c r="G141" s="5" t="s">
        <v>253</v>
      </c>
      <c r="H141" s="10">
        <v>-8.3935110948132401</v>
      </c>
      <c r="I141" s="8">
        <v>5.6000000000000001E-2</v>
      </c>
      <c r="J141" s="2">
        <f>H141*27.2114+I141 +'Exp. thermo'!$G$5/96.49</f>
        <v>-228.26110616716332</v>
      </c>
    </row>
    <row r="142" spans="1:10" x14ac:dyDescent="0.25">
      <c r="A142" s="5" t="s">
        <v>231</v>
      </c>
      <c r="B142" s="10">
        <v>-89.257170769677202</v>
      </c>
      <c r="C142" s="8">
        <v>-3.2000000000000001E-2</v>
      </c>
      <c r="D142" s="2">
        <f>B142*27.2114+C142+'Exp. thermo'!$G$5/96.49</f>
        <v>-2428.7624950437571</v>
      </c>
      <c r="G142" s="5" t="s">
        <v>277</v>
      </c>
      <c r="H142" s="10">
        <v>-79.664788043199394</v>
      </c>
      <c r="I142" s="8">
        <v>-8.8999999999999996E-2</v>
      </c>
      <c r="J142" s="2">
        <f>H142*27.2114+I142 +'Exp. thermo'!$G$5/96.49</f>
        <v>-2167.7973317204787</v>
      </c>
    </row>
    <row r="147" spans="1:41" x14ac:dyDescent="0.25">
      <c r="A147" s="5" t="s">
        <v>12</v>
      </c>
      <c r="B147" s="46">
        <v>0</v>
      </c>
    </row>
    <row r="148" spans="1:41" x14ac:dyDescent="0.25">
      <c r="A148" s="2" t="s">
        <v>3</v>
      </c>
      <c r="B148" s="2">
        <v>576</v>
      </c>
      <c r="AB148" s="2" t="s">
        <v>3</v>
      </c>
      <c r="AC148" s="2">
        <v>576</v>
      </c>
      <c r="AJ148" s="2" t="s">
        <v>3</v>
      </c>
      <c r="AK148" s="2">
        <v>720</v>
      </c>
    </row>
    <row r="149" spans="1:41" x14ac:dyDescent="0.25">
      <c r="A149" s="73" t="s">
        <v>135</v>
      </c>
      <c r="B149" s="74"/>
      <c r="C149" s="74"/>
      <c r="D149" s="74"/>
      <c r="E149" s="75"/>
      <c r="L149" s="73" t="s">
        <v>400</v>
      </c>
      <c r="M149" s="74"/>
      <c r="N149" s="74"/>
      <c r="O149" s="74"/>
      <c r="P149" s="75"/>
      <c r="T149" s="73" t="s">
        <v>401</v>
      </c>
      <c r="U149" s="74"/>
      <c r="V149" s="74"/>
      <c r="W149" s="74"/>
      <c r="X149" s="75"/>
      <c r="AB149" s="73" t="s">
        <v>410</v>
      </c>
      <c r="AC149" s="74"/>
      <c r="AD149" s="74"/>
      <c r="AE149" s="74"/>
      <c r="AF149" s="75"/>
      <c r="AJ149" s="73" t="s">
        <v>409</v>
      </c>
      <c r="AK149" s="74"/>
      <c r="AL149" s="74"/>
      <c r="AM149" s="74"/>
      <c r="AN149" s="75"/>
    </row>
    <row r="150" spans="1:41" x14ac:dyDescent="0.25">
      <c r="A150" s="4" t="s">
        <v>1</v>
      </c>
      <c r="B150" s="4" t="s">
        <v>100</v>
      </c>
      <c r="C150" s="4" t="s">
        <v>0</v>
      </c>
      <c r="D150" s="5" t="s">
        <v>2</v>
      </c>
      <c r="E150" s="5" t="s">
        <v>4</v>
      </c>
      <c r="F150" s="4" t="s">
        <v>5</v>
      </c>
      <c r="L150" s="4" t="s">
        <v>1</v>
      </c>
      <c r="M150" s="4" t="s">
        <v>100</v>
      </c>
      <c r="N150" s="4" t="s">
        <v>0</v>
      </c>
      <c r="O150" s="5" t="s">
        <v>2</v>
      </c>
      <c r="P150" s="5" t="s">
        <v>4</v>
      </c>
      <c r="Q150" s="4" t="s">
        <v>5</v>
      </c>
      <c r="T150" s="4" t="s">
        <v>1</v>
      </c>
      <c r="U150" s="4" t="s">
        <v>100</v>
      </c>
      <c r="V150" s="4" t="s">
        <v>0</v>
      </c>
      <c r="W150" s="5" t="s">
        <v>2</v>
      </c>
      <c r="X150" s="5" t="s">
        <v>4</v>
      </c>
      <c r="Y150" s="4" t="s">
        <v>5</v>
      </c>
      <c r="AB150" s="4" t="s">
        <v>1</v>
      </c>
      <c r="AC150" s="4" t="s">
        <v>100</v>
      </c>
      <c r="AD150" s="4" t="s">
        <v>0</v>
      </c>
      <c r="AE150" s="5" t="s">
        <v>2</v>
      </c>
      <c r="AF150" s="5" t="s">
        <v>4</v>
      </c>
      <c r="AG150" s="4" t="s">
        <v>5</v>
      </c>
      <c r="AJ150" s="4" t="s">
        <v>1</v>
      </c>
      <c r="AK150" s="4" t="s">
        <v>100</v>
      </c>
      <c r="AL150" s="4" t="s">
        <v>0</v>
      </c>
      <c r="AM150" s="5" t="s">
        <v>2</v>
      </c>
      <c r="AN150" s="5" t="s">
        <v>4</v>
      </c>
      <c r="AO150" s="4" t="s">
        <v>5</v>
      </c>
    </row>
    <row r="151" spans="1:41" x14ac:dyDescent="0.25">
      <c r="A151" s="7">
        <f>-C151*27.2114-4.66</f>
        <v>0.70717046785780013</v>
      </c>
      <c r="B151" s="7">
        <f>A151-0.0592*$B$147</f>
        <v>0.70717046785780013</v>
      </c>
      <c r="C151" s="3">
        <v>-0.19723977700000001</v>
      </c>
      <c r="D151" s="9">
        <v>576</v>
      </c>
      <c r="E151" s="8">
        <v>-3202.9069796210301</v>
      </c>
      <c r="F151" s="7">
        <f>(E151-(D151-$B$148)*C151)*27.2114</f>
        <v>-87155.582985259709</v>
      </c>
      <c r="L151" s="54"/>
      <c r="M151" s="54"/>
      <c r="N151" s="54"/>
      <c r="O151" s="54"/>
      <c r="P151" s="54"/>
      <c r="Q151" s="54"/>
      <c r="T151" s="54"/>
      <c r="U151" s="54"/>
      <c r="V151" s="54"/>
      <c r="W151" s="54"/>
      <c r="X151" s="54"/>
      <c r="Y151" s="54"/>
      <c r="AB151" s="54"/>
      <c r="AC151" s="54"/>
      <c r="AD151" s="54"/>
      <c r="AE151" s="54"/>
      <c r="AF151" s="54"/>
      <c r="AG151" s="54"/>
      <c r="AJ151" s="54"/>
      <c r="AK151" s="54"/>
      <c r="AL151" s="54"/>
      <c r="AM151" s="54"/>
      <c r="AN151" s="54"/>
      <c r="AO151" s="54"/>
    </row>
    <row r="152" spans="1:41" x14ac:dyDescent="0.25">
      <c r="A152" s="2">
        <v>0.8</v>
      </c>
      <c r="B152" s="7">
        <f t="shared" ref="B152:B154" si="21">A152-0.0592*$B$147</f>
        <v>0.8</v>
      </c>
      <c r="C152" s="3">
        <f>-(A152+4.66)/27.2114</f>
        <v>-0.20065119765980433</v>
      </c>
      <c r="D152" s="9">
        <v>575.92166199999997</v>
      </c>
      <c r="E152" s="8">
        <v>-3202.89139253541</v>
      </c>
      <c r="F152" s="7">
        <f>(E152-(D152-$B$148)*C152)*27.2114</f>
        <v>-87155.586564318059</v>
      </c>
      <c r="L152" s="2">
        <v>0.8</v>
      </c>
      <c r="M152" s="7">
        <f t="shared" ref="M152:M154" si="22">L152-0.0592*$B$147</f>
        <v>0.8</v>
      </c>
      <c r="N152" s="3">
        <f>-(L152+4.66)/27.2114</f>
        <v>-0.20065119765980433</v>
      </c>
      <c r="O152" s="9">
        <v>575.99708999999996</v>
      </c>
      <c r="P152" s="8">
        <v>-3202.9056422899098</v>
      </c>
      <c r="Q152" s="7">
        <f>(P152-(O152-$B$148)*N152)*27.2114</f>
        <v>-87155.562483207657</v>
      </c>
      <c r="T152" s="2">
        <v>0.8</v>
      </c>
      <c r="U152" s="7">
        <f t="shared" ref="U152:U154" si="23">T152-0.0592*$B$147</f>
        <v>0.8</v>
      </c>
      <c r="V152" s="3">
        <f>-(T152+4.66)/27.2114</f>
        <v>-0.20065119765980433</v>
      </c>
      <c r="W152" s="9">
        <v>576.01251500000001</v>
      </c>
      <c r="X152" s="8">
        <v>-3202.9085793652398</v>
      </c>
      <c r="Y152" s="7">
        <f>(X152-(W152-$B$148)*V152)*27.2114</f>
        <v>-87155.558184639289</v>
      </c>
      <c r="AB152" s="2">
        <v>0.8</v>
      </c>
      <c r="AC152" s="7">
        <f t="shared" ref="AC152:AC154" si="24">AB152-0.0592*$B$147</f>
        <v>0.8</v>
      </c>
      <c r="AD152" s="3">
        <f>-(AB152+4.66)/27.2114</f>
        <v>-0.20065119765980433</v>
      </c>
      <c r="AE152" s="9">
        <v>575.92570000000001</v>
      </c>
      <c r="AF152" s="8">
        <v>-3202.8935028635101</v>
      </c>
      <c r="AG152" s="7">
        <f>(AF152-(AE152-$AC$148)*AD152)*27.2114</f>
        <v>-87155.621941820122</v>
      </c>
      <c r="AH152" s="40"/>
      <c r="AJ152" s="2">
        <v>0.8</v>
      </c>
      <c r="AK152" s="7">
        <f t="shared" ref="AK152:AK154" si="25">AJ152-0.0592*$B$147</f>
        <v>0.8</v>
      </c>
      <c r="AL152" s="3">
        <f>-(AJ152+4.66)/27.2114</f>
        <v>-0.20065119765980433</v>
      </c>
      <c r="AM152" s="9">
        <v>719.92554199999995</v>
      </c>
      <c r="AN152" s="8">
        <v>-4003.7783209781801</v>
      </c>
      <c r="AO152" s="7">
        <f>(AN152-(AM152-$AK$148)*AL152)*27.2114</f>
        <v>-108948.81994414565</v>
      </c>
    </row>
    <row r="153" spans="1:41" x14ac:dyDescent="0.25">
      <c r="A153" s="1">
        <v>0.4</v>
      </c>
      <c r="B153" s="7">
        <f t="shared" si="21"/>
        <v>0.4</v>
      </c>
      <c r="C153" s="3">
        <f>-(A153+4.66)/27.2114</f>
        <v>-0.18595147621952565</v>
      </c>
      <c r="D153" s="9">
        <v>576.354421</v>
      </c>
      <c r="E153" s="8">
        <v>-3202.9746978765202</v>
      </c>
      <c r="F153" s="7">
        <f>(E153-(D153-$B$148)*C153)*27.2114</f>
        <v>-87155.632323537138</v>
      </c>
      <c r="L153" s="1">
        <v>0.4</v>
      </c>
      <c r="M153" s="7">
        <f t="shared" si="22"/>
        <v>0.4</v>
      </c>
      <c r="N153" s="3">
        <f>-(L153+4.66)/27.2114</f>
        <v>-0.18595147621952565</v>
      </c>
      <c r="O153" s="9">
        <v>576.26249499999994</v>
      </c>
      <c r="P153" s="8">
        <v>-3202.9568419986399</v>
      </c>
      <c r="Q153" s="7">
        <f>(P153-(O153-$B$148)*N153)*27.2114</f>
        <v>-87155.611585661798</v>
      </c>
      <c r="T153" s="1">
        <v>0.4</v>
      </c>
      <c r="U153" s="7">
        <f t="shared" si="23"/>
        <v>0.4</v>
      </c>
      <c r="V153" s="3">
        <f>-(T153+4.66)/27.2114</f>
        <v>-0.18595147621952565</v>
      </c>
      <c r="W153" s="9">
        <v>576.22205899999994</v>
      </c>
      <c r="X153" s="8">
        <v>-3202.9490321284102</v>
      </c>
      <c r="Y153" s="7">
        <f>(X153-(W153-$B$148)*V153)*27.2114</f>
        <v>-87155.603674319034</v>
      </c>
      <c r="AB153" s="1">
        <v>0.4</v>
      </c>
      <c r="AC153" s="7">
        <f t="shared" si="24"/>
        <v>0.4</v>
      </c>
      <c r="AD153" s="3">
        <f>-(AB153+4.66)/27.2114</f>
        <v>-0.18595147621952565</v>
      </c>
      <c r="AE153" s="9">
        <v>576.36261200000001</v>
      </c>
      <c r="AF153" s="8">
        <v>-3202.9776310021398</v>
      </c>
      <c r="AG153" s="7">
        <f t="shared" ref="AG153:AG154" si="26">(AF153-(AE153-$AC$148)*AD153)*27.2114</f>
        <v>-87155.670691531632</v>
      </c>
      <c r="AH153" s="40"/>
      <c r="AJ153" s="1">
        <v>0.4</v>
      </c>
      <c r="AK153" s="7">
        <f t="shared" si="25"/>
        <v>0.4</v>
      </c>
      <c r="AL153" s="3">
        <f>-(AJ153+4.66)/27.2114</f>
        <v>-0.18595147621952565</v>
      </c>
      <c r="AM153" s="9">
        <v>720.33340099999998</v>
      </c>
      <c r="AN153" s="8">
        <v>-4003.8569128623399</v>
      </c>
      <c r="AO153" s="7">
        <f t="shared" ref="AO153:AO154" si="27">(AN153-(AM153-$AK$148)*AL153)*27.2114</f>
        <v>-108948.86498960228</v>
      </c>
    </row>
    <row r="154" spans="1:41" x14ac:dyDescent="0.25">
      <c r="A154" s="2">
        <v>0</v>
      </c>
      <c r="B154" s="7">
        <f t="shared" si="21"/>
        <v>0</v>
      </c>
      <c r="C154" s="3">
        <f>-(A154+4.66)/27.2114</f>
        <v>-0.17125175477924692</v>
      </c>
      <c r="D154" s="9">
        <v>577.42001500000003</v>
      </c>
      <c r="E154" s="8">
        <v>-3203.1633355045001</v>
      </c>
      <c r="F154" s="7">
        <f>(E154-(D154-$B$148)*C154)*27.2114</f>
        <v>-87155.941517847154</v>
      </c>
      <c r="L154" s="2">
        <v>0</v>
      </c>
      <c r="M154" s="7">
        <f t="shared" si="22"/>
        <v>0</v>
      </c>
      <c r="N154" s="3">
        <f>-(L154+4.66)/27.2114</f>
        <v>-0.17125175477924692</v>
      </c>
      <c r="O154" s="9">
        <v>576.61311799999999</v>
      </c>
      <c r="P154" s="8">
        <v>-3203.0193147124201</v>
      </c>
      <c r="Q154" s="7">
        <f>(P154-(O154-$B$148)*N154)*27.2114</f>
        <v>-87155.782650485547</v>
      </c>
      <c r="T154" s="2">
        <v>0</v>
      </c>
      <c r="U154" s="7">
        <f t="shared" si="23"/>
        <v>0</v>
      </c>
      <c r="V154" s="3">
        <f>-(T154+4.66)/27.2114</f>
        <v>-0.17125175477924692</v>
      </c>
      <c r="W154" s="9">
        <v>576.47476900000004</v>
      </c>
      <c r="X154" s="8">
        <v>-3202.9941111867302</v>
      </c>
      <c r="Y154" s="7">
        <f>(X154-(W154-$B$148)*V154)*27.2114</f>
        <v>-87155.741533606604</v>
      </c>
      <c r="AB154" s="2">
        <v>0</v>
      </c>
      <c r="AC154" s="7">
        <f t="shared" si="24"/>
        <v>0</v>
      </c>
      <c r="AD154" s="3">
        <f>-(AB154+4.66)/27.2114</f>
        <v>-0.17125175477924692</v>
      </c>
      <c r="AE154" s="9">
        <v>577.43244300000003</v>
      </c>
      <c r="AF154" s="8">
        <v>-3203.1670527896799</v>
      </c>
      <c r="AG154" s="7">
        <f t="shared" si="26"/>
        <v>-87155.984755901096</v>
      </c>
      <c r="AH154" s="40"/>
      <c r="AJ154" s="2">
        <v>0</v>
      </c>
      <c r="AK154" s="7">
        <f t="shared" si="25"/>
        <v>0</v>
      </c>
      <c r="AL154" s="3">
        <f>-(AJ154+4.66)/27.2114</f>
        <v>-0.17125175477924692</v>
      </c>
      <c r="AM154" s="9">
        <v>721.076279</v>
      </c>
      <c r="AN154" s="8">
        <v>-4003.9886495633</v>
      </c>
      <c r="AO154" s="7">
        <f t="shared" si="27"/>
        <v>-108949.1212785868</v>
      </c>
    </row>
    <row r="157" spans="1:41" x14ac:dyDescent="0.25">
      <c r="A157" s="5" t="s">
        <v>3</v>
      </c>
      <c r="B157" s="2">
        <v>599</v>
      </c>
      <c r="C157" s="5" t="s">
        <v>96</v>
      </c>
      <c r="D157" s="2">
        <v>0.62</v>
      </c>
      <c r="L157" s="5" t="s">
        <v>3</v>
      </c>
      <c r="M157" s="2">
        <v>599</v>
      </c>
      <c r="N157" s="5" t="s">
        <v>96</v>
      </c>
      <c r="O157" s="2">
        <v>0.62</v>
      </c>
      <c r="T157" s="5" t="s">
        <v>3</v>
      </c>
      <c r="U157" s="2">
        <v>599</v>
      </c>
      <c r="V157" s="5" t="s">
        <v>96</v>
      </c>
      <c r="W157" s="2">
        <v>0.62</v>
      </c>
    </row>
    <row r="158" spans="1:41" x14ac:dyDescent="0.25">
      <c r="A158" s="73" t="s">
        <v>101</v>
      </c>
      <c r="B158" s="74"/>
      <c r="C158" s="74"/>
      <c r="D158" s="74"/>
      <c r="E158" s="74"/>
      <c r="F158" s="75"/>
      <c r="G158" s="2" t="s">
        <v>31</v>
      </c>
      <c r="L158" s="73" t="s">
        <v>388</v>
      </c>
      <c r="M158" s="74"/>
      <c r="N158" s="74"/>
      <c r="O158" s="74"/>
      <c r="P158" s="74"/>
      <c r="Q158" s="75"/>
      <c r="R158" s="2" t="s">
        <v>31</v>
      </c>
      <c r="T158" s="73" t="s">
        <v>389</v>
      </c>
      <c r="U158" s="74"/>
      <c r="V158" s="74"/>
      <c r="W158" s="74"/>
      <c r="X158" s="74"/>
      <c r="Y158" s="75"/>
      <c r="Z158" s="2" t="s">
        <v>31</v>
      </c>
    </row>
    <row r="159" spans="1:41" x14ac:dyDescent="0.25">
      <c r="A159" s="4" t="s">
        <v>1</v>
      </c>
      <c r="B159" s="4" t="s">
        <v>100</v>
      </c>
      <c r="C159" s="4" t="s">
        <v>0</v>
      </c>
      <c r="D159" s="5" t="s">
        <v>2</v>
      </c>
      <c r="E159" s="5" t="s">
        <v>4</v>
      </c>
      <c r="F159" s="4" t="s">
        <v>5</v>
      </c>
      <c r="G159" s="6" t="s">
        <v>7</v>
      </c>
      <c r="L159" s="4" t="s">
        <v>1</v>
      </c>
      <c r="M159" s="4" t="s">
        <v>100</v>
      </c>
      <c r="N159" s="4" t="s">
        <v>0</v>
      </c>
      <c r="O159" s="5" t="s">
        <v>2</v>
      </c>
      <c r="P159" s="5" t="s">
        <v>4</v>
      </c>
      <c r="Q159" s="4" t="s">
        <v>5</v>
      </c>
      <c r="R159" s="6" t="s">
        <v>7</v>
      </c>
      <c r="T159" s="4" t="s">
        <v>1</v>
      </c>
      <c r="U159" s="4" t="s">
        <v>100</v>
      </c>
      <c r="V159" s="4" t="s">
        <v>0</v>
      </c>
      <c r="W159" s="5" t="s">
        <v>2</v>
      </c>
      <c r="X159" s="5" t="s">
        <v>4</v>
      </c>
      <c r="Y159" s="4" t="s">
        <v>5</v>
      </c>
      <c r="Z159" s="6" t="s">
        <v>7</v>
      </c>
    </row>
    <row r="160" spans="1:41" x14ac:dyDescent="0.25">
      <c r="A160" s="7">
        <f>-C160*27.2114-4.66</f>
        <v>0.64185548866579989</v>
      </c>
      <c r="B160" s="7">
        <f>A160-0.0592*$B$147</f>
        <v>0.64185548866579989</v>
      </c>
      <c r="C160" s="3">
        <v>-0.194839497</v>
      </c>
      <c r="D160" s="9">
        <v>599</v>
      </c>
      <c r="E160" s="8">
        <v>-3257.4803841640201</v>
      </c>
      <c r="F160" s="7">
        <f>(E160-(D160-$B$157)*C160)*27.2114</f>
        <v>-88640.601725640823</v>
      </c>
      <c r="G160" s="54"/>
      <c r="L160" s="54"/>
      <c r="M160" s="54"/>
      <c r="N160" s="54"/>
      <c r="O160" s="54"/>
      <c r="P160" s="54"/>
      <c r="Q160" s="54"/>
      <c r="R160" s="54"/>
      <c r="T160" s="54"/>
      <c r="U160" s="54"/>
      <c r="V160" s="54"/>
      <c r="W160" s="54"/>
      <c r="X160" s="54"/>
      <c r="Y160" s="54"/>
      <c r="Z160" s="54"/>
    </row>
    <row r="161" spans="1:26" x14ac:dyDescent="0.25">
      <c r="A161" s="2">
        <v>0.8</v>
      </c>
      <c r="B161" s="7">
        <f t="shared" ref="B161:B163" si="28">A161-0.0592*$B$147</f>
        <v>0.8</v>
      </c>
      <c r="C161" s="3">
        <f>-(A161+4.66)/27.2114</f>
        <v>-0.20065119765980433</v>
      </c>
      <c r="D161" s="9">
        <v>598.86294899999996</v>
      </c>
      <c r="E161" s="8">
        <v>-3257.45328854123</v>
      </c>
      <c r="F161" s="7">
        <f t="shared" ref="F161:F163" si="29">(E161-(D161-$B$157)*C161)*27.2114</f>
        <v>-88640.612714270828</v>
      </c>
      <c r="G161" s="8">
        <f>(F161+$D$133/2-1*A161)-(F152+$D$134+$D$135)+$B$2+$D$157-0.0592*$B$147</f>
        <v>-0.62380345361949907</v>
      </c>
      <c r="L161" s="2">
        <v>0.8</v>
      </c>
      <c r="M161" s="7">
        <f t="shared" ref="M161:M163" si="30">L161-0.0592*$B$147</f>
        <v>0.8</v>
      </c>
      <c r="N161" s="3">
        <f>-(L161+4.66)/27.2114</f>
        <v>-0.20065119765980433</v>
      </c>
      <c r="O161" s="9">
        <v>598.92926699999998</v>
      </c>
      <c r="P161" s="8">
        <v>-3257.4607898139102</v>
      </c>
      <c r="Q161" s="7">
        <f t="shared" ref="Q161:Q163" si="31">(P161-(O161-$B$157)*N161)*27.2114</f>
        <v>-88640.454738122236</v>
      </c>
      <c r="R161" s="8">
        <f>(Q161+$D$133/2-1*L161)-(Q152+$D$134+$D$135)+$B$2+$O$157-0.0592*$B$147</f>
        <v>-0.48990841542896846</v>
      </c>
      <c r="T161" s="2">
        <v>0.8</v>
      </c>
      <c r="U161" s="7">
        <f t="shared" ref="U161:U163" si="32">T161-0.0592*$B$147</f>
        <v>0.8</v>
      </c>
      <c r="V161" s="3">
        <f>-(T161+4.66)/27.2114</f>
        <v>-0.20065119765980433</v>
      </c>
      <c r="W161" s="9">
        <v>598.94438400000001</v>
      </c>
      <c r="X161" s="8">
        <v>-3257.46174356041</v>
      </c>
      <c r="Y161" s="7">
        <f t="shared" ref="Y161:Y163" si="33">(X161-(W161-$B$157)*V161)*27.2114</f>
        <v>-88640.398152079739</v>
      </c>
      <c r="Z161" s="8">
        <f>(Y161+$D$133/2-1*T161)-(Y152+$D$134+$D$135)+$B$2+$W$157-0.0592*$B$147</f>
        <v>-0.4376209412998523</v>
      </c>
    </row>
    <row r="162" spans="1:26" x14ac:dyDescent="0.25">
      <c r="A162" s="1">
        <v>0.4</v>
      </c>
      <c r="B162" s="7">
        <f t="shared" si="28"/>
        <v>0.4</v>
      </c>
      <c r="C162" s="3">
        <f>-(A162+4.66)/27.2114</f>
        <v>-0.18595147621952565</v>
      </c>
      <c r="D162" s="9">
        <v>599.25723600000003</v>
      </c>
      <c r="E162" s="8">
        <v>-3257.5293333798299</v>
      </c>
      <c r="F162" s="7">
        <f t="shared" si="29"/>
        <v>-88640.632088171915</v>
      </c>
      <c r="G162" s="8">
        <f>(F162+$D$133/2-1*A162)-(F153+$D$134+$D$135)+$B$2+$D$157-0.0592*$B$147</f>
        <v>-0.19741813561765054</v>
      </c>
      <c r="L162" s="1">
        <v>0.4</v>
      </c>
      <c r="M162" s="7">
        <f t="shared" si="30"/>
        <v>0.4</v>
      </c>
      <c r="N162" s="3">
        <f>-(L162+4.66)/27.2114</f>
        <v>-0.18595147621952565</v>
      </c>
      <c r="O162" s="9">
        <v>599.17461600000001</v>
      </c>
      <c r="P162" s="8">
        <v>-3257.5081625263001</v>
      </c>
      <c r="Q162" s="7">
        <f t="shared" si="31"/>
        <v>-88640.474056808162</v>
      </c>
      <c r="R162" s="8">
        <f>(Q162+$D$133/2-1*L162)-(Q153+$D$134+$D$135)+$B$2+$O$157-0.0592*$B$147</f>
        <v>-6.0124647204671477E-2</v>
      </c>
      <c r="T162" s="1">
        <v>0.4</v>
      </c>
      <c r="U162" s="7">
        <f t="shared" si="32"/>
        <v>0.4</v>
      </c>
      <c r="V162" s="3">
        <f>-(T162+4.66)/27.2114</f>
        <v>-0.18595147621952565</v>
      </c>
      <c r="W162" s="9">
        <v>599.14288999999997</v>
      </c>
      <c r="X162" s="8">
        <v>-3257.5000918537398</v>
      </c>
      <c r="Y162" s="7">
        <f t="shared" si="33"/>
        <v>-88640.41497606886</v>
      </c>
      <c r="Z162" s="8">
        <f>(Y162+$D$133/2-1*T162)-(Y153+$D$134+$D$135)+$B$2+$W$157-0.0592*$B$147</f>
        <v>-8.9552506665004916E-3</v>
      </c>
    </row>
    <row r="163" spans="1:26" x14ac:dyDescent="0.25">
      <c r="A163" s="2">
        <v>0</v>
      </c>
      <c r="B163" s="7">
        <f t="shared" si="28"/>
        <v>0</v>
      </c>
      <c r="C163" s="3">
        <f>-(A163+4.66)/27.2114</f>
        <v>-0.17125175477924692</v>
      </c>
      <c r="D163" s="9">
        <v>599.89843299999995</v>
      </c>
      <c r="E163" s="8">
        <v>-3257.64323604534</v>
      </c>
      <c r="F163" s="7">
        <f t="shared" si="29"/>
        <v>-88640.846455544161</v>
      </c>
      <c r="G163" s="8">
        <f>(F163+$D$133/2-1*A163)-(F154+$D$134+$D$135)+$B$2+$D$157-0.0592*$B$147</f>
        <v>0.29740880214606835</v>
      </c>
      <c r="L163" s="2">
        <v>0</v>
      </c>
      <c r="M163" s="7">
        <f t="shared" si="30"/>
        <v>0</v>
      </c>
      <c r="N163" s="3">
        <f>-(L163+4.66)/27.2114</f>
        <v>-0.17125175477924692</v>
      </c>
      <c r="O163" s="9">
        <v>599.46117900000002</v>
      </c>
      <c r="P163" s="8">
        <v>-3257.55926647554</v>
      </c>
      <c r="Q163" s="7">
        <f t="shared" si="31"/>
        <v>-88640.599129632523</v>
      </c>
      <c r="R163" s="8">
        <f>(Q163+$D$133/2-1*L163)-(Q154+$D$134+$D$135)+$B$2+$O$157-0.0592*$B$147</f>
        <v>0.38586735217771451</v>
      </c>
      <c r="T163" s="2">
        <v>0</v>
      </c>
      <c r="U163" s="7">
        <f t="shared" si="32"/>
        <v>0</v>
      </c>
      <c r="V163" s="3">
        <f>-(T163+4.66)/27.2114</f>
        <v>-0.17125175477924692</v>
      </c>
      <c r="W163" s="9">
        <v>599.36530500000003</v>
      </c>
      <c r="X163" s="8">
        <v>-3257.5397877652999</v>
      </c>
      <c r="Y163" s="7">
        <f t="shared" si="33"/>
        <v>-88640.515859496678</v>
      </c>
      <c r="Z163" s="8">
        <f>(Y163+$D$133/2-1*T163)-(Y154+$D$134+$D$135)+$B$2+$W$157-0.0592*$B$147</f>
        <v>0.42802060907937078</v>
      </c>
    </row>
    <row r="166" spans="1:26" x14ac:dyDescent="0.25">
      <c r="A166" s="2" t="s">
        <v>3</v>
      </c>
      <c r="B166" s="2">
        <v>598</v>
      </c>
      <c r="C166" s="5" t="s">
        <v>96</v>
      </c>
      <c r="D166" s="2">
        <v>0.29099999999999998</v>
      </c>
      <c r="L166" s="2" t="s">
        <v>3</v>
      </c>
      <c r="M166" s="2">
        <v>598</v>
      </c>
      <c r="N166" s="5" t="s">
        <v>96</v>
      </c>
      <c r="O166" s="2">
        <v>0.29099999999999998</v>
      </c>
      <c r="T166" s="2" t="s">
        <v>3</v>
      </c>
      <c r="U166" s="2">
        <v>598</v>
      </c>
      <c r="V166" s="5" t="s">
        <v>96</v>
      </c>
      <c r="W166" s="2">
        <v>0.29099999999999998</v>
      </c>
    </row>
    <row r="167" spans="1:26" x14ac:dyDescent="0.25">
      <c r="A167" s="73" t="s">
        <v>102</v>
      </c>
      <c r="B167" s="74"/>
      <c r="C167" s="74"/>
      <c r="D167" s="74"/>
      <c r="E167" s="74"/>
      <c r="F167" s="75"/>
      <c r="G167" s="2" t="s">
        <v>31</v>
      </c>
      <c r="L167" s="73" t="s">
        <v>390</v>
      </c>
      <c r="M167" s="74"/>
      <c r="N167" s="74"/>
      <c r="O167" s="74"/>
      <c r="P167" s="74"/>
      <c r="Q167" s="75"/>
      <c r="R167" s="2" t="s">
        <v>31</v>
      </c>
      <c r="T167" s="73" t="s">
        <v>391</v>
      </c>
      <c r="U167" s="74"/>
      <c r="V167" s="74"/>
      <c r="W167" s="74"/>
      <c r="X167" s="74"/>
      <c r="Y167" s="75"/>
      <c r="Z167" s="2" t="s">
        <v>31</v>
      </c>
    </row>
    <row r="168" spans="1:26" x14ac:dyDescent="0.25">
      <c r="A168" s="4" t="s">
        <v>1</v>
      </c>
      <c r="B168" s="4" t="s">
        <v>100</v>
      </c>
      <c r="C168" s="4" t="s">
        <v>0</v>
      </c>
      <c r="D168" s="5" t="s">
        <v>2</v>
      </c>
      <c r="E168" s="5" t="s">
        <v>4</v>
      </c>
      <c r="F168" s="4" t="s">
        <v>5</v>
      </c>
      <c r="G168" s="6" t="s">
        <v>7</v>
      </c>
      <c r="L168" s="4" t="s">
        <v>1</v>
      </c>
      <c r="M168" s="4" t="s">
        <v>100</v>
      </c>
      <c r="N168" s="4" t="s">
        <v>0</v>
      </c>
      <c r="O168" s="5" t="s">
        <v>2</v>
      </c>
      <c r="P168" s="5" t="s">
        <v>4</v>
      </c>
      <c r="Q168" s="4" t="s">
        <v>5</v>
      </c>
      <c r="R168" s="6" t="s">
        <v>7</v>
      </c>
      <c r="T168" s="4" t="s">
        <v>1</v>
      </c>
      <c r="U168" s="4" t="s">
        <v>100</v>
      </c>
      <c r="V168" s="4" t="s">
        <v>0</v>
      </c>
      <c r="W168" s="5" t="s">
        <v>2</v>
      </c>
      <c r="X168" s="5" t="s">
        <v>4</v>
      </c>
      <c r="Y168" s="4" t="s">
        <v>5</v>
      </c>
      <c r="Z168" s="6" t="s">
        <v>7</v>
      </c>
    </row>
    <row r="169" spans="1:26" x14ac:dyDescent="0.25">
      <c r="A169" s="7">
        <f>-C169*27.2114-4.66</f>
        <v>1.2776282982370004</v>
      </c>
      <c r="B169" s="7">
        <f>A169-0.0592*$B$147</f>
        <v>1.2776282982370004</v>
      </c>
      <c r="C169" s="3">
        <v>-0.218203705</v>
      </c>
      <c r="D169" s="9">
        <v>598</v>
      </c>
      <c r="E169" s="8">
        <v>-3256.8451248153401</v>
      </c>
      <c r="F169" s="7">
        <f>(E169-(D169-$B$166)*C169)*27.2114</f>
        <v>-88623.315429400143</v>
      </c>
      <c r="G169" s="54"/>
      <c r="L169" s="54"/>
      <c r="M169" s="54"/>
      <c r="N169" s="54"/>
      <c r="O169" s="54"/>
      <c r="P169" s="54"/>
      <c r="Q169" s="54"/>
      <c r="R169" s="54"/>
      <c r="T169" s="54"/>
      <c r="U169" s="54"/>
      <c r="V169" s="54"/>
      <c r="W169" s="54"/>
      <c r="X169" s="54"/>
      <c r="Y169" s="54"/>
      <c r="Z169" s="54"/>
    </row>
    <row r="170" spans="1:26" x14ac:dyDescent="0.25">
      <c r="A170" s="2">
        <v>0.8</v>
      </c>
      <c r="B170" s="7">
        <f t="shared" ref="B170:B172" si="34">A170-0.0592*$B$147</f>
        <v>0.8</v>
      </c>
      <c r="C170" s="3">
        <f>-(A170+4.66)/27.2114</f>
        <v>-0.20065119765980433</v>
      </c>
      <c r="D170" s="9">
        <v>598.46419300000002</v>
      </c>
      <c r="E170" s="8">
        <v>-3256.9424056688299</v>
      </c>
      <c r="F170" s="7">
        <f t="shared" ref="F170:F172" si="35">(E170-(D170-$B$166)*C170)*27.2114</f>
        <v>-88623.428083836799</v>
      </c>
      <c r="G170" s="8">
        <f>(F170+$D$133-2*A170)-(F152+$D$134+$D$135)+$B$3+$D$166-0.0592*$B$147</f>
        <v>-1.0504233471647233</v>
      </c>
      <c r="L170" s="2">
        <v>0.8</v>
      </c>
      <c r="M170" s="7">
        <f t="shared" ref="M170:M172" si="36">L170-0.0592*$B$147</f>
        <v>0.8</v>
      </c>
      <c r="N170" s="3">
        <f>-(L170+4.66)/27.2114</f>
        <v>-0.20065119765980433</v>
      </c>
      <c r="O170" s="9">
        <v>598.41425200000003</v>
      </c>
      <c r="P170" s="8">
        <v>-3256.9277935812902</v>
      </c>
      <c r="Q170" s="7">
        <f>(P170-(O170-$M$166)*N170)*27.2114</f>
        <v>-88623.303146337916</v>
      </c>
      <c r="R170" s="8">
        <f>(Q170+$D$133-2*L170)-(Q152+$D$134+$D$135)+$B$3+$D$166-0.0592*$B$147</f>
        <v>-0.94956695868222529</v>
      </c>
      <c r="T170" s="2">
        <v>0.8</v>
      </c>
      <c r="U170" s="7">
        <f t="shared" ref="U170:U172" si="37">T170-0.0592*$B$147</f>
        <v>0.8</v>
      </c>
      <c r="V170" s="3">
        <f>-(T170+4.66)/27.2114</f>
        <v>-0.20065119765980433</v>
      </c>
      <c r="W170" s="9">
        <v>598.36759900000004</v>
      </c>
      <c r="X170" s="8">
        <v>-3256.91621450719</v>
      </c>
      <c r="Y170" s="7">
        <f>(X170-(W170-$U$166)*V170)*27.2114</f>
        <v>-88623.242788900956</v>
      </c>
      <c r="Z170" s="8">
        <f>(Y170+$D$133-2*T170)-(Y152+$D$134+$D$135)+$B$3+$D$166-0.0592*$B$147</f>
        <v>-0.89350809009101728</v>
      </c>
    </row>
    <row r="171" spans="1:26" x14ac:dyDescent="0.25">
      <c r="A171" s="1">
        <v>0.4</v>
      </c>
      <c r="B171" s="7">
        <f t="shared" si="34"/>
        <v>0.4</v>
      </c>
      <c r="C171" s="3">
        <f>-(A171+4.66)/27.2114</f>
        <v>-0.18595147621952565</v>
      </c>
      <c r="D171" s="9">
        <v>598.882383</v>
      </c>
      <c r="E171" s="8">
        <v>-3257.0231176310199</v>
      </c>
      <c r="F171" s="7">
        <f t="shared" si="35"/>
        <v>-88623.694005124737</v>
      </c>
      <c r="G171" s="8">
        <f>(F171+$D$133-2*A171)-(F153+$D$134+$D$135)+$B$3+$D$166-0.0592*$B$147</f>
        <v>-0.470585416019275</v>
      </c>
      <c r="L171" s="1">
        <v>0.4</v>
      </c>
      <c r="M171" s="7">
        <f t="shared" si="36"/>
        <v>0.4</v>
      </c>
      <c r="N171" s="3">
        <f>-(L171+4.66)/27.2114</f>
        <v>-0.18595147621952565</v>
      </c>
      <c r="O171" s="9">
        <v>598.68928200000005</v>
      </c>
      <c r="P171" s="8">
        <v>-3256.9808959219899</v>
      </c>
      <c r="Q171" s="7">
        <f t="shared" ref="Q171:Q172" si="38">(P171-(O171-$M$166)*N171)*27.2114</f>
        <v>-88623.522184371643</v>
      </c>
      <c r="R171" s="8">
        <f>(Q171+$D$133-2*L171)-(Q153+$D$134+$D$135)+$B$3+$D$166-0.0592*$B$147</f>
        <v>-0.3195025382656233</v>
      </c>
      <c r="T171" s="1">
        <v>0.4</v>
      </c>
      <c r="U171" s="7">
        <f t="shared" si="37"/>
        <v>0.4</v>
      </c>
      <c r="V171" s="3">
        <f>-(T171+4.66)/27.2114</f>
        <v>-0.18595147621952565</v>
      </c>
      <c r="W171" s="9">
        <v>598.59161400000005</v>
      </c>
      <c r="X171" s="8">
        <v>-3256.9594710418301</v>
      </c>
      <c r="Y171" s="7">
        <f t="shared" ref="Y171:Y172" si="39">(X171-(W171-$U$166)*V171)*27.2114</f>
        <v>-88623.433383467665</v>
      </c>
      <c r="Z171" s="8">
        <f>(Y171+$D$133-2*T171)-(Y153+$D$134+$D$135)+$B$3+$D$166-0.0592*$B$147</f>
        <v>-0.23861297705207035</v>
      </c>
    </row>
    <row r="172" spans="1:26" x14ac:dyDescent="0.25">
      <c r="A172" s="2">
        <v>0</v>
      </c>
      <c r="B172" s="7">
        <f t="shared" si="34"/>
        <v>0</v>
      </c>
      <c r="C172" s="3">
        <f>-(A172+4.66)/27.2114</f>
        <v>-0.17125175477924692</v>
      </c>
      <c r="D172" s="9">
        <v>599.48916899999995</v>
      </c>
      <c r="E172" s="8">
        <v>-3257.1309492489199</v>
      </c>
      <c r="F172" s="7">
        <f t="shared" si="35"/>
        <v>-88624.153584852058</v>
      </c>
      <c r="G172" s="8">
        <f>(F172+$D$133-2*A172)-(F154+$D$134+$D$135)+$B$3+$D$166-0.0592*$B$147</f>
        <v>0.17902916667753815</v>
      </c>
      <c r="L172" s="2">
        <v>0</v>
      </c>
      <c r="M172" s="7">
        <f t="shared" si="36"/>
        <v>0</v>
      </c>
      <c r="N172" s="3">
        <f>-(L172+4.66)/27.2114</f>
        <v>-0.17125175477924692</v>
      </c>
      <c r="O172" s="9">
        <v>598.99147600000003</v>
      </c>
      <c r="P172" s="8">
        <v>-3257.0348123950198</v>
      </c>
      <c r="Q172" s="7">
        <f t="shared" si="38"/>
        <v>-88623.856815845851</v>
      </c>
      <c r="R172" s="8">
        <f>(Q172+$D$133-2*L172)-(Q154+$D$134+$D$135)+$B$3+$D$166-0.0592*$B$147</f>
        <v>0.31693081127832629</v>
      </c>
      <c r="T172" s="2">
        <v>0</v>
      </c>
      <c r="U172" s="7">
        <f t="shared" si="37"/>
        <v>0</v>
      </c>
      <c r="V172" s="3">
        <f>-(T172+4.66)/27.2114</f>
        <v>-0.17125175477924692</v>
      </c>
      <c r="W172" s="9">
        <v>598.83420999999998</v>
      </c>
      <c r="X172" s="8">
        <v>-3257.00276940818</v>
      </c>
      <c r="Y172" s="7">
        <f t="shared" si="39"/>
        <v>-88623.717740873748</v>
      </c>
      <c r="Z172" s="8">
        <f>(Y172+$D$133-2*T172)-(Y154+$D$134+$D$135)+$B$3+$D$166-0.0592*$B$147</f>
        <v>0.41488890443815835</v>
      </c>
    </row>
    <row r="175" spans="1:26" x14ac:dyDescent="0.25">
      <c r="A175" s="2" t="s">
        <v>3</v>
      </c>
      <c r="B175" s="2">
        <v>599</v>
      </c>
      <c r="C175" s="5" t="s">
        <v>96</v>
      </c>
      <c r="D175" s="2">
        <v>0.27100000000000002</v>
      </c>
    </row>
    <row r="176" spans="1:26" x14ac:dyDescent="0.25">
      <c r="A176" s="73" t="s">
        <v>103</v>
      </c>
      <c r="B176" s="74"/>
      <c r="C176" s="74"/>
      <c r="D176" s="74"/>
      <c r="E176" s="74"/>
      <c r="F176" s="75"/>
      <c r="G176" s="2" t="s">
        <v>31</v>
      </c>
    </row>
    <row r="177" spans="1:26" x14ac:dyDescent="0.25">
      <c r="A177" s="4" t="s">
        <v>1</v>
      </c>
      <c r="B177" s="4" t="s">
        <v>100</v>
      </c>
      <c r="C177" s="4" t="s">
        <v>0</v>
      </c>
      <c r="D177" s="5" t="s">
        <v>2</v>
      </c>
      <c r="E177" s="5" t="s">
        <v>4</v>
      </c>
      <c r="F177" s="4" t="s">
        <v>5</v>
      </c>
      <c r="G177" s="6" t="s">
        <v>7</v>
      </c>
    </row>
    <row r="178" spans="1:26" x14ac:dyDescent="0.25">
      <c r="A178" s="7">
        <f>-C178*27.2114-4.66</f>
        <v>0.89910354709759943</v>
      </c>
      <c r="B178" s="7">
        <f>A178-0.0592*$B$147</f>
        <v>0.89910354709759943</v>
      </c>
      <c r="C178" s="3">
        <v>-0.20429318399999999</v>
      </c>
      <c r="D178" s="9">
        <v>599</v>
      </c>
      <c r="E178" s="8">
        <v>-3260.9989321645198</v>
      </c>
      <c r="F178" s="7">
        <f>(E178-(D178-$B$175)*C178)*27.2114</f>
        <v>-88736.346342701625</v>
      </c>
      <c r="G178" s="54"/>
    </row>
    <row r="179" spans="1:26" x14ac:dyDescent="0.25">
      <c r="A179" s="2">
        <v>0.8</v>
      </c>
      <c r="B179" s="7">
        <f t="shared" ref="B179:B181" si="40">A179-0.0592*$B$147</f>
        <v>0.8</v>
      </c>
      <c r="C179" s="3">
        <f>-(A179+4.66)/27.2114</f>
        <v>-0.20065119765980433</v>
      </c>
      <c r="D179" s="9">
        <v>599.08580600000005</v>
      </c>
      <c r="E179" s="8">
        <v>-3261.0163068939401</v>
      </c>
      <c r="F179" s="7">
        <f t="shared" ref="F179:F181" si="41">(E179-(D179-$B$175)*C179)*27.2114</f>
        <v>-88736.350632653761</v>
      </c>
      <c r="G179" s="8">
        <f>(F179+$D$133/2-1*A179)-(F152+$D$136)+$B$4+$D$175-0.0592*$B$147</f>
        <v>-7.0176927894695318E-2</v>
      </c>
    </row>
    <row r="180" spans="1:26" x14ac:dyDescent="0.25">
      <c r="A180" s="1">
        <v>0.4</v>
      </c>
      <c r="B180" s="7">
        <f t="shared" si="40"/>
        <v>0.4</v>
      </c>
      <c r="C180" s="3">
        <f>-(A180+4.66)/27.2114</f>
        <v>-0.18595147621952565</v>
      </c>
      <c r="D180" s="9">
        <v>599.48043199999995</v>
      </c>
      <c r="E180" s="8">
        <v>-3261.09248632767</v>
      </c>
      <c r="F180" s="7">
        <f t="shared" si="41"/>
        <v>-88736.461096536776</v>
      </c>
      <c r="G180" s="8">
        <f>(F180+$D$133/2-1*A180)-(F153+$D$136)+$B$4+$D$175-0.0592*$B$147</f>
        <v>0.26511840817891841</v>
      </c>
    </row>
    <row r="181" spans="1:26" x14ac:dyDescent="0.25">
      <c r="A181" s="2">
        <v>0</v>
      </c>
      <c r="B181" s="7">
        <f t="shared" si="40"/>
        <v>0</v>
      </c>
      <c r="C181" s="3">
        <f>-(A181+4.66)/27.2114</f>
        <v>-0.17125175477924692</v>
      </c>
      <c r="D181" s="9">
        <v>600.04917499999999</v>
      </c>
      <c r="E181" s="8">
        <v>-3261.19369843308</v>
      </c>
      <c r="F181" s="7">
        <f t="shared" si="41"/>
        <v>-88736.757050041924</v>
      </c>
      <c r="G181" s="8">
        <f>(F181+$D$133/2-1*A181)-(F154+$D$136)+$B$4+$D$175-0.0592*$B$147</f>
        <v>0.67835921303975244</v>
      </c>
    </row>
    <row r="184" spans="1:26" x14ac:dyDescent="0.25">
      <c r="A184" s="2" t="s">
        <v>3</v>
      </c>
      <c r="B184" s="2">
        <v>593</v>
      </c>
      <c r="C184" s="5" t="s">
        <v>96</v>
      </c>
      <c r="D184" s="2">
        <v>0.18099999999999999</v>
      </c>
      <c r="L184" s="2" t="s">
        <v>3</v>
      </c>
      <c r="M184" s="2">
        <v>593</v>
      </c>
      <c r="N184" s="5" t="s">
        <v>96</v>
      </c>
      <c r="O184" s="2">
        <v>0.18099999999999999</v>
      </c>
      <c r="T184" s="2" t="s">
        <v>3</v>
      </c>
      <c r="U184" s="2">
        <v>593</v>
      </c>
      <c r="V184" s="5" t="s">
        <v>96</v>
      </c>
      <c r="W184" s="2">
        <v>0.18099999999999999</v>
      </c>
    </row>
    <row r="185" spans="1:26" x14ac:dyDescent="0.25">
      <c r="A185" s="73" t="s">
        <v>104</v>
      </c>
      <c r="B185" s="74"/>
      <c r="C185" s="74"/>
      <c r="D185" s="74"/>
      <c r="E185" s="74"/>
      <c r="F185" s="75"/>
      <c r="G185" s="2" t="s">
        <v>31</v>
      </c>
      <c r="L185" s="73" t="s">
        <v>392</v>
      </c>
      <c r="M185" s="74"/>
      <c r="N185" s="74"/>
      <c r="O185" s="74"/>
      <c r="P185" s="74"/>
      <c r="Q185" s="75"/>
      <c r="R185" s="2" t="s">
        <v>31</v>
      </c>
      <c r="T185" s="73" t="s">
        <v>393</v>
      </c>
      <c r="U185" s="74"/>
      <c r="V185" s="74"/>
      <c r="W185" s="74"/>
      <c r="X185" s="74"/>
      <c r="Y185" s="75"/>
      <c r="Z185" s="2" t="s">
        <v>31</v>
      </c>
    </row>
    <row r="186" spans="1:26" x14ac:dyDescent="0.25">
      <c r="A186" s="4" t="s">
        <v>1</v>
      </c>
      <c r="B186" s="4" t="s">
        <v>100</v>
      </c>
      <c r="C186" s="4" t="s">
        <v>0</v>
      </c>
      <c r="D186" s="5" t="s">
        <v>2</v>
      </c>
      <c r="E186" s="5" t="s">
        <v>4</v>
      </c>
      <c r="F186" s="4" t="s">
        <v>5</v>
      </c>
      <c r="G186" s="6" t="s">
        <v>7</v>
      </c>
      <c r="L186" s="4" t="s">
        <v>1</v>
      </c>
      <c r="M186" s="4" t="s">
        <v>100</v>
      </c>
      <c r="N186" s="4" t="s">
        <v>0</v>
      </c>
      <c r="O186" s="5" t="s">
        <v>2</v>
      </c>
      <c r="P186" s="5" t="s">
        <v>4</v>
      </c>
      <c r="Q186" s="4" t="s">
        <v>5</v>
      </c>
      <c r="R186" s="6" t="s">
        <v>7</v>
      </c>
      <c r="T186" s="4" t="s">
        <v>1</v>
      </c>
      <c r="U186" s="4" t="s">
        <v>100</v>
      </c>
      <c r="V186" s="4" t="s">
        <v>0</v>
      </c>
      <c r="W186" s="5" t="s">
        <v>2</v>
      </c>
      <c r="X186" s="5" t="s">
        <v>4</v>
      </c>
      <c r="Y186" s="4" t="s">
        <v>5</v>
      </c>
      <c r="Z186" s="6" t="s">
        <v>7</v>
      </c>
    </row>
    <row r="187" spans="1:26" x14ac:dyDescent="0.25">
      <c r="A187" s="7">
        <f>-C187*27.2114-4.66</f>
        <v>0.77228990592939972</v>
      </c>
      <c r="B187" s="7">
        <f>A187-0.0592*$B$147</f>
        <v>0.77228990592939972</v>
      </c>
      <c r="C187" s="3">
        <v>-0.19963287099999999</v>
      </c>
      <c r="D187" s="9">
        <v>593</v>
      </c>
      <c r="E187" s="8">
        <v>-3244.9669820694999</v>
      </c>
      <c r="F187" s="7">
        <f>(E187-(D187-$B$184)*C187)*27.2114</f>
        <v>-88300.09453588599</v>
      </c>
      <c r="G187" s="54"/>
      <c r="L187" s="54"/>
      <c r="M187" s="54"/>
      <c r="N187" s="54"/>
      <c r="O187" s="54"/>
      <c r="P187" s="54"/>
      <c r="Q187" s="54"/>
      <c r="R187" s="54"/>
      <c r="T187" s="54"/>
      <c r="U187" s="54"/>
      <c r="V187" s="54"/>
      <c r="W187" s="54"/>
      <c r="X187" s="54"/>
      <c r="Y187" s="54"/>
      <c r="Z187" s="54"/>
    </row>
    <row r="188" spans="1:26" x14ac:dyDescent="0.25">
      <c r="A188" s="2">
        <v>0.8</v>
      </c>
      <c r="B188" s="7">
        <f t="shared" ref="B188:B190" si="42">A188-0.0592*$B$27</f>
        <v>0.74080000000000001</v>
      </c>
      <c r="C188" s="3">
        <f>-(A188+4.66)/27.2114</f>
        <v>-0.20065119765980433</v>
      </c>
      <c r="D188" s="9">
        <v>592.976136</v>
      </c>
      <c r="E188" s="8">
        <v>-3244.9622068868598</v>
      </c>
      <c r="F188" s="7">
        <f t="shared" ref="F188:F190" si="43">(E188-(D188-$B$184)*C188)*27.2114</f>
        <v>-88300.094893921094</v>
      </c>
      <c r="G188" s="8">
        <f>(F188+$D$133/2-1*A188)-(F152+$D$137)+$B$5+$D$184-0.0592*$B$147</f>
        <v>-0.87327589594289279</v>
      </c>
      <c r="L188" s="2">
        <v>0.8</v>
      </c>
      <c r="M188" s="7">
        <f>L188-0.0592*$B$147</f>
        <v>0.8</v>
      </c>
      <c r="N188" s="3">
        <f>-(L188+4.66)/27.2114</f>
        <v>-0.20065119765980433</v>
      </c>
      <c r="O188" s="9">
        <v>593.03871900000001</v>
      </c>
      <c r="P188" s="8">
        <v>-3244.9737408922601</v>
      </c>
      <c r="Q188" s="7">
        <f>(P188-(O188-$B$184)*N188)*27.2114</f>
        <v>-88300.067047175646</v>
      </c>
      <c r="R188" s="8">
        <f>(Q188+$D$133/2-1*L188)-(Q152+$D$137)+$B$5+$D$184-0.0592*$B$147</f>
        <v>-0.86951026089601768</v>
      </c>
      <c r="T188" s="2">
        <v>0.8</v>
      </c>
      <c r="U188" s="7">
        <f>T188-0.0592*$B$147</f>
        <v>0.8</v>
      </c>
      <c r="V188" s="3">
        <f>-(T188+4.66)/27.2114</f>
        <v>-0.20065119765980433</v>
      </c>
      <c r="W188" s="9">
        <v>593.04817400000002</v>
      </c>
      <c r="X188" s="8">
        <v>-3244.9754031696598</v>
      </c>
      <c r="Y188" s="7">
        <f t="shared" ref="Y188:Y190" si="44">(X188-(W188-$B$184)*V188)*27.2114</f>
        <v>-88300.060655770882</v>
      </c>
      <c r="Z188" s="8">
        <f>(Y188+$D$133/2-1*T188)-(Y152+$D$137)+$B$5+$D$184-0.0592*$B$147</f>
        <v>-0.86741742450041315</v>
      </c>
    </row>
    <row r="189" spans="1:26" x14ac:dyDescent="0.25">
      <c r="A189" s="1">
        <v>0.4</v>
      </c>
      <c r="B189" s="7">
        <f t="shared" si="42"/>
        <v>0.34079999999999999</v>
      </c>
      <c r="C189" s="3">
        <f>-(A189+4.66)/27.2114</f>
        <v>-0.18595147621952565</v>
      </c>
      <c r="D189" s="9">
        <v>593.36024799999996</v>
      </c>
      <c r="E189" s="8">
        <v>-3245.0362940756499</v>
      </c>
      <c r="F189" s="7">
        <f t="shared" si="43"/>
        <v>-88300.157757730136</v>
      </c>
      <c r="G189" s="8">
        <f>(F189+$D$133/2-1*A189)-(F153+$D$137)+$B$5+$D$184-0.0592*$B$147</f>
        <v>-0.4903804858965623</v>
      </c>
      <c r="L189" s="1">
        <v>0.4</v>
      </c>
      <c r="M189" s="7">
        <f t="shared" ref="M189:M190" si="45">L189-0.0592*$B$147</f>
        <v>0.4</v>
      </c>
      <c r="N189" s="3">
        <f>-(L189+4.66)/27.2114</f>
        <v>-0.18595147621952565</v>
      </c>
      <c r="O189" s="9">
        <v>593.28262900000004</v>
      </c>
      <c r="P189" s="8">
        <v>-3245.0208315760101</v>
      </c>
      <c r="Q189" s="7">
        <f t="shared" ref="Q189:Q190" si="46">(P189-(O189-$B$184)*N189)*27.2114</f>
        <v>-88300.129753607442</v>
      </c>
      <c r="R189" s="8">
        <f>(Q189+$D$133/2-1*L189)-(Q153+$D$137)+$B$5+$D$184-0.0592*$B$147</f>
        <v>-0.48311423854258012</v>
      </c>
      <c r="T189" s="1">
        <v>0.4</v>
      </c>
      <c r="U189" s="7">
        <f t="shared" ref="U189:U190" si="47">T189-0.0592*$B$147</f>
        <v>0.4</v>
      </c>
      <c r="V189" s="3">
        <f>-(T189+4.66)/27.2114</f>
        <v>-0.18595147621952565</v>
      </c>
      <c r="W189" s="9">
        <v>593.24415199999999</v>
      </c>
      <c r="X189" s="8">
        <v>-3245.0132717910201</v>
      </c>
      <c r="Y189" s="7">
        <f t="shared" si="44"/>
        <v>-88300.118734894175</v>
      </c>
      <c r="Z189" s="8">
        <f>(Y189+$D$133/2-1*T189)-(Y153+$D$137)+$B$5+$D$184-0.0592*$B$147</f>
        <v>-0.48000686803944975</v>
      </c>
    </row>
    <row r="190" spans="1:26" x14ac:dyDescent="0.25">
      <c r="A190" s="2">
        <v>0</v>
      </c>
      <c r="B190" s="7">
        <f t="shared" si="42"/>
        <v>-5.9200000000000003E-2</v>
      </c>
      <c r="C190" s="3">
        <f>-(A190+4.66)/27.2114</f>
        <v>-0.17125175477924692</v>
      </c>
      <c r="D190" s="9">
        <v>593.953396</v>
      </c>
      <c r="E190" s="8">
        <v>-3245.14173199275</v>
      </c>
      <c r="F190" s="7">
        <f t="shared" si="43"/>
        <v>-88300.406900587521</v>
      </c>
      <c r="G190" s="8">
        <f>(F190+$D$133/2-1*A190)-(F154+$D$137)+$B$5+$D$184-0.0592*$B$147</f>
        <v>-3.0329033271950745E-2</v>
      </c>
      <c r="L190" s="2">
        <v>0</v>
      </c>
      <c r="M190" s="7">
        <f t="shared" si="45"/>
        <v>0</v>
      </c>
      <c r="N190" s="3">
        <f>-(L190+4.66)/27.2114</f>
        <v>-0.17125175477924692</v>
      </c>
      <c r="O190" s="9">
        <v>593.57429999999999</v>
      </c>
      <c r="P190" s="8">
        <v>-3245.0728404347501</v>
      </c>
      <c r="Q190" s="7">
        <f t="shared" si="46"/>
        <v>-88300.298852206164</v>
      </c>
      <c r="R190" s="8">
        <f>(Q190+$D$133/2-1*L190)-(Q154+$D$137)+$B$5+$D$184-0.0592*$B$147</f>
        <v>-8.11480135214106E-2</v>
      </c>
      <c r="T190" s="2">
        <v>0</v>
      </c>
      <c r="U190" s="7">
        <f t="shared" si="47"/>
        <v>0</v>
      </c>
      <c r="V190" s="3">
        <f>-(T190+4.66)/27.2114</f>
        <v>-0.17125175477924692</v>
      </c>
      <c r="W190" s="9">
        <v>593.47201099999995</v>
      </c>
      <c r="X190" s="8">
        <v>-3245.05394643208</v>
      </c>
      <c r="Y190" s="7">
        <f t="shared" si="44"/>
        <v>-88300.261386681901</v>
      </c>
      <c r="Z190" s="8">
        <f>(Y190+$D$133/2-1*T190)-(Y154+$D$137)+$B$5+$D$184-0.0592*$B$147</f>
        <v>-8.4799368201597669E-2</v>
      </c>
    </row>
    <row r="191" spans="1:26" x14ac:dyDescent="0.25">
      <c r="A191" s="2" t="s">
        <v>3</v>
      </c>
      <c r="B191" s="2">
        <v>593</v>
      </c>
      <c r="C191" s="5" t="s">
        <v>96</v>
      </c>
      <c r="D191" s="2">
        <v>0.20200000000000001</v>
      </c>
      <c r="E191" s="55"/>
      <c r="F191" s="56"/>
      <c r="G191" s="57"/>
    </row>
    <row r="192" spans="1:26" x14ac:dyDescent="0.25">
      <c r="A192" s="73" t="s">
        <v>171</v>
      </c>
      <c r="B192" s="74"/>
      <c r="C192" s="74"/>
      <c r="D192" s="74"/>
      <c r="E192" s="74"/>
      <c r="F192" s="75"/>
      <c r="G192" s="2" t="s">
        <v>31</v>
      </c>
    </row>
    <row r="193" spans="1:42" x14ac:dyDescent="0.25">
      <c r="A193" s="4" t="s">
        <v>1</v>
      </c>
      <c r="B193" s="4" t="s">
        <v>100</v>
      </c>
      <c r="C193" s="4" t="s">
        <v>0</v>
      </c>
      <c r="D193" s="5" t="s">
        <v>2</v>
      </c>
      <c r="E193" s="5" t="s">
        <v>4</v>
      </c>
      <c r="F193" s="4" t="s">
        <v>5</v>
      </c>
      <c r="G193" s="6" t="s">
        <v>7</v>
      </c>
    </row>
    <row r="194" spans="1:42" x14ac:dyDescent="0.25">
      <c r="A194" s="7">
        <f>-C194*27.2114-4.66</f>
        <v>0.83258098039639972</v>
      </c>
      <c r="B194" s="7">
        <f>A194-0.0592*$B$147</f>
        <v>0.83258098039639972</v>
      </c>
      <c r="C194" s="3">
        <v>-0.201848526</v>
      </c>
      <c r="D194" s="9">
        <v>593</v>
      </c>
      <c r="E194" s="8">
        <v>-3244.96867278528</v>
      </c>
      <c r="F194" s="7">
        <f>(E194-(D194-$B$184)*C194)*27.2114</f>
        <v>-88300.140542629364</v>
      </c>
      <c r="G194" s="54"/>
    </row>
    <row r="195" spans="1:42" x14ac:dyDescent="0.25">
      <c r="A195" s="2">
        <v>0.8</v>
      </c>
      <c r="B195" s="7">
        <f t="shared" ref="B195:B197" si="48">A195-0.0592*$B$27</f>
        <v>0.74080000000000001</v>
      </c>
      <c r="C195" s="3">
        <f>-(A195+4.66)/27.2114</f>
        <v>-0.20065119765980433</v>
      </c>
      <c r="D195" s="9">
        <v>593.02781900000002</v>
      </c>
      <c r="E195" s="8">
        <v>-3244.97427329125</v>
      </c>
      <c r="F195" s="7">
        <f t="shared" ref="F195:F197" si="49">(E195-(D195-$B$184)*C195)*27.2114</f>
        <v>-88300.14104849752</v>
      </c>
      <c r="G195" s="8">
        <f>(F195+$D$133/2-1*A195)-(F152+$D$137)+$B$5+$D$191-0.0592*$B$147</f>
        <v>-0.89843047236938123</v>
      </c>
    </row>
    <row r="196" spans="1:42" x14ac:dyDescent="0.25">
      <c r="A196" s="1">
        <v>0.4</v>
      </c>
      <c r="B196" s="7">
        <f t="shared" si="48"/>
        <v>0.34079999999999999</v>
      </c>
      <c r="C196" s="3">
        <f>-(A196+4.66)/27.2114</f>
        <v>-0.18595147621952565</v>
      </c>
      <c r="D196" s="9">
        <v>593.41831300000001</v>
      </c>
      <c r="E196" s="8">
        <v>-3245.0495841265802</v>
      </c>
      <c r="F196" s="7">
        <f t="shared" si="49"/>
        <v>-88300.225589722017</v>
      </c>
      <c r="G196" s="8">
        <f>(F196+$D$133/2-1*A196)-(F153+$D$137)+$B$5+$D$191-0.0592*$B$147</f>
        <v>-0.53721247777722869</v>
      </c>
    </row>
    <row r="197" spans="1:42" x14ac:dyDescent="0.25">
      <c r="A197" s="2">
        <v>0</v>
      </c>
      <c r="B197" s="7">
        <f t="shared" si="48"/>
        <v>-5.9200000000000003E-2</v>
      </c>
      <c r="C197" s="3">
        <f>-(A197+4.66)/27.2114</f>
        <v>-0.17125175477924692</v>
      </c>
      <c r="D197" s="9">
        <v>594.07282299999997</v>
      </c>
      <c r="E197" s="8">
        <v>-3245.1661876962999</v>
      </c>
      <c r="F197" s="7">
        <f t="shared" si="49"/>
        <v>-88300.515844699097</v>
      </c>
      <c r="G197" s="8">
        <f>(F197+$D$133/2-1*A197)-(F154+$D$137)+$B$5+$D$191-0.0592*$B$147</f>
        <v>-0.11827314484837098</v>
      </c>
    </row>
    <row r="199" spans="1:42" x14ac:dyDescent="0.25">
      <c r="D199" s="5" t="s">
        <v>413</v>
      </c>
      <c r="E199" s="70" t="s">
        <v>415</v>
      </c>
      <c r="F199" s="5">
        <v>0.4</v>
      </c>
      <c r="G199" s="5" t="s">
        <v>414</v>
      </c>
    </row>
    <row r="200" spans="1:42" x14ac:dyDescent="0.25">
      <c r="A200" s="2" t="s">
        <v>3</v>
      </c>
      <c r="B200" s="2">
        <v>599</v>
      </c>
      <c r="C200" s="69" t="s">
        <v>96</v>
      </c>
      <c r="D200" s="2">
        <v>1.1930000000000001</v>
      </c>
      <c r="E200" s="2">
        <v>1.208</v>
      </c>
      <c r="F200" s="2">
        <v>1.2250000000000001</v>
      </c>
      <c r="G200" s="2">
        <v>1.2150000000000001</v>
      </c>
      <c r="L200" s="2" t="s">
        <v>3</v>
      </c>
      <c r="M200" s="2">
        <v>599</v>
      </c>
      <c r="N200" s="5" t="s">
        <v>96</v>
      </c>
      <c r="O200" s="2">
        <v>1.1930000000000001</v>
      </c>
      <c r="T200" s="2" t="s">
        <v>3</v>
      </c>
      <c r="U200" s="2">
        <v>599</v>
      </c>
      <c r="V200" s="5" t="s">
        <v>96</v>
      </c>
      <c r="W200" s="2">
        <v>1.1930000000000001</v>
      </c>
      <c r="AB200" s="2" t="s">
        <v>3</v>
      </c>
      <c r="AC200" s="2">
        <v>599</v>
      </c>
      <c r="AD200" s="5" t="s">
        <v>96</v>
      </c>
      <c r="AE200" s="2">
        <v>1.1879999999999999</v>
      </c>
      <c r="AJ200" s="2" t="s">
        <v>3</v>
      </c>
      <c r="AK200" s="2">
        <v>743</v>
      </c>
      <c r="AL200" s="5" t="s">
        <v>96</v>
      </c>
      <c r="AM200" s="2">
        <v>1.2070000000000001</v>
      </c>
    </row>
    <row r="201" spans="1:42" x14ac:dyDescent="0.25">
      <c r="A201" s="73" t="s">
        <v>89</v>
      </c>
      <c r="B201" s="74"/>
      <c r="C201" s="74"/>
      <c r="D201" s="74"/>
      <c r="E201" s="74"/>
      <c r="F201" s="75"/>
      <c r="G201" s="2" t="s">
        <v>31</v>
      </c>
      <c r="L201" s="73" t="s">
        <v>394</v>
      </c>
      <c r="M201" s="74"/>
      <c r="N201" s="74"/>
      <c r="O201" s="74"/>
      <c r="P201" s="74"/>
      <c r="Q201" s="75"/>
      <c r="R201" s="2" t="s">
        <v>31</v>
      </c>
      <c r="T201" s="73" t="s">
        <v>395</v>
      </c>
      <c r="U201" s="74"/>
      <c r="V201" s="74"/>
      <c r="W201" s="74"/>
      <c r="X201" s="74"/>
      <c r="Y201" s="75"/>
      <c r="Z201" s="2" t="s">
        <v>31</v>
      </c>
      <c r="AB201" s="73" t="s">
        <v>411</v>
      </c>
      <c r="AC201" s="74"/>
      <c r="AD201" s="74"/>
      <c r="AE201" s="74"/>
      <c r="AF201" s="74"/>
      <c r="AG201" s="75"/>
      <c r="AH201" s="2" t="s">
        <v>31</v>
      </c>
      <c r="AJ201" s="73" t="s">
        <v>412</v>
      </c>
      <c r="AK201" s="74"/>
      <c r="AL201" s="74"/>
      <c r="AM201" s="74"/>
      <c r="AN201" s="74"/>
      <c r="AO201" s="75"/>
      <c r="AP201" s="2" t="s">
        <v>31</v>
      </c>
    </row>
    <row r="202" spans="1:42" x14ac:dyDescent="0.25">
      <c r="A202" s="4" t="s">
        <v>1</v>
      </c>
      <c r="B202" s="4" t="s">
        <v>100</v>
      </c>
      <c r="C202" s="4" t="s">
        <v>0</v>
      </c>
      <c r="D202" s="5" t="s">
        <v>2</v>
      </c>
      <c r="E202" s="5" t="s">
        <v>4</v>
      </c>
      <c r="F202" s="4" t="s">
        <v>5</v>
      </c>
      <c r="G202" s="6" t="s">
        <v>7</v>
      </c>
      <c r="L202" s="4" t="s">
        <v>1</v>
      </c>
      <c r="M202" s="4" t="s">
        <v>100</v>
      </c>
      <c r="N202" s="4" t="s">
        <v>0</v>
      </c>
      <c r="O202" s="5" t="s">
        <v>2</v>
      </c>
      <c r="P202" s="5" t="s">
        <v>4</v>
      </c>
      <c r="Q202" s="4" t="s">
        <v>5</v>
      </c>
      <c r="R202" s="6" t="s">
        <v>7</v>
      </c>
      <c r="T202" s="4" t="s">
        <v>1</v>
      </c>
      <c r="U202" s="4" t="s">
        <v>100</v>
      </c>
      <c r="V202" s="4" t="s">
        <v>0</v>
      </c>
      <c r="W202" s="5" t="s">
        <v>2</v>
      </c>
      <c r="X202" s="5" t="s">
        <v>4</v>
      </c>
      <c r="Y202" s="4" t="s">
        <v>5</v>
      </c>
      <c r="Z202" s="6" t="s">
        <v>7</v>
      </c>
      <c r="AB202" s="4" t="s">
        <v>1</v>
      </c>
      <c r="AC202" s="4" t="s">
        <v>100</v>
      </c>
      <c r="AD202" s="4" t="s">
        <v>0</v>
      </c>
      <c r="AE202" s="5" t="s">
        <v>2</v>
      </c>
      <c r="AF202" s="5" t="s">
        <v>4</v>
      </c>
      <c r="AG202" s="4" t="s">
        <v>5</v>
      </c>
      <c r="AH202" s="6" t="s">
        <v>7</v>
      </c>
      <c r="AJ202" s="4" t="s">
        <v>1</v>
      </c>
      <c r="AK202" s="4" t="s">
        <v>100</v>
      </c>
      <c r="AL202" s="4" t="s">
        <v>0</v>
      </c>
      <c r="AM202" s="5" t="s">
        <v>2</v>
      </c>
      <c r="AN202" s="5" t="s">
        <v>4</v>
      </c>
      <c r="AO202" s="4" t="s">
        <v>5</v>
      </c>
      <c r="AP202" s="6" t="s">
        <v>7</v>
      </c>
    </row>
    <row r="203" spans="1:42" x14ac:dyDescent="0.25">
      <c r="A203" s="7">
        <f>-C203*27.2114-4.66</f>
        <v>0.58565855980859993</v>
      </c>
      <c r="B203" s="7">
        <f>A203-0.0592*$B$147</f>
        <v>0.58565855980859993</v>
      </c>
      <c r="C203" s="3">
        <v>-0.19277429900000001</v>
      </c>
      <c r="D203" s="9">
        <v>599</v>
      </c>
      <c r="E203" s="8">
        <v>-3248.2949956491798</v>
      </c>
      <c r="F203" s="7">
        <f>(E203-(D203-$B$200)*C203)*27.2114</f>
        <v>-88390.654444608095</v>
      </c>
      <c r="G203" s="54"/>
      <c r="L203" s="54"/>
      <c r="M203" s="54"/>
      <c r="N203" s="54"/>
      <c r="O203" s="54"/>
      <c r="P203" s="54"/>
      <c r="Q203" s="54"/>
      <c r="R203" s="54"/>
      <c r="T203" s="54"/>
      <c r="U203" s="54"/>
      <c r="V203" s="54"/>
      <c r="W203" s="54"/>
      <c r="X203" s="54"/>
      <c r="Y203" s="54"/>
      <c r="Z203" s="54"/>
      <c r="AB203" s="54"/>
      <c r="AC203" s="54"/>
      <c r="AD203" s="54"/>
      <c r="AE203" s="54"/>
      <c r="AF203" s="54"/>
      <c r="AG203" s="54"/>
      <c r="AH203" s="54"/>
      <c r="AJ203" s="54"/>
      <c r="AK203" s="54"/>
      <c r="AL203" s="54"/>
      <c r="AM203" s="54"/>
      <c r="AN203" s="54"/>
      <c r="AO203" s="54"/>
      <c r="AP203" s="54"/>
    </row>
    <row r="204" spans="1:42" x14ac:dyDescent="0.25">
      <c r="A204" s="2">
        <v>0.8</v>
      </c>
      <c r="B204" s="7">
        <f t="shared" ref="B204:B206" si="50">A204-0.0592*$B$147</f>
        <v>0.8</v>
      </c>
      <c r="C204" s="3">
        <f>-(A204+4.66)/27.2114</f>
        <v>-0.20065119765980433</v>
      </c>
      <c r="D204" s="9">
        <v>598.80917799999997</v>
      </c>
      <c r="E204" s="8">
        <v>-3248.25746867403</v>
      </c>
      <c r="F204" s="7">
        <f>(E204-(D204-$B$200)*C204)*27.2114</f>
        <v>-88390.675171196504</v>
      </c>
      <c r="G204" s="8">
        <f>(F204+$D$133/2-1*A204)-(F152+$D$138)+$B$6+$D$200-0.0592*$B$147</f>
        <v>-0.91307453029404773</v>
      </c>
      <c r="L204" s="2">
        <v>0.8</v>
      </c>
      <c r="M204" s="7">
        <f t="shared" ref="M204:M206" si="51">L204-0.0592*$B$147</f>
        <v>0.8</v>
      </c>
      <c r="N204" s="3">
        <f>-(L204+4.66)/27.2114</f>
        <v>-0.20065119765980433</v>
      </c>
      <c r="O204" s="9">
        <v>598.86961699999995</v>
      </c>
      <c r="P204" s="8">
        <v>-3248.2659697198701</v>
      </c>
      <c r="Q204" s="7">
        <f>(P204-(O204-$B$200)*N204)*27.2114</f>
        <v>-88390.576499615272</v>
      </c>
      <c r="R204" s="8">
        <f>(Q204+$D$133/2-1*L204)-(Q152+$D$138)+$B$6+$D$200-0.0592*$B$147</f>
        <v>-0.8384840594630214</v>
      </c>
      <c r="T204" s="2">
        <v>0.8</v>
      </c>
      <c r="U204" s="7">
        <f t="shared" ref="U204:U206" si="52">T204-0.0592*$B$147</f>
        <v>0.8</v>
      </c>
      <c r="V204" s="3">
        <f>-(T204+4.66)/27.2114</f>
        <v>-0.20065119765980433</v>
      </c>
      <c r="W204" s="9">
        <v>598.87732400000004</v>
      </c>
      <c r="X204" s="8">
        <v>-3248.2666296664802</v>
      </c>
      <c r="Y204" s="7">
        <f>(X204-(W204-$B$200)*V204)*27.2114</f>
        <v>-88390.552377466462</v>
      </c>
      <c r="Z204" s="8">
        <f>(Y204+$D$133/2-1*T204)-(Y152+$D$138)+$B$6+$D$200-0.0592*$B$147</f>
        <v>-0.81866047902114136</v>
      </c>
      <c r="AB204" s="2">
        <v>0.8</v>
      </c>
      <c r="AC204" s="7">
        <f t="shared" ref="AC204:AC206" si="53">AB204-0.0592*$B$147</f>
        <v>0.8</v>
      </c>
      <c r="AD204" s="3">
        <f>-(AB204+4.66)/27.2114</f>
        <v>-0.20065119765980433</v>
      </c>
      <c r="AE204" s="9">
        <v>598.80964700000004</v>
      </c>
      <c r="AF204" s="7">
        <v>-3248.2592130954799</v>
      </c>
      <c r="AG204" s="7">
        <f>(AF204-(AE204-$AC$200)*AD204)*27.2114</f>
        <v>-88390.720078606348</v>
      </c>
      <c r="AH204" s="8">
        <f>(AG204+$D$133/2-1*AB204)-(AG152+$D$138)+$B$6+$AE$200-0.0592*$B$147</f>
        <v>-0.92760443807428161</v>
      </c>
      <c r="AJ204" s="2">
        <v>0.8</v>
      </c>
      <c r="AK204" s="7">
        <f t="shared" ref="AK204:AK206" si="54">AJ204-0.0592*$B$147</f>
        <v>0.8</v>
      </c>
      <c r="AL204" s="3">
        <f>-(AJ204+4.66)/27.2114</f>
        <v>-0.20065119765980433</v>
      </c>
      <c r="AM204" s="9">
        <v>742.80598299999997</v>
      </c>
      <c r="AN204" s="8">
        <v>-4049.1444923713302</v>
      </c>
      <c r="AO204" s="7">
        <f>(AN204-(AM204-$AK$200)*AL204)*27.2114</f>
        <v>-110183.94977253322</v>
      </c>
      <c r="AP204" s="8">
        <f>(AO204+$D$133/2-1*AJ204)-(AO152+$D$138)+$B$6+$AM$200-0.0592*$B$147</f>
        <v>-0.94029603941412554</v>
      </c>
    </row>
    <row r="205" spans="1:42" x14ac:dyDescent="0.25">
      <c r="A205" s="1">
        <v>0.4</v>
      </c>
      <c r="B205" s="7">
        <f t="shared" si="50"/>
        <v>0.4</v>
      </c>
      <c r="C205" s="3">
        <f>-(A205+4.66)/27.2114</f>
        <v>-0.18595147621952565</v>
      </c>
      <c r="D205" s="9">
        <v>599.19673</v>
      </c>
      <c r="E205" s="8">
        <v>-3248.3322348305501</v>
      </c>
      <c r="F205" s="7">
        <f>(E205-(D205-$B$200)*C205)*27.2114</f>
        <v>-88390.672321068036</v>
      </c>
      <c r="G205" s="8">
        <f>(F205+$D$133/2-1*A205)-(F153+$D$138)+$B$6+$D$200-0.0592*$B$147</f>
        <v>-0.46446518273698079</v>
      </c>
      <c r="L205" s="1">
        <v>0.4</v>
      </c>
      <c r="M205" s="7">
        <f t="shared" si="51"/>
        <v>0.4</v>
      </c>
      <c r="N205" s="3">
        <f>-(L205+4.66)/27.2114</f>
        <v>-0.18595147621952565</v>
      </c>
      <c r="O205" s="9">
        <v>599.04269999999997</v>
      </c>
      <c r="P205" s="8">
        <v>-3248.2994659209098</v>
      </c>
      <c r="Q205" s="7">
        <f>(P205-(O205-$B$200)*N205)*27.2114</f>
        <v>-88390.560024960258</v>
      </c>
      <c r="R205" s="8">
        <f>(Q205+$D$133/2-1*L205)-(Q153+$D$138)+$B$6+$D$200-0.0592*$B$147</f>
        <v>-0.37290695029916154</v>
      </c>
      <c r="T205" s="1">
        <v>0.4</v>
      </c>
      <c r="U205" s="7">
        <f t="shared" si="52"/>
        <v>0.4</v>
      </c>
      <c r="V205" s="3">
        <f>-(T205+4.66)/27.2114</f>
        <v>-0.18595147621952565</v>
      </c>
      <c r="W205" s="9">
        <v>599.08820200000002</v>
      </c>
      <c r="X205" s="8">
        <v>-3248.3072986183902</v>
      </c>
      <c r="Y205" s="7">
        <f>(X205-(W205-$B$200)*V205)*27.2114</f>
        <v>-88390.542923504472</v>
      </c>
      <c r="Z205" s="8">
        <f>(Y205+$D$133/2-1*T205)-(Y153+$D$138)+$B$6+$D$200-0.0592*$B$147</f>
        <v>-0.36371683727740223</v>
      </c>
      <c r="AB205" s="1">
        <v>0.4</v>
      </c>
      <c r="AC205" s="7">
        <f t="shared" si="53"/>
        <v>0.4</v>
      </c>
      <c r="AD205" s="3">
        <f>-(AB205+4.66)/27.2114</f>
        <v>-0.18595147621952565</v>
      </c>
      <c r="AE205" s="9">
        <v>599.203667</v>
      </c>
      <c r="AF205" s="8">
        <v>-3248.3351722608299</v>
      </c>
      <c r="AG205" s="7">
        <f t="shared" ref="AG205:AG206" si="55">(AF205-(AE205-$AC$200)*AD205)*27.2114</f>
        <v>-88390.717151438352</v>
      </c>
      <c r="AH205" s="8">
        <f t="shared" ref="AH205:AH206" si="56">(AG205+$D$133/2-1*AB205)-(AG153+$D$138)+$B$6+$AE$200-0.0592*$B$147</f>
        <v>-0.47592755855957436</v>
      </c>
      <c r="AJ205" s="1">
        <v>0.4</v>
      </c>
      <c r="AK205" s="7">
        <f t="shared" si="54"/>
        <v>0.4</v>
      </c>
      <c r="AL205" s="3">
        <f>-(AJ205+4.66)/27.2114</f>
        <v>-0.18595147621952565</v>
      </c>
      <c r="AM205" s="9">
        <v>743.18008999999995</v>
      </c>
      <c r="AN205" s="8">
        <v>-4049.2166712445601</v>
      </c>
      <c r="AO205" s="7">
        <f t="shared" ref="AO205:AO206" si="57">(AN205-(AM205-$AK$200)*AL205)*27.2114</f>
        <v>-110183.94327250423</v>
      </c>
      <c r="AP205" s="8">
        <f>(AO205+$D$133/2-1*AJ205)-(AO153+$D$138)+$B$6+$AM$200-0.0592*$B$147</f>
        <v>-0.48875055378407617</v>
      </c>
    </row>
    <row r="206" spans="1:42" x14ac:dyDescent="0.25">
      <c r="A206" s="2">
        <v>0</v>
      </c>
      <c r="B206" s="7">
        <f t="shared" si="50"/>
        <v>0</v>
      </c>
      <c r="C206" s="3">
        <f>-(A206+4.66)/27.2114</f>
        <v>-0.17125175477924692</v>
      </c>
      <c r="D206" s="9">
        <v>599.81255199999998</v>
      </c>
      <c r="E206" s="8">
        <v>-3248.44156358808</v>
      </c>
      <c r="F206" s="7">
        <f>(E206-(D206-$B$200)*C206)*27.2114</f>
        <v>-88390.856271100682</v>
      </c>
      <c r="G206" s="8">
        <f>(F206+$D$133/2-1*A206)-(F154+$D$138)+$B$6+$D$200-0.0592*$B$147</f>
        <v>6.0779094626545849E-2</v>
      </c>
      <c r="L206" s="2">
        <v>0</v>
      </c>
      <c r="M206" s="7">
        <f t="shared" si="51"/>
        <v>0</v>
      </c>
      <c r="N206" s="3">
        <f>-(L206+4.66)/27.2114</f>
        <v>-0.17125175477924692</v>
      </c>
      <c r="O206" s="9">
        <v>599.41301299999998</v>
      </c>
      <c r="P206" s="8">
        <v>-3248.3658337983702</v>
      </c>
      <c r="Q206" s="7">
        <f>(P206-(O206-$B$200)*N206)*27.2114</f>
        <v>-88390.657409240972</v>
      </c>
      <c r="R206" s="8">
        <f>(Q206+$D$133/2-1*L206)-(Q154+$D$138)+$B$6+$D$200-0.0592*$B$147</f>
        <v>0.10077359273017006</v>
      </c>
      <c r="T206" s="2">
        <v>0</v>
      </c>
      <c r="U206" s="7">
        <f t="shared" si="52"/>
        <v>0</v>
      </c>
      <c r="V206" s="3">
        <f>-(T206+4.66)/27.2114</f>
        <v>-0.17125175477924692</v>
      </c>
      <c r="W206" s="9">
        <v>599.30746899999997</v>
      </c>
      <c r="X206" s="8">
        <v>-3248.3465240499299</v>
      </c>
      <c r="Y206" s="7">
        <f>(X206-(W206-$B$200)*V206)*27.2114</f>
        <v>-88390.623798992267</v>
      </c>
      <c r="Z206" s="8">
        <f>(Y206+$D$133/2-1*T206)-(Y154+$D$138)+$B$6+$D$200-0.0592*$B$147</f>
        <v>9.3266962492257299E-2</v>
      </c>
      <c r="AB206" s="2">
        <v>0</v>
      </c>
      <c r="AC206" s="7">
        <f t="shared" si="53"/>
        <v>0</v>
      </c>
      <c r="AD206" s="3">
        <f>-(AB206+4.66)/27.2114</f>
        <v>-0.17125175477924692</v>
      </c>
      <c r="AE206" s="9">
        <v>599.83104100000003</v>
      </c>
      <c r="AF206" s="8">
        <v>-3248.4465392132402</v>
      </c>
      <c r="AG206" s="7">
        <f t="shared" si="55"/>
        <v>-88390.905506087161</v>
      </c>
      <c r="AH206" s="8">
        <f t="shared" si="56"/>
        <v>4.9782162089017978E-2</v>
      </c>
      <c r="AJ206" s="2">
        <v>0</v>
      </c>
      <c r="AK206" s="7">
        <f t="shared" si="54"/>
        <v>0</v>
      </c>
      <c r="AL206" s="3">
        <f>-(AJ206+4.66)/27.2114</f>
        <v>-0.17125175477924692</v>
      </c>
      <c r="AM206" s="9">
        <v>743.69085199999995</v>
      </c>
      <c r="AN206" s="8">
        <v>-4049.3075609080502</v>
      </c>
      <c r="AO206" s="7">
        <f t="shared" si="57"/>
        <v>-110184.10839257333</v>
      </c>
      <c r="AP206" s="8">
        <f>(AO206+$D$133/2-1*AJ206)-(AO154+$D$138)+$B$6+$AM$200-0.0592*$B$147</f>
        <v>2.4183616264499275E-3</v>
      </c>
    </row>
    <row r="207" spans="1:42" x14ac:dyDescent="0.25">
      <c r="E207" s="15">
        <f>E200-$D$200</f>
        <v>1.4999999999999902E-2</v>
      </c>
      <c r="F207" s="15">
        <f t="shared" ref="F207:G207" si="58">F200-$D$200</f>
        <v>3.2000000000000028E-2</v>
      </c>
      <c r="G207" s="15">
        <f t="shared" si="58"/>
        <v>2.200000000000002E-2</v>
      </c>
      <c r="R207">
        <f>INTERCEPT(L204:L206,R204:R206)</f>
        <v>8.4690035968402688E-2</v>
      </c>
      <c r="AH207">
        <f>INTERCEPT(AB204:AB206,AH204:AH206)</f>
        <v>3.1352760728768803E-2</v>
      </c>
      <c r="AI207" s="43"/>
      <c r="AJ207" s="43"/>
      <c r="AK207" s="43"/>
      <c r="AL207" s="43"/>
      <c r="AM207" s="43"/>
      <c r="AN207" s="43"/>
      <c r="AO207" s="43"/>
      <c r="AP207">
        <f>INTERCEPT(AJ204:AJ206,AP204:AP206)</f>
        <v>-3.3144063533991353E-3</v>
      </c>
    </row>
    <row r="208" spans="1:42" x14ac:dyDescent="0.25">
      <c r="G208">
        <f>INTERCEPT(A204:A206,G204:G206)</f>
        <v>4.0179134552913831E-2</v>
      </c>
      <c r="AH208" s="63"/>
      <c r="AI208" s="43"/>
      <c r="AJ208" s="43"/>
      <c r="AK208" s="43"/>
      <c r="AL208" s="43"/>
      <c r="AM208" s="43"/>
      <c r="AN208" s="43"/>
      <c r="AO208" s="43"/>
      <c r="AP208" s="63"/>
    </row>
    <row r="209" spans="1:42" x14ac:dyDescent="0.25">
      <c r="A209" s="2" t="s">
        <v>3</v>
      </c>
      <c r="B209" s="2">
        <v>605</v>
      </c>
      <c r="C209" s="5" t="s">
        <v>96</v>
      </c>
      <c r="D209" s="2">
        <v>1.29</v>
      </c>
      <c r="L209" s="2" t="s">
        <v>3</v>
      </c>
      <c r="M209" s="2">
        <v>605</v>
      </c>
      <c r="N209" s="5" t="s">
        <v>96</v>
      </c>
      <c r="O209" s="2">
        <v>1.29</v>
      </c>
      <c r="T209" s="2" t="s">
        <v>3</v>
      </c>
      <c r="U209" s="2">
        <v>605</v>
      </c>
      <c r="V209" s="5" t="s">
        <v>96</v>
      </c>
      <c r="W209" s="2">
        <v>1.29</v>
      </c>
      <c r="AH209" s="63"/>
      <c r="AI209" s="43"/>
      <c r="AJ209" s="43"/>
      <c r="AK209" s="43"/>
      <c r="AL209" s="43"/>
      <c r="AM209" s="43"/>
      <c r="AN209" s="43"/>
      <c r="AO209" s="43"/>
      <c r="AP209" s="63"/>
    </row>
    <row r="210" spans="1:42" x14ac:dyDescent="0.25">
      <c r="A210" s="73" t="s">
        <v>90</v>
      </c>
      <c r="B210" s="74"/>
      <c r="C210" s="74"/>
      <c r="D210" s="74"/>
      <c r="E210" s="74"/>
      <c r="F210" s="75"/>
      <c r="G210" s="2" t="s">
        <v>31</v>
      </c>
      <c r="L210" s="73" t="s">
        <v>396</v>
      </c>
      <c r="M210" s="74"/>
      <c r="N210" s="74"/>
      <c r="O210" s="74"/>
      <c r="P210" s="74"/>
      <c r="Q210" s="75"/>
      <c r="R210" s="2" t="s">
        <v>31</v>
      </c>
      <c r="T210" s="73" t="s">
        <v>397</v>
      </c>
      <c r="U210" s="74"/>
      <c r="V210" s="74"/>
      <c r="W210" s="74"/>
      <c r="X210" s="74"/>
      <c r="Y210" s="75"/>
      <c r="Z210" s="2" t="s">
        <v>31</v>
      </c>
    </row>
    <row r="211" spans="1:42" x14ac:dyDescent="0.25">
      <c r="A211" s="4" t="s">
        <v>1</v>
      </c>
      <c r="B211" s="4" t="s">
        <v>100</v>
      </c>
      <c r="C211" s="4" t="s">
        <v>0</v>
      </c>
      <c r="D211" s="5" t="s">
        <v>2</v>
      </c>
      <c r="E211" s="5" t="s">
        <v>4</v>
      </c>
      <c r="F211" s="4" t="s">
        <v>5</v>
      </c>
      <c r="G211" s="6" t="s">
        <v>7</v>
      </c>
      <c r="L211" s="4" t="s">
        <v>1</v>
      </c>
      <c r="M211" s="4" t="s">
        <v>100</v>
      </c>
      <c r="N211" s="4" t="s">
        <v>0</v>
      </c>
      <c r="O211" s="5" t="s">
        <v>2</v>
      </c>
      <c r="P211" s="5" t="s">
        <v>4</v>
      </c>
      <c r="Q211" s="4" t="s">
        <v>5</v>
      </c>
      <c r="R211" s="6" t="s">
        <v>7</v>
      </c>
      <c r="T211" s="4" t="s">
        <v>1</v>
      </c>
      <c r="U211" s="4" t="s">
        <v>100</v>
      </c>
      <c r="V211" s="4" t="s">
        <v>0</v>
      </c>
      <c r="W211" s="5" t="s">
        <v>2</v>
      </c>
      <c r="X211" s="5" t="s">
        <v>4</v>
      </c>
      <c r="Y211" s="4" t="s">
        <v>5</v>
      </c>
      <c r="Z211" s="6" t="s">
        <v>7</v>
      </c>
    </row>
    <row r="212" spans="1:42" x14ac:dyDescent="0.25">
      <c r="A212" s="7">
        <f>-C212*27.2114-4.66</f>
        <v>0.60342325018460041</v>
      </c>
      <c r="B212" s="7">
        <f>A212-0.0592*$B$147</f>
        <v>0.60342325018460041</v>
      </c>
      <c r="C212" s="3">
        <v>-0.193427139</v>
      </c>
      <c r="D212" s="9">
        <v>605</v>
      </c>
      <c r="E212" s="8">
        <v>-3264.3606496505199</v>
      </c>
      <c r="F212" s="7">
        <f>(E212-(D212-$B$209)*C212)*27.2114</f>
        <v>-88827.823381900162</v>
      </c>
      <c r="G212" s="54"/>
      <c r="L212" s="54"/>
      <c r="M212" s="54"/>
      <c r="N212" s="54"/>
      <c r="O212" s="54"/>
      <c r="P212" s="54"/>
      <c r="Q212" s="54"/>
      <c r="R212" s="54"/>
      <c r="T212" s="54"/>
      <c r="U212" s="54"/>
      <c r="V212" s="54"/>
      <c r="W212" s="54"/>
      <c r="X212" s="54"/>
      <c r="Y212" s="54"/>
      <c r="Z212" s="54"/>
    </row>
    <row r="213" spans="1:42" x14ac:dyDescent="0.25">
      <c r="A213" s="2">
        <v>0.8</v>
      </c>
      <c r="B213" s="7">
        <f t="shared" ref="B213:B215" si="59">A213-0.0592*$B$147</f>
        <v>0.8</v>
      </c>
      <c r="C213" s="3">
        <f>-(A213+4.66)/27.2114</f>
        <v>-0.20065119765980433</v>
      </c>
      <c r="D213" s="9">
        <v>604.82267999999999</v>
      </c>
      <c r="E213" s="8">
        <v>-3264.3256055527199</v>
      </c>
      <c r="F213" s="7">
        <f>(E213-(D213-$B$209)*C213)*27.2114</f>
        <v>-88827.837950137284</v>
      </c>
      <c r="G213" s="8">
        <f>(F213+$D$133/2-1*A213)-(F152+$D$139)+$B$7+$D$209-0.0592*$B$147</f>
        <v>-0.86627112303388643</v>
      </c>
      <c r="L213" s="2">
        <v>0.8</v>
      </c>
      <c r="M213" s="7">
        <f t="shared" ref="M213:M215" si="60">L213-0.0592*$B$147</f>
        <v>0.8</v>
      </c>
      <c r="N213" s="3">
        <f>-(L213+4.66)/27.2114</f>
        <v>-0.20065119765980433</v>
      </c>
      <c r="O213" s="9">
        <v>604.89065100000005</v>
      </c>
      <c r="P213" s="8">
        <v>-3264.3328613583699</v>
      </c>
      <c r="Q213" s="7">
        <f>(P213-(O213-$B$209)*N213)*27.2114</f>
        <v>-88827.664269107147</v>
      </c>
      <c r="R213" s="8">
        <f>(Q213+$D$133/2-1*L213)-(Q152+$D$139)+$B$7+$D$209-0.0592*$B$147</f>
        <v>-0.71667120329796674</v>
      </c>
      <c r="T213" s="2">
        <v>0.8</v>
      </c>
      <c r="U213" s="7">
        <f t="shared" ref="U213:U215" si="61">T213-0.0592*$B$147</f>
        <v>0.8</v>
      </c>
      <c r="V213" s="3">
        <f>-(T213+4.66)/27.2114</f>
        <v>-0.20065119765980433</v>
      </c>
      <c r="W213" s="9">
        <v>604.90725199999997</v>
      </c>
      <c r="X213" s="8">
        <v>-3264.3339195550102</v>
      </c>
      <c r="Y213" s="7">
        <f>(X213-(W213-$B$209)*V213)*27.2114</f>
        <v>-88827.602422659213</v>
      </c>
      <c r="Z213" s="8">
        <f>(Y213+$D$133/2-1*T213)-(Y152+$D$139)+$B$7+$D$209-0.0592*$B$147</f>
        <v>-0.65912332373257598</v>
      </c>
    </row>
    <row r="214" spans="1:42" x14ac:dyDescent="0.25">
      <c r="A214" s="1">
        <v>0.4</v>
      </c>
      <c r="B214" s="7">
        <f t="shared" si="59"/>
        <v>0.4</v>
      </c>
      <c r="C214" s="3">
        <f>-(A214+4.66)/27.2114</f>
        <v>-0.18595147621952565</v>
      </c>
      <c r="D214" s="9">
        <v>605.210959</v>
      </c>
      <c r="E214" s="8">
        <v>-3264.4006486599901</v>
      </c>
      <c r="F214" s="7">
        <f>(E214-(D214-$B$209)*C214)*27.2114</f>
        <v>-88827.844358406466</v>
      </c>
      <c r="G214" s="8">
        <f>(F214+$D$133/2-1*A214)-(F153+$D$139)+$B$7+$D$209-0.0592*$B$147</f>
        <v>-0.42692017312795727</v>
      </c>
      <c r="L214" s="1">
        <v>0.4</v>
      </c>
      <c r="M214" s="7">
        <f t="shared" si="60"/>
        <v>0.4</v>
      </c>
      <c r="N214" s="3">
        <f>-(L214+4.66)/27.2114</f>
        <v>-0.18595147621952565</v>
      </c>
      <c r="O214" s="9">
        <v>605.13159800000005</v>
      </c>
      <c r="P214" s="8">
        <v>-3264.3793957177199</v>
      </c>
      <c r="Q214" s="7">
        <f>(P214-(O214-$B$209)*N214)*27.2114</f>
        <v>-88827.667602753165</v>
      </c>
      <c r="R214" s="8">
        <f>(Q214+$D$133/2-1*L214)-(Q153+$D$139)+$B$7+$D$209-0.0592*$B$147</f>
        <v>-0.27090239516686054</v>
      </c>
      <c r="T214" s="1">
        <v>0.4</v>
      </c>
      <c r="U214" s="7">
        <f t="shared" si="61"/>
        <v>0.4</v>
      </c>
      <c r="V214" s="3">
        <f>-(T214+4.66)/27.2114</f>
        <v>-0.18595147621952565</v>
      </c>
      <c r="W214" s="9">
        <v>605.10567000000003</v>
      </c>
      <c r="X214" s="8">
        <v>-3264.3722880849</v>
      </c>
      <c r="Y214" s="7">
        <f>(X214-(W214-$B$209)*V214)*27.2114</f>
        <v>-88827.605389793447</v>
      </c>
      <c r="Z214" s="8">
        <f>(Y214+$D$133/2-1*T214)-(Y153+$D$139)+$B$7+$D$209-0.0592*$B$147</f>
        <v>-0.21660077821282542</v>
      </c>
    </row>
    <row r="215" spans="1:42" x14ac:dyDescent="0.25">
      <c r="A215" s="2">
        <v>0</v>
      </c>
      <c r="B215" s="7">
        <f t="shared" si="59"/>
        <v>0</v>
      </c>
      <c r="C215" s="3">
        <f>-(A215+4.66)/27.2114</f>
        <v>-0.17125175477924692</v>
      </c>
      <c r="D215" s="9">
        <v>605.78942099999995</v>
      </c>
      <c r="E215" s="8">
        <v>-3264.5033704923299</v>
      </c>
      <c r="F215" s="7">
        <f>(E215-(D215-$B$209)*C215)*27.2114</f>
        <v>-88828.028313954987</v>
      </c>
      <c r="G215" s="8">
        <f>(F215+$D$133/2-1*A215)-(F154+$D$139)+$B$7+$D$209-0.0592*$B$147</f>
        <v>9.8318588361205883E-2</v>
      </c>
      <c r="L215" s="2">
        <v>0</v>
      </c>
      <c r="M215" s="7">
        <f t="shared" si="60"/>
        <v>0</v>
      </c>
      <c r="N215" s="3">
        <f>-(L215+4.66)/27.2114</f>
        <v>-0.17125175477924692</v>
      </c>
      <c r="O215" s="9">
        <v>605.40633200000002</v>
      </c>
      <c r="P215" s="8">
        <v>-3264.42839160638</v>
      </c>
      <c r="Q215" s="7">
        <f>(P215-(O215-$B$209)*N215)*27.2114</f>
        <v>-88827.773228237857</v>
      </c>
      <c r="R215" s="8">
        <f>(Q215+$D$133/2-1*L215)-(Q154+$D$139)+$B$7+$D$209-0.0592*$B$147</f>
        <v>0.1945369438850939</v>
      </c>
      <c r="T215" s="2">
        <v>0</v>
      </c>
      <c r="U215" s="7">
        <f t="shared" si="61"/>
        <v>0</v>
      </c>
      <c r="V215" s="3">
        <f>-(T215+4.66)/27.2114</f>
        <v>-0.17125175477924692</v>
      </c>
      <c r="W215" s="9">
        <v>605.32211099999995</v>
      </c>
      <c r="X215" s="8">
        <v>-3264.4109078879101</v>
      </c>
      <c r="Y215" s="7">
        <f>(X215-(W215-$B$209)*V215)*27.2114</f>
        <v>-88827.689941641074</v>
      </c>
      <c r="Z215" s="8">
        <f>(Y215+$D$133/2-1*T215)-(Y154+$D$139)+$B$7+$D$209-0.0592*$B$147</f>
        <v>0.23670666172408161</v>
      </c>
    </row>
    <row r="218" spans="1:42" x14ac:dyDescent="0.25">
      <c r="A218" s="2" t="s">
        <v>3</v>
      </c>
      <c r="B218" s="2">
        <v>605</v>
      </c>
      <c r="C218" s="5" t="s">
        <v>96</v>
      </c>
      <c r="D218" s="2">
        <v>0.93700000000000006</v>
      </c>
    </row>
    <row r="219" spans="1:42" x14ac:dyDescent="0.25">
      <c r="A219" s="73" t="s">
        <v>226</v>
      </c>
      <c r="B219" s="74"/>
      <c r="C219" s="74"/>
      <c r="D219" s="74"/>
      <c r="E219" s="74"/>
      <c r="F219" s="75"/>
      <c r="G219" s="2" t="s">
        <v>31</v>
      </c>
    </row>
    <row r="220" spans="1:42" x14ac:dyDescent="0.25">
      <c r="A220" s="4" t="s">
        <v>1</v>
      </c>
      <c r="B220" s="4" t="s">
        <v>100</v>
      </c>
      <c r="C220" s="4" t="s">
        <v>0</v>
      </c>
      <c r="D220" s="5" t="s">
        <v>2</v>
      </c>
      <c r="E220" s="5" t="s">
        <v>4</v>
      </c>
      <c r="F220" s="4" t="s">
        <v>5</v>
      </c>
      <c r="G220" s="6" t="s">
        <v>7</v>
      </c>
    </row>
    <row r="221" spans="1:42" x14ac:dyDescent="0.25">
      <c r="A221" s="7">
        <f>-C221*27.2114-4.66</f>
        <v>0.65526317130800038</v>
      </c>
      <c r="B221" s="7">
        <f>A221-0.0592*$B$147</f>
        <v>0.65526317130800038</v>
      </c>
      <c r="C221" s="3">
        <v>-0.19533222</v>
      </c>
      <c r="D221" s="9">
        <v>605</v>
      </c>
      <c r="E221" s="8">
        <v>-3262.7282975742501</v>
      </c>
      <c r="F221" s="7">
        <f>(E221-(D221-$B$218)*C221)*27.2114</f>
        <v>-88783.404796611954</v>
      </c>
      <c r="G221" s="54"/>
    </row>
    <row r="222" spans="1:42" x14ac:dyDescent="0.25">
      <c r="A222" s="2">
        <v>0.8</v>
      </c>
      <c r="B222" s="7">
        <f t="shared" ref="B222:B224" si="62">A222-0.0592*$B$147</f>
        <v>0.8</v>
      </c>
      <c r="C222" s="3">
        <f>-(A222+4.66)/27.2114</f>
        <v>-0.20065119765980433</v>
      </c>
      <c r="D222" s="9">
        <v>604.88206300000002</v>
      </c>
      <c r="E222" s="8">
        <v>-3262.7049662085201</v>
      </c>
      <c r="F222" s="7">
        <f>(E222-(D222-$B$218)*C222)*27.2114</f>
        <v>-88783.413853506529</v>
      </c>
      <c r="G222" s="8">
        <f>(F222+$D$133/2-1*A222)-(F152+$D$140)+$B$8+$D$218-0.0592*$B$147</f>
        <v>-0.67740562009826077</v>
      </c>
    </row>
    <row r="223" spans="1:42" x14ac:dyDescent="0.25">
      <c r="A223" s="1">
        <v>0.4</v>
      </c>
      <c r="B223" s="7">
        <f t="shared" si="62"/>
        <v>0.4</v>
      </c>
      <c r="C223" s="3">
        <f>-(A223+4.66)/27.2114</f>
        <v>-0.18595147621952565</v>
      </c>
      <c r="D223" s="9">
        <v>605.23970799999995</v>
      </c>
      <c r="E223" s="8">
        <v>-3262.7739640909999</v>
      </c>
      <c r="F223" s="7">
        <f>(E223-(D223-$B$218)*C223)*27.2114</f>
        <v>-88783.434523985838</v>
      </c>
      <c r="G223" s="8">
        <f>(F223+$D$133/2-1*A223)-(F153+$D$140)+$B$8+$D$218-0.0592*$B$147</f>
        <v>-0.25231688031894861</v>
      </c>
    </row>
    <row r="224" spans="1:42" x14ac:dyDescent="0.25">
      <c r="A224" s="2">
        <v>0</v>
      </c>
      <c r="B224" s="7">
        <f t="shared" si="62"/>
        <v>0</v>
      </c>
      <c r="C224" s="3">
        <f>-(A224+4.66)/27.2114</f>
        <v>-0.17125175477924692</v>
      </c>
      <c r="D224" s="9">
        <v>605.751216</v>
      </c>
      <c r="E224" s="8">
        <v>-3262.8649732405102</v>
      </c>
      <c r="F224" s="7">
        <f>(E224-(D224-$B$218)*C224)*27.2114</f>
        <v>-88783.623266276831</v>
      </c>
      <c r="G224" s="8">
        <f>(F224+$D$133/2-1*A224)-(F154+$D$140)+$B$8+$D$218-0.0592*$B$147</f>
        <v>0.26813513869742633</v>
      </c>
    </row>
    <row r="227" spans="1:26" x14ac:dyDescent="0.25">
      <c r="A227" s="2" t="s">
        <v>3</v>
      </c>
      <c r="B227" s="2">
        <v>611</v>
      </c>
      <c r="C227" s="5" t="s">
        <v>96</v>
      </c>
      <c r="D227" s="2">
        <v>0.65200000000000002</v>
      </c>
      <c r="L227" s="2" t="s">
        <v>3</v>
      </c>
      <c r="M227" s="2">
        <v>611</v>
      </c>
      <c r="N227" s="5" t="s">
        <v>96</v>
      </c>
      <c r="O227" s="2">
        <v>0.65200000000000002</v>
      </c>
      <c r="T227" s="2" t="s">
        <v>3</v>
      </c>
      <c r="U227" s="2">
        <v>611</v>
      </c>
      <c r="V227" s="5" t="s">
        <v>96</v>
      </c>
      <c r="W227" s="2">
        <v>0.65200000000000002</v>
      </c>
    </row>
    <row r="228" spans="1:26" x14ac:dyDescent="0.25">
      <c r="A228" s="73" t="s">
        <v>92</v>
      </c>
      <c r="B228" s="74"/>
      <c r="C228" s="74"/>
      <c r="D228" s="74"/>
      <c r="E228" s="74"/>
      <c r="F228" s="75"/>
      <c r="G228" s="2" t="s">
        <v>31</v>
      </c>
      <c r="L228" s="73" t="s">
        <v>398</v>
      </c>
      <c r="M228" s="74"/>
      <c r="N228" s="74"/>
      <c r="O228" s="74"/>
      <c r="P228" s="74"/>
      <c r="Q228" s="75"/>
      <c r="R228" s="2" t="s">
        <v>31</v>
      </c>
      <c r="T228" s="73" t="s">
        <v>399</v>
      </c>
      <c r="U228" s="74"/>
      <c r="V228" s="74"/>
      <c r="W228" s="74"/>
      <c r="X228" s="74"/>
      <c r="Y228" s="75"/>
      <c r="Z228" s="2" t="s">
        <v>31</v>
      </c>
    </row>
    <row r="229" spans="1:26" x14ac:dyDescent="0.25">
      <c r="A229" s="4" t="s">
        <v>1</v>
      </c>
      <c r="B229" s="4" t="s">
        <v>100</v>
      </c>
      <c r="C229" s="4" t="s">
        <v>0</v>
      </c>
      <c r="D229" s="5" t="s">
        <v>2</v>
      </c>
      <c r="E229" s="5" t="s">
        <v>4</v>
      </c>
      <c r="F229" s="4" t="s">
        <v>5</v>
      </c>
      <c r="G229" s="6" t="s">
        <v>7</v>
      </c>
      <c r="L229" s="4" t="s">
        <v>1</v>
      </c>
      <c r="M229" s="4" t="s">
        <v>100</v>
      </c>
      <c r="N229" s="4" t="s">
        <v>0</v>
      </c>
      <c r="O229" s="5" t="s">
        <v>2</v>
      </c>
      <c r="P229" s="5" t="s">
        <v>4</v>
      </c>
      <c r="Q229" s="4" t="s">
        <v>5</v>
      </c>
      <c r="R229" s="6" t="s">
        <v>7</v>
      </c>
      <c r="T229" s="4" t="s">
        <v>1</v>
      </c>
      <c r="U229" s="4" t="s">
        <v>100</v>
      </c>
      <c r="V229" s="4" t="s">
        <v>0</v>
      </c>
      <c r="W229" s="5" t="s">
        <v>2</v>
      </c>
      <c r="X229" s="5" t="s">
        <v>4</v>
      </c>
      <c r="Y229" s="4" t="s">
        <v>5</v>
      </c>
      <c r="Z229" s="6" t="s">
        <v>7</v>
      </c>
    </row>
    <row r="230" spans="1:26" x14ac:dyDescent="0.25">
      <c r="A230" s="7">
        <f>-C230*27.2114-4.66</f>
        <v>0.72881563993080078</v>
      </c>
      <c r="B230" s="7">
        <f>A230-0.0592*$B$147</f>
        <v>0.72881563993080078</v>
      </c>
      <c r="C230" s="3">
        <v>-0.19803522200000001</v>
      </c>
      <c r="D230" s="9">
        <v>611</v>
      </c>
      <c r="E230" s="8">
        <v>-3277.1629224057101</v>
      </c>
      <c r="F230" s="7">
        <f>(E230-(D230-$B$227)*C230)*27.2114</f>
        <v>-89176.191146750745</v>
      </c>
      <c r="G230" s="54"/>
      <c r="L230" s="54"/>
      <c r="M230" s="54"/>
      <c r="N230" s="54"/>
      <c r="O230" s="54"/>
      <c r="P230" s="54"/>
      <c r="Q230" s="54"/>
      <c r="R230" s="54"/>
      <c r="T230" s="54"/>
      <c r="U230" s="54"/>
      <c r="V230" s="54"/>
      <c r="W230" s="54"/>
      <c r="X230" s="54"/>
      <c r="Y230" s="54"/>
      <c r="Z230" s="54"/>
    </row>
    <row r="231" spans="1:26" x14ac:dyDescent="0.25">
      <c r="A231" s="2">
        <v>0.8</v>
      </c>
      <c r="B231" s="7">
        <f t="shared" ref="B231:B233" si="63">A231-0.0592*$B$147</f>
        <v>0.8</v>
      </c>
      <c r="C231" s="3">
        <f>-(A231+4.66)/27.2114</f>
        <v>-0.20065119765980433</v>
      </c>
      <c r="D231" s="9">
        <v>610.94699000000003</v>
      </c>
      <c r="E231" s="8">
        <v>-3277.1523555682402</v>
      </c>
      <c r="F231" s="7">
        <f>(E231-(D231-$B$227)*C231)*27.2114</f>
        <v>-89176.193042909625</v>
      </c>
      <c r="G231" s="8">
        <f>(F231+$D$133/2-1*A231)-(F152+$D$141)+$B$9+$D$227-0.0592*$B$147</f>
        <v>-0.50898678551353338</v>
      </c>
      <c r="L231" s="2">
        <v>0.8</v>
      </c>
      <c r="M231" s="7">
        <f t="shared" ref="M231:M233" si="64">L231-0.0592*$B$147</f>
        <v>0.8</v>
      </c>
      <c r="N231" s="3">
        <f>-(L231+4.66)/27.2114</f>
        <v>-0.20065119765980433</v>
      </c>
      <c r="O231" s="9">
        <v>610.99623799999995</v>
      </c>
      <c r="P231" s="8">
        <v>-3277.1593831152099</v>
      </c>
      <c r="Q231" s="7">
        <f>(P231-(O231-$B$227)*N231)*27.2114</f>
        <v>-89176.115378221235</v>
      </c>
      <c r="R231" s="8">
        <f>(Q231+$D$133/2-1*L231)-(Q152+$D$141)+$B$9+$D$227-0.0592*$B$147</f>
        <v>-0.45540320752521335</v>
      </c>
      <c r="T231" s="2">
        <v>0.8</v>
      </c>
      <c r="U231" s="7">
        <f t="shared" ref="U231:U233" si="65">T231-0.0592*$B$147</f>
        <v>0.8</v>
      </c>
      <c r="V231" s="3">
        <f>-(T231+4.66)/27.2114</f>
        <v>-0.20065119765980433</v>
      </c>
      <c r="W231" s="9">
        <v>610.96900200000005</v>
      </c>
      <c r="X231" s="8">
        <v>-3277.1526723218399</v>
      </c>
      <c r="Y231" s="7">
        <f>(X231-(W231-$B$227)*V231)*27.2114</f>
        <v>-89176.081476698513</v>
      </c>
      <c r="Z231" s="8">
        <f>(Y231+$D$133/2-1*T231)-(Y152+$D$141)+$B$9+$D$227-0.0592*$B$147</f>
        <v>-0.42580025317189107</v>
      </c>
    </row>
    <row r="232" spans="1:26" x14ac:dyDescent="0.25">
      <c r="A232" s="1">
        <v>0.4</v>
      </c>
      <c r="B232" s="7">
        <f t="shared" si="63"/>
        <v>0.4</v>
      </c>
      <c r="C232" s="3">
        <f>-(A232+4.66)/27.2114</f>
        <v>-0.18595147621952565</v>
      </c>
      <c r="D232" s="9">
        <v>611.28198199999997</v>
      </c>
      <c r="E232" s="8">
        <v>-3277.21699458696</v>
      </c>
      <c r="F232" s="7">
        <f>(E232-(D232-$B$227)*C232)*27.2114</f>
        <v>-89176.235697583616</v>
      </c>
      <c r="G232" s="8">
        <f>(F232+$D$133/2-1*A232)-(F153+$D$141)+$B$9+$D$227-0.0592*$B$147</f>
        <v>-0.10588224041608452</v>
      </c>
      <c r="L232" s="1">
        <v>0.4</v>
      </c>
      <c r="M232" s="7">
        <f t="shared" si="64"/>
        <v>0.4</v>
      </c>
      <c r="N232" s="3">
        <f>-(L232+4.66)/27.2114</f>
        <v>-0.18595147621952565</v>
      </c>
      <c r="O232" s="9">
        <v>611.21191199999998</v>
      </c>
      <c r="P232" s="8">
        <v>-3277.2010116874199</v>
      </c>
      <c r="Q232" s="7">
        <f>(P232-(O232-$B$227)*N232)*27.2114</f>
        <v>-89176.15533471106</v>
      </c>
      <c r="R232" s="8">
        <f>(Q232+$D$133/2-1*L232)-(Q153+$D$141)+$B$9+$D$227-0.0592*$B$147</f>
        <v>-4.6257243201088261E-2</v>
      </c>
      <c r="T232" s="1">
        <v>0.4</v>
      </c>
      <c r="U232" s="7">
        <f t="shared" si="65"/>
        <v>0.4</v>
      </c>
      <c r="V232" s="3">
        <f>-(T232+4.66)/27.2114</f>
        <v>-0.18595147621952565</v>
      </c>
      <c r="W232" s="9">
        <v>611.18656999999996</v>
      </c>
      <c r="X232" s="8">
        <v>-3277.1953744840698</v>
      </c>
      <c r="Y232" s="7">
        <f>(X232-(W232-$B$227)*V232)*27.2114</f>
        <v>-89176.130169035823</v>
      </c>
      <c r="Z232" s="8">
        <f>(Y232+$D$133/2-1*T232)-(Y153+$D$141)+$B$9+$D$227-0.0592*$B$147</f>
        <v>-2.9002910727703113E-2</v>
      </c>
    </row>
    <row r="233" spans="1:26" x14ac:dyDescent="0.25">
      <c r="A233" s="2">
        <v>0</v>
      </c>
      <c r="B233" s="7">
        <f t="shared" si="63"/>
        <v>0</v>
      </c>
      <c r="C233" s="3">
        <f>-(A233+4.66)/27.2114</f>
        <v>-0.17125175477924692</v>
      </c>
      <c r="D233" s="9">
        <v>611.72599200000002</v>
      </c>
      <c r="E233" s="8">
        <v>-3277.2960565742801</v>
      </c>
      <c r="F233" s="7">
        <f>(E233-(D233-$B$227)*C233)*27.2114</f>
        <v>-89176.430791145365</v>
      </c>
      <c r="G233" s="8">
        <f>(F233+$D$133/2-1*A233)-(F154+$D$141)+$B$9+$D$227-0.0592*$B$147</f>
        <v>0.40821850784372254</v>
      </c>
      <c r="L233" s="2">
        <v>0</v>
      </c>
      <c r="M233" s="7">
        <f t="shared" si="64"/>
        <v>0</v>
      </c>
      <c r="N233" s="3">
        <f>-(L233+4.66)/27.2114</f>
        <v>-0.17125175477924692</v>
      </c>
      <c r="O233" s="9">
        <v>611.45329400000003</v>
      </c>
      <c r="P233" s="8">
        <v>-3277.2440970417501</v>
      </c>
      <c r="Q233" s="7">
        <f>(P233-(O233-$B$227)*N233)*27.2114</f>
        <v>-89176.287672201885</v>
      </c>
      <c r="R233" s="8">
        <f>(Q233+$D$133/2-1*L233)-(Q154+$D$141)+$B$9+$D$227-0.0592*$B$147</f>
        <v>0.39247008971828218</v>
      </c>
      <c r="T233" s="2">
        <v>0</v>
      </c>
      <c r="U233" s="7">
        <f t="shared" si="65"/>
        <v>0</v>
      </c>
      <c r="V233" s="3">
        <f>-(T233+4.66)/27.2114</f>
        <v>-0.17125175477924692</v>
      </c>
      <c r="W233" s="9">
        <v>611.38247999999999</v>
      </c>
      <c r="X233" s="8">
        <v>-3277.2303492810402</v>
      </c>
      <c r="Y233" s="7">
        <f>(X233-(W233-$B$227)*V233)*27.2114</f>
        <v>-89176.243569626095</v>
      </c>
      <c r="Z233" s="8">
        <f>(Y233+$D$133/2-1*T233)-(Y154+$D$141)+$B$9+$D$227-0.0592*$B$147</f>
        <v>0.39545578656501784</v>
      </c>
    </row>
    <row r="236" spans="1:26" x14ac:dyDescent="0.25">
      <c r="A236" s="2" t="s">
        <v>3</v>
      </c>
      <c r="B236" s="2">
        <v>617</v>
      </c>
      <c r="C236" s="5" t="s">
        <v>96</v>
      </c>
      <c r="D236" s="2">
        <v>0.34200000000000003</v>
      </c>
    </row>
    <row r="237" spans="1:26" x14ac:dyDescent="0.25">
      <c r="A237" s="73" t="s">
        <v>227</v>
      </c>
      <c r="B237" s="74"/>
      <c r="C237" s="74"/>
      <c r="D237" s="74"/>
      <c r="E237" s="74"/>
      <c r="F237" s="75"/>
      <c r="G237" s="2" t="s">
        <v>31</v>
      </c>
    </row>
    <row r="238" spans="1:26" x14ac:dyDescent="0.25">
      <c r="A238" s="4" t="s">
        <v>1</v>
      </c>
      <c r="B238" s="4" t="s">
        <v>100</v>
      </c>
      <c r="C238" s="4" t="s">
        <v>0</v>
      </c>
      <c r="D238" s="5" t="s">
        <v>2</v>
      </c>
      <c r="E238" s="5" t="s">
        <v>4</v>
      </c>
      <c r="F238" s="4" t="s">
        <v>5</v>
      </c>
      <c r="G238" s="6" t="s">
        <v>7</v>
      </c>
    </row>
    <row r="239" spans="1:26" x14ac:dyDescent="0.25">
      <c r="A239" s="7">
        <f>-C239*27.2114-4.66</f>
        <v>0.77977148987960021</v>
      </c>
      <c r="B239" s="7">
        <f>A239-0.0592*$B$147</f>
        <v>0.77977148987960021</v>
      </c>
      <c r="C239" s="3">
        <v>-0.19990781399999999</v>
      </c>
      <c r="D239" s="9">
        <v>617</v>
      </c>
      <c r="E239" s="8">
        <v>-3291.5911182805798</v>
      </c>
      <c r="F239" s="7">
        <f>(E239-(D239-$B$236)*C239)*27.2114</f>
        <v>-89568.802555980175</v>
      </c>
      <c r="G239" s="54"/>
    </row>
    <row r="240" spans="1:26" x14ac:dyDescent="0.25">
      <c r="A240" s="2">
        <v>0.8</v>
      </c>
      <c r="B240" s="7">
        <f t="shared" ref="B240:B242" si="66">A240-0.0592*$B$147</f>
        <v>0.8</v>
      </c>
      <c r="C240" s="3">
        <f>-(A240+4.66)/27.2114</f>
        <v>-0.20065119765980433</v>
      </c>
      <c r="D240" s="9">
        <v>616.98750399999994</v>
      </c>
      <c r="E240" s="8">
        <v>-3291.5886158609001</v>
      </c>
      <c r="F240" s="7">
        <f>(E240-(D240-$B$236)*C240)*27.2114</f>
        <v>-89568.802689797303</v>
      </c>
      <c r="G240" s="8">
        <f>(F240+$D$133/2-1*A240)-(F152+$D$142)+$B$10+$D$236-0.0592*$B$147</f>
        <v>-0.44510634057471715</v>
      </c>
    </row>
    <row r="241" spans="1:7" x14ac:dyDescent="0.25">
      <c r="A241" s="1">
        <v>0.4</v>
      </c>
      <c r="B241" s="7">
        <f t="shared" si="66"/>
        <v>0.4</v>
      </c>
      <c r="C241" s="3">
        <f>-(A241+4.66)/27.2114</f>
        <v>-0.18595147621952565</v>
      </c>
      <c r="D241" s="9">
        <v>617.29946500000005</v>
      </c>
      <c r="E241" s="8">
        <v>-3291.6488098469899</v>
      </c>
      <c r="F241" s="7">
        <f>(E241-(D241-$B$236)*C241)*27.2114</f>
        <v>-89568.857131370387</v>
      </c>
      <c r="G241" s="8">
        <f>(F241+$D$133/2-1*A241)-(F153+$D$142)+$B$10+$D$236-0.0592*$B$147</f>
        <v>-5.3788694570108264E-2</v>
      </c>
    </row>
    <row r="242" spans="1:7" x14ac:dyDescent="0.25">
      <c r="A242" s="2">
        <v>0</v>
      </c>
      <c r="B242" s="7">
        <f t="shared" si="66"/>
        <v>0</v>
      </c>
      <c r="C242" s="3">
        <f>-(A242+4.66)/27.2114</f>
        <v>-0.17125175477924692</v>
      </c>
      <c r="D242" s="9">
        <v>617.70522400000004</v>
      </c>
      <c r="E242" s="8">
        <v>-3291.7211507299198</v>
      </c>
      <c r="F242" s="7">
        <f>(E242-(D242-$B$236)*C242)*27.2114</f>
        <v>-89569.054577132134</v>
      </c>
      <c r="G242" s="8">
        <f>(F242+$D$133/2-1*A242)-(F154+$D$142)+$B$10+$D$236-0.0592*$B$147</f>
        <v>0.45795985369229508</v>
      </c>
    </row>
    <row r="245" spans="1:7" x14ac:dyDescent="0.25">
      <c r="A245" s="2" t="s">
        <v>3</v>
      </c>
      <c r="B245" s="2">
        <v>605</v>
      </c>
      <c r="C245" s="5" t="s">
        <v>96</v>
      </c>
      <c r="D245" s="2">
        <v>0.96599999999999997</v>
      </c>
    </row>
    <row r="246" spans="1:7" x14ac:dyDescent="0.25">
      <c r="A246" s="73" t="s">
        <v>228</v>
      </c>
      <c r="B246" s="74"/>
      <c r="C246" s="74"/>
      <c r="D246" s="74"/>
      <c r="E246" s="74"/>
      <c r="F246" s="75"/>
      <c r="G246" s="2" t="s">
        <v>31</v>
      </c>
    </row>
    <row r="247" spans="1:7" x14ac:dyDescent="0.25">
      <c r="A247" s="4" t="s">
        <v>1</v>
      </c>
      <c r="B247" s="4" t="s">
        <v>100</v>
      </c>
      <c r="C247" s="4" t="s">
        <v>0</v>
      </c>
      <c r="D247" s="5" t="s">
        <v>2</v>
      </c>
      <c r="E247" s="5" t="s">
        <v>4</v>
      </c>
      <c r="F247" s="4" t="s">
        <v>5</v>
      </c>
      <c r="G247" s="6" t="s">
        <v>7</v>
      </c>
    </row>
    <row r="248" spans="1:7" x14ac:dyDescent="0.25">
      <c r="A248" s="7">
        <f>-C248*27.2114-4.66</f>
        <v>0.66099440916459962</v>
      </c>
      <c r="B248" s="7">
        <f>A248-0.0592*$B$147</f>
        <v>0.66099440916459962</v>
      </c>
      <c r="C248" s="3">
        <v>-0.195542839</v>
      </c>
      <c r="D248" s="9">
        <v>605</v>
      </c>
      <c r="E248" s="8">
        <v>-3271.99307103705</v>
      </c>
      <c r="F248" s="7">
        <f>(E248-(D248-$B$245)*C248)*27.2114</f>
        <v>-89035.512253217588</v>
      </c>
      <c r="G248" s="54"/>
    </row>
    <row r="249" spans="1:7" x14ac:dyDescent="0.25">
      <c r="A249" s="2">
        <v>0.8</v>
      </c>
      <c r="B249" s="7">
        <f t="shared" ref="B249:B251" si="67">A249-0.0592*$B$147</f>
        <v>0.8</v>
      </c>
      <c r="C249" s="3">
        <f>-(A249+4.66)/27.2114</f>
        <v>-0.20065119765980433</v>
      </c>
      <c r="D249" s="9">
        <v>604.88613599999996</v>
      </c>
      <c r="E249" s="8">
        <v>-3271.9705171853302</v>
      </c>
      <c r="F249" s="7">
        <f>(E249-(D249-$B$245)*C249)*27.2114</f>
        <v>-89035.520228776892</v>
      </c>
      <c r="G249" s="8">
        <f>(F249+$D$133/2-1*A249)-(F152+$J$132)+$E$2+$D$245-0.0592*$B$147</f>
        <v>-0.6290278490383685</v>
      </c>
    </row>
    <row r="250" spans="1:7" x14ac:dyDescent="0.25">
      <c r="A250" s="1">
        <v>0.4</v>
      </c>
      <c r="B250" s="7">
        <f t="shared" si="67"/>
        <v>0.4</v>
      </c>
      <c r="C250" s="3">
        <f>-(A250+4.66)/27.2114</f>
        <v>-0.18595147621952565</v>
      </c>
      <c r="D250" s="9">
        <v>605.25417900000002</v>
      </c>
      <c r="E250" s="8">
        <v>-3272.0415149852902</v>
      </c>
      <c r="F250" s="7">
        <f>(E250-(D250-$B$245)*C250)*27.2114</f>
        <v>-89035.544335130733</v>
      </c>
      <c r="G250" s="8">
        <f>(F250+$D$133/2-1*A250)-(F153+$J$132)+$E$2+$D$245-0.0592*$B$147</f>
        <v>-0.20737498379149888</v>
      </c>
    </row>
    <row r="251" spans="1:7" x14ac:dyDescent="0.25">
      <c r="A251" s="2">
        <v>0</v>
      </c>
      <c r="B251" s="7">
        <f t="shared" si="67"/>
        <v>0</v>
      </c>
      <c r="C251" s="3">
        <f>-(A251+4.66)/27.2114</f>
        <v>-0.17125175477924692</v>
      </c>
      <c r="D251" s="9">
        <v>605.79314599999998</v>
      </c>
      <c r="E251" s="8">
        <v>-3272.1373654047302</v>
      </c>
      <c r="F251" s="7">
        <f>(E251-(D251-$B$245)*C251)*27.2114</f>
        <v>-89035.742644614278</v>
      </c>
      <c r="G251" s="8">
        <f>(F251+$D$133/2-1*A251)-(F154+$J$132)+$E$2+$D$245-0.0592*$B$147</f>
        <v>0.30350984267296321</v>
      </c>
    </row>
    <row r="254" spans="1:7" x14ac:dyDescent="0.25">
      <c r="A254" s="2" t="s">
        <v>3</v>
      </c>
      <c r="B254" s="2">
        <v>611</v>
      </c>
      <c r="C254" s="5" t="s">
        <v>96</v>
      </c>
      <c r="D254" s="2">
        <v>0.73699999999999999</v>
      </c>
    </row>
    <row r="255" spans="1:7" x14ac:dyDescent="0.25">
      <c r="A255" s="73" t="s">
        <v>229</v>
      </c>
      <c r="B255" s="74"/>
      <c r="C255" s="74"/>
      <c r="D255" s="74"/>
      <c r="E255" s="74"/>
      <c r="F255" s="75"/>
      <c r="G255" s="2" t="s">
        <v>31</v>
      </c>
    </row>
    <row r="256" spans="1:7" x14ac:dyDescent="0.25">
      <c r="A256" s="4" t="s">
        <v>1</v>
      </c>
      <c r="B256" s="4" t="s">
        <v>100</v>
      </c>
      <c r="C256" s="4" t="s">
        <v>0</v>
      </c>
      <c r="D256" s="5" t="s">
        <v>2</v>
      </c>
      <c r="E256" s="5" t="s">
        <v>4</v>
      </c>
      <c r="F256" s="4" t="s">
        <v>5</v>
      </c>
      <c r="G256" s="6" t="s">
        <v>7</v>
      </c>
    </row>
    <row r="257" spans="1:7" x14ac:dyDescent="0.25">
      <c r="A257" s="7">
        <f>-C257*27.2114-4.66</f>
        <v>0.75708305994200042</v>
      </c>
      <c r="B257" s="7">
        <f>A257-0.0592*$B$147</f>
        <v>0.75708305994200042</v>
      </c>
      <c r="C257" s="3">
        <v>-0.19907403000000001</v>
      </c>
      <c r="D257" s="9">
        <v>611</v>
      </c>
      <c r="E257" s="8">
        <v>-3295.7089156490001</v>
      </c>
      <c r="F257" s="7">
        <f>(E257-(D257-$B$254)*C257)*27.2114</f>
        <v>-89680.853587291203</v>
      </c>
      <c r="G257" s="54"/>
    </row>
    <row r="258" spans="1:7" x14ac:dyDescent="0.25">
      <c r="A258" s="2">
        <v>0.8</v>
      </c>
      <c r="B258" s="7">
        <f t="shared" ref="B258:B260" si="68">A258-0.0592*$B$147</f>
        <v>0.8</v>
      </c>
      <c r="C258" s="3">
        <f>-(A258+4.66)/27.2114</f>
        <v>-0.20065119765980433</v>
      </c>
      <c r="D258" s="9">
        <v>610.96903999999995</v>
      </c>
      <c r="E258" s="8">
        <v>-3295.7027285170798</v>
      </c>
      <c r="F258" s="7">
        <f>(E258-(D258-$B$254)*C258)*27.2114</f>
        <v>-89680.854268369672</v>
      </c>
      <c r="G258" s="8">
        <f>(F258+$D$133/2-1*A258)-(F152+$J$133)+$E$3+$D$254-0.0592*$B$147</f>
        <v>-0.58818872070576311</v>
      </c>
    </row>
    <row r="259" spans="1:7" x14ac:dyDescent="0.25">
      <c r="A259" s="1">
        <v>0.4</v>
      </c>
      <c r="B259" s="7">
        <f t="shared" si="68"/>
        <v>0.4</v>
      </c>
      <c r="C259" s="3">
        <f>-(A259+4.66)/27.2114</f>
        <v>-0.18595147621952565</v>
      </c>
      <c r="D259" s="9">
        <v>611.32233599999995</v>
      </c>
      <c r="E259" s="8">
        <v>-3295.7708637701098</v>
      </c>
      <c r="F259" s="7">
        <f>(E259-(D259-$B$254)*C259)*27.2114</f>
        <v>-89680.908262233977</v>
      </c>
      <c r="G259" s="8">
        <f>(F259+$D$133/2-1*A259)-(F153+$J$133)+$E$3+$D$254-0.0592*$B$147</f>
        <v>-0.19642336592248888</v>
      </c>
    </row>
    <row r="260" spans="1:7" x14ac:dyDescent="0.25">
      <c r="A260" s="2">
        <v>0</v>
      </c>
      <c r="B260" s="7">
        <f t="shared" si="68"/>
        <v>0</v>
      </c>
      <c r="C260" s="3">
        <f>-(A260+4.66)/27.2114</f>
        <v>-0.17125175477924692</v>
      </c>
      <c r="D260" s="9">
        <v>611.81677300000001</v>
      </c>
      <c r="E260" s="8">
        <v>-3295.8588405197402</v>
      </c>
      <c r="F260" s="7">
        <f>(E260-(D260-$B$254)*C260)*27.2114</f>
        <v>-89681.127090738868</v>
      </c>
      <c r="G260" s="8">
        <f>(F260+$D$133/2-1*A260)-(F154+$J$133)+$E$3+$D$254-0.0592*$B$147</f>
        <v>0.29394243919643798</v>
      </c>
    </row>
    <row r="261" spans="1:7" x14ac:dyDescent="0.25">
      <c r="A261" s="63"/>
      <c r="B261" s="63"/>
      <c r="C261" s="63"/>
      <c r="D261" s="63"/>
      <c r="E261" s="57"/>
      <c r="F261" s="63"/>
      <c r="G261" s="57"/>
    </row>
    <row r="262" spans="1:7" x14ac:dyDescent="0.25">
      <c r="A262" s="63"/>
      <c r="B262" s="63"/>
      <c r="C262" s="63"/>
      <c r="D262" s="63"/>
      <c r="E262" s="57"/>
      <c r="F262" s="63"/>
      <c r="G262" s="57"/>
    </row>
    <row r="263" spans="1:7" x14ac:dyDescent="0.25">
      <c r="A263" s="2" t="s">
        <v>3</v>
      </c>
      <c r="B263" s="2">
        <v>617</v>
      </c>
      <c r="C263" s="5" t="s">
        <v>96</v>
      </c>
      <c r="D263" s="2">
        <v>0.497</v>
      </c>
    </row>
    <row r="264" spans="1:7" x14ac:dyDescent="0.25">
      <c r="A264" s="73" t="s">
        <v>91</v>
      </c>
      <c r="B264" s="74"/>
      <c r="C264" s="74"/>
      <c r="D264" s="74"/>
      <c r="E264" s="74"/>
      <c r="F264" s="75"/>
      <c r="G264" s="2" t="s">
        <v>31</v>
      </c>
    </row>
    <row r="265" spans="1:7" x14ac:dyDescent="0.25">
      <c r="A265" s="4" t="s">
        <v>1</v>
      </c>
      <c r="B265" s="4" t="s">
        <v>100</v>
      </c>
      <c r="C265" s="4" t="s">
        <v>0</v>
      </c>
      <c r="D265" s="5" t="s">
        <v>2</v>
      </c>
      <c r="E265" s="5" t="s">
        <v>4</v>
      </c>
      <c r="F265" s="4" t="s">
        <v>5</v>
      </c>
      <c r="G265" s="6" t="s">
        <v>7</v>
      </c>
    </row>
    <row r="266" spans="1:7" x14ac:dyDescent="0.25">
      <c r="A266" s="7">
        <f>-C266*27.2114-4.66</f>
        <v>0.83331843654779991</v>
      </c>
      <c r="B266" s="7">
        <f>A266-0.0592*$B$147</f>
        <v>0.83331843654779991</v>
      </c>
      <c r="C266" s="3">
        <v>-0.201875627</v>
      </c>
      <c r="D266" s="9">
        <v>617</v>
      </c>
      <c r="E266" s="8">
        <v>-3319.4287289325598</v>
      </c>
      <c r="F266" s="7">
        <f>(E266-(D266-$B$263)*C266)*27.2114</f>
        <v>-90326.302914475455</v>
      </c>
      <c r="G266" s="54"/>
    </row>
    <row r="267" spans="1:7" x14ac:dyDescent="0.25">
      <c r="A267" s="2">
        <v>0.8</v>
      </c>
      <c r="B267" s="7">
        <f t="shared" ref="B267:B269" si="69">A267-0.0592*$B$147</f>
        <v>0.8</v>
      </c>
      <c r="C267" s="3">
        <f>-(A267+4.66)/27.2114</f>
        <v>-0.20065119765980433</v>
      </c>
      <c r="D267" s="9">
        <v>617.02616999999998</v>
      </c>
      <c r="E267" s="8">
        <v>-3319.4339960141801</v>
      </c>
      <c r="F267" s="7">
        <f>(E267-(D267-$B$263)*C267)*27.2114</f>
        <v>-90326.303350940259</v>
      </c>
      <c r="G267" s="8">
        <f>(F267+$D$133/2-1*A267)-(F152+$J$134)+$E$4+$D$263-0.0592*$B$147</f>
        <v>-0.43771969994459303</v>
      </c>
    </row>
    <row r="268" spans="1:7" x14ac:dyDescent="0.25">
      <c r="A268" s="1">
        <v>0.4</v>
      </c>
      <c r="B268" s="7">
        <f t="shared" si="69"/>
        <v>0.4</v>
      </c>
      <c r="C268" s="3">
        <f>-(A268+4.66)/27.2114</f>
        <v>-0.18595147621952565</v>
      </c>
      <c r="D268" s="9">
        <v>617.37089500000002</v>
      </c>
      <c r="E268" s="8">
        <v>-3319.5005116612601</v>
      </c>
      <c r="F268" s="7">
        <f>(E268-(D268-$B$263)*C268)*27.2114</f>
        <v>-90326.379494319219</v>
      </c>
      <c r="G268" s="8">
        <f>(F268+$D$133/2-1*A268)-(F153+$J$134)+$E$4+$D$263-0.0592*$B$147</f>
        <v>-6.8103859815620837E-2</v>
      </c>
    </row>
    <row r="269" spans="1:7" x14ac:dyDescent="0.25">
      <c r="A269" s="2">
        <v>0</v>
      </c>
      <c r="B269" s="7">
        <f t="shared" si="69"/>
        <v>0</v>
      </c>
      <c r="C269" s="3">
        <f>-(A269+4.66)/27.2114</f>
        <v>-0.17125175477924692</v>
      </c>
      <c r="D269" s="9">
        <v>617.84804099999997</v>
      </c>
      <c r="E269" s="8">
        <v>-3319.5855415707101</v>
      </c>
      <c r="F269" s="7">
        <f>(E269-(D269-$B$263)*C269)*27.2114</f>
        <v>-90326.618134837234</v>
      </c>
      <c r="G269" s="8">
        <f>(F269+$D$133/2-1*A269)-(F154+$J$134)+$E$4+$D$263-0.0592*$B$147</f>
        <v>0.4024499321788409</v>
      </c>
    </row>
    <row r="272" spans="1:7" x14ac:dyDescent="0.25">
      <c r="A272" s="2" t="s">
        <v>3</v>
      </c>
      <c r="B272" s="2">
        <v>609</v>
      </c>
      <c r="C272" s="5" t="s">
        <v>96</v>
      </c>
      <c r="D272" s="2">
        <v>0.80600000000000005</v>
      </c>
    </row>
    <row r="273" spans="1:7" x14ac:dyDescent="0.25">
      <c r="A273" s="73" t="s">
        <v>209</v>
      </c>
      <c r="B273" s="74"/>
      <c r="C273" s="74"/>
      <c r="D273" s="74"/>
      <c r="E273" s="74"/>
      <c r="F273" s="75"/>
      <c r="G273" s="2" t="s">
        <v>31</v>
      </c>
    </row>
    <row r="274" spans="1:7" x14ac:dyDescent="0.25">
      <c r="A274" s="4" t="s">
        <v>1</v>
      </c>
      <c r="B274" s="4" t="s">
        <v>100</v>
      </c>
      <c r="C274" s="4" t="s">
        <v>0</v>
      </c>
      <c r="D274" s="5" t="s">
        <v>2</v>
      </c>
      <c r="E274" s="5" t="s">
        <v>4</v>
      </c>
      <c r="F274" s="4" t="s">
        <v>5</v>
      </c>
      <c r="G274" s="6" t="s">
        <v>7</v>
      </c>
    </row>
    <row r="275" spans="1:7" x14ac:dyDescent="0.25">
      <c r="A275" s="7">
        <f>-C275*27.2114-4.66</f>
        <v>0.71024415875620051</v>
      </c>
      <c r="B275" s="7">
        <f>A275-0.0592*$B$147</f>
        <v>0.71024415875620051</v>
      </c>
      <c r="C275" s="3">
        <v>-0.197352733</v>
      </c>
      <c r="D275" s="9">
        <v>609</v>
      </c>
      <c r="E275" s="8">
        <v>-3279.2532303049202</v>
      </c>
      <c r="F275" s="7">
        <f>(E275-(D275-$B$272)*C275)*27.2114</f>
        <v>-89233.071351119303</v>
      </c>
      <c r="G275" s="54"/>
    </row>
    <row r="276" spans="1:7" x14ac:dyDescent="0.25">
      <c r="A276" s="2">
        <v>0.8</v>
      </c>
      <c r="B276" s="7">
        <f t="shared" ref="B276:B278" si="70">A276-0.0592*$B$147</f>
        <v>0.8</v>
      </c>
      <c r="C276" s="3">
        <f>-(A276+4.66)/27.2114</f>
        <v>-0.20065119765980433</v>
      </c>
      <c r="D276" s="9">
        <v>608.92625299999997</v>
      </c>
      <c r="E276" s="8">
        <v>-3279.2385576215802</v>
      </c>
      <c r="F276" s="7">
        <f>(E276-(D276-$B$272)*C276)*27.2114</f>
        <v>-89233.074745483871</v>
      </c>
      <c r="G276" s="8">
        <f>(F276+$D$133/2-1*A276)-(F152+$J$139)+$E$5+$D$272-0.0592*$B$147</f>
        <v>-0.51263752135619933</v>
      </c>
    </row>
    <row r="277" spans="1:7" x14ac:dyDescent="0.25">
      <c r="A277" s="1">
        <v>0.4</v>
      </c>
      <c r="B277" s="7">
        <f t="shared" si="70"/>
        <v>0.4</v>
      </c>
      <c r="C277" s="3">
        <f>-(A277+4.66)/27.2114</f>
        <v>-0.18595147621952565</v>
      </c>
      <c r="D277" s="9">
        <v>609.30656899999997</v>
      </c>
      <c r="E277" s="8">
        <v>-3279.3119437106502</v>
      </c>
      <c r="F277" s="7">
        <f>(E277-(D277-$B$272)*C277)*27.2114</f>
        <v>-89233.117785947994</v>
      </c>
      <c r="G277" s="8">
        <f>(F277+$D$133/2-1*A277)-(F153+$J$139)+$E$5+$D$272-0.0592*$B$147</f>
        <v>-0.10991876639073672</v>
      </c>
    </row>
    <row r="278" spans="1:7" x14ac:dyDescent="0.25">
      <c r="A278" s="2">
        <v>0</v>
      </c>
      <c r="B278" s="7">
        <f t="shared" si="70"/>
        <v>0</v>
      </c>
      <c r="C278" s="3">
        <f>-(A278+4.66)/27.2114</f>
        <v>-0.17125175477924692</v>
      </c>
      <c r="D278" s="9">
        <v>609.858293</v>
      </c>
      <c r="E278" s="8">
        <v>-3279.41015532649</v>
      </c>
      <c r="F278" s="7">
        <f>(E278-(D278-$B$272)*C278)*27.2114</f>
        <v>-89233.341855271254</v>
      </c>
      <c r="G278" s="8">
        <f>(F278+$D$133/2-1*A278)-(F154+$J$139)+$E$5+$D$272-0.0592*$B$147</f>
        <v>0.37520622035898776</v>
      </c>
    </row>
    <row r="281" spans="1:7" x14ac:dyDescent="0.25">
      <c r="A281" s="2" t="s">
        <v>3</v>
      </c>
      <c r="B281" s="2">
        <v>608</v>
      </c>
      <c r="C281" s="5" t="s">
        <v>96</v>
      </c>
      <c r="D281" s="2">
        <v>0.44900000000000001</v>
      </c>
    </row>
    <row r="282" spans="1:7" x14ac:dyDescent="0.25">
      <c r="A282" s="73" t="s">
        <v>210</v>
      </c>
      <c r="B282" s="74"/>
      <c r="C282" s="74"/>
      <c r="D282" s="74"/>
      <c r="E282" s="74"/>
      <c r="F282" s="75"/>
      <c r="G282" s="2" t="s">
        <v>31</v>
      </c>
    </row>
    <row r="283" spans="1:7" x14ac:dyDescent="0.25">
      <c r="A283" s="4" t="s">
        <v>1</v>
      </c>
      <c r="B283" s="4" t="s">
        <v>100</v>
      </c>
      <c r="C283" s="4" t="s">
        <v>0</v>
      </c>
      <c r="D283" s="5" t="s">
        <v>2</v>
      </c>
      <c r="E283" s="5" t="s">
        <v>4</v>
      </c>
      <c r="F283" s="4" t="s">
        <v>5</v>
      </c>
      <c r="G283" s="6" t="s">
        <v>7</v>
      </c>
    </row>
    <row r="284" spans="1:7" x14ac:dyDescent="0.25">
      <c r="A284" s="7">
        <f>-C284*27.2114-4.66</f>
        <v>1.5143643217145994</v>
      </c>
      <c r="B284" s="7">
        <f>A284-0.0592*$B$147</f>
        <v>1.5143643217145994</v>
      </c>
      <c r="C284" s="3">
        <v>-0.22690358899999999</v>
      </c>
      <c r="D284" s="9">
        <v>608</v>
      </c>
      <c r="E284" s="8">
        <v>-3278.6089376288101</v>
      </c>
      <c r="F284" s="7">
        <f>(E284-(D284-$B$281)*C284)*27.2114</f>
        <v>-89215.539245392603</v>
      </c>
      <c r="G284" s="54"/>
    </row>
    <row r="285" spans="1:7" x14ac:dyDescent="0.25">
      <c r="A285" s="2">
        <v>0.8</v>
      </c>
      <c r="B285" s="7">
        <f t="shared" ref="B285:B287" si="71">A285-0.0592*$B$147</f>
        <v>0.8</v>
      </c>
      <c r="C285" s="3">
        <f>-(A285+4.66)/27.2114</f>
        <v>-0.20065119765980433</v>
      </c>
      <c r="D285" s="9">
        <v>608.73568299999999</v>
      </c>
      <c r="E285" s="8">
        <v>-3278.7667403947798</v>
      </c>
      <c r="F285" s="7">
        <f>(E285-(D285-$B$281)*C285)*27.2114</f>
        <v>-89215.816450398517</v>
      </c>
      <c r="G285" s="8">
        <f>(F285+$D$133-2*A285)-(F152+$J$139)+$E$6+$D$281-0.0592*$B$147</f>
        <v>-0.54476449029708562</v>
      </c>
    </row>
    <row r="286" spans="1:7" x14ac:dyDescent="0.25">
      <c r="A286" s="1">
        <v>0.4</v>
      </c>
      <c r="B286" s="7">
        <f t="shared" si="71"/>
        <v>0.4</v>
      </c>
      <c r="C286" s="3">
        <f>-(A286+4.66)/27.2114</f>
        <v>-0.18595147621952565</v>
      </c>
      <c r="D286" s="9">
        <v>609.09497299999998</v>
      </c>
      <c r="E286" s="8">
        <v>-3278.8361553109698</v>
      </c>
      <c r="F286" s="7">
        <f>(E286-(D286-$B$281)*C286)*27.2114</f>
        <v>-89216.181593248926</v>
      </c>
      <c r="G286" s="8">
        <f>(F286+$D$133-2*A286)-(F153+$J$139)+$E$6+$D$281-0.0592*$B$147</f>
        <v>-6.4148121623576693E-2</v>
      </c>
    </row>
    <row r="287" spans="1:7" x14ac:dyDescent="0.25">
      <c r="A287" s="2">
        <v>0</v>
      </c>
      <c r="B287" s="7">
        <f t="shared" si="71"/>
        <v>0</v>
      </c>
      <c r="C287" s="3">
        <f>-(A287+4.66)/27.2114</f>
        <v>-0.17125175477924692</v>
      </c>
      <c r="D287" s="9">
        <v>609.54575599999998</v>
      </c>
      <c r="E287" s="8">
        <v>-3278.9165927550698</v>
      </c>
      <c r="F287" s="7">
        <f>(E287-(D287-$B$281)*C287)*27.2114</f>
        <v>-89216.707749135312</v>
      </c>
      <c r="G287" s="8">
        <f>(F287+$D$133-2*A287)-(F154+$J$139)+$E$6+$D$281-0.0592*$B$147</f>
        <v>0.51889030200881137</v>
      </c>
    </row>
    <row r="290" spans="1:26" x14ac:dyDescent="0.25">
      <c r="A290" s="2" t="s">
        <v>3</v>
      </c>
      <c r="B290" s="2">
        <v>583</v>
      </c>
      <c r="C290" s="5" t="s">
        <v>96</v>
      </c>
      <c r="D290" s="2">
        <v>-2.3E-2</v>
      </c>
      <c r="E290" s="5" t="s">
        <v>186</v>
      </c>
      <c r="F290" s="2">
        <v>2.89</v>
      </c>
    </row>
    <row r="291" spans="1:26" x14ac:dyDescent="0.25">
      <c r="A291" s="73" t="s">
        <v>187</v>
      </c>
      <c r="B291" s="74"/>
      <c r="C291" s="74"/>
      <c r="D291" s="74"/>
      <c r="E291" s="74"/>
      <c r="F291" s="75"/>
      <c r="G291" s="2" t="s">
        <v>31</v>
      </c>
    </row>
    <row r="292" spans="1:26" x14ac:dyDescent="0.25">
      <c r="A292" s="4" t="s">
        <v>1</v>
      </c>
      <c r="B292" s="4" t="s">
        <v>100</v>
      </c>
      <c r="C292" s="4" t="s">
        <v>0</v>
      </c>
      <c r="D292" s="5" t="s">
        <v>2</v>
      </c>
      <c r="E292" s="5" t="s">
        <v>4</v>
      </c>
      <c r="F292" s="4" t="s">
        <v>5</v>
      </c>
      <c r="G292" s="6" t="s">
        <v>7</v>
      </c>
    </row>
    <row r="293" spans="1:26" x14ac:dyDescent="0.25">
      <c r="A293" s="7">
        <f>-C293*27.2114-4.66</f>
        <v>1.0321708033682002</v>
      </c>
      <c r="B293" s="7">
        <f>A293-0.0592*$B$147</f>
        <v>1.0321708033682002</v>
      </c>
      <c r="C293" s="3">
        <v>-0.20918331300000001</v>
      </c>
      <c r="D293" s="9">
        <v>583</v>
      </c>
      <c r="E293" s="8">
        <v>-3227.2111928598802</v>
      </c>
      <c r="F293" s="7">
        <f>(E293-(D293-$B$290)*C293)*27.2114</f>
        <v>-87816.934653387347</v>
      </c>
      <c r="G293" s="54"/>
    </row>
    <row r="294" spans="1:26" x14ac:dyDescent="0.25">
      <c r="A294" s="2">
        <v>0.8</v>
      </c>
      <c r="B294" s="7">
        <f t="shared" ref="B294:B296" si="72">A294-0.0592*$B$147</f>
        <v>0.8</v>
      </c>
      <c r="C294" s="3">
        <f>-(A294+4.66)/27.2114</f>
        <v>-0.20065119765980433</v>
      </c>
      <c r="D294" s="9">
        <v>583.24967200000003</v>
      </c>
      <c r="E294" s="8">
        <v>-3227.2623535716998</v>
      </c>
      <c r="F294" s="7">
        <f>(E294-(D294-$B$290)*C294)*27.2114</f>
        <v>-87816.963598860952</v>
      </c>
      <c r="G294" s="8">
        <f>(F294+1*($F$290-A294)) - (F152+$J$135/2) + $D$290</f>
        <v>0.24248439834732563</v>
      </c>
    </row>
    <row r="295" spans="1:26" x14ac:dyDescent="0.25">
      <c r="A295" s="1">
        <v>0.4</v>
      </c>
      <c r="B295" s="7">
        <f t="shared" si="72"/>
        <v>0.4</v>
      </c>
      <c r="C295" s="3">
        <f>-(A295+4.66)/27.2114</f>
        <v>-0.18595147621952565</v>
      </c>
      <c r="D295" s="9">
        <v>583.81425999999999</v>
      </c>
      <c r="E295" s="8">
        <v>-3227.37139529975</v>
      </c>
      <c r="F295" s="7">
        <f>(E295-(D295-$B$290)*C295)*27.2114</f>
        <v>-87817.173830459622</v>
      </c>
      <c r="G295" s="8">
        <f>(F295+1*($F$290-A295)) - (F153+$J$135/2) + $D$290</f>
        <v>0.47801201876532284</v>
      </c>
    </row>
    <row r="296" spans="1:26" x14ac:dyDescent="0.25">
      <c r="A296" s="2">
        <v>0</v>
      </c>
      <c r="B296" s="7">
        <f t="shared" si="72"/>
        <v>0</v>
      </c>
      <c r="C296" s="3">
        <f>-(A296+4.66)/27.2114</f>
        <v>-0.17125175477924692</v>
      </c>
      <c r="D296" s="9">
        <v>584.64837</v>
      </c>
      <c r="E296" s="8">
        <v>-3227.51980011554</v>
      </c>
      <c r="F296" s="7">
        <f t="shared" ref="F296" si="73">(E296-(D296-$B$290)*C296)*27.2114</f>
        <v>-87817.650884664006</v>
      </c>
      <c r="G296" s="8">
        <f>(F296+1*($F$290-A296)) - (F154+$J$135/2) + $D$290</f>
        <v>0.71015212439047171</v>
      </c>
    </row>
    <row r="299" spans="1:26" x14ac:dyDescent="0.25">
      <c r="A299" s="2" t="s">
        <v>3</v>
      </c>
      <c r="B299" s="2">
        <v>583</v>
      </c>
      <c r="C299" s="5" t="s">
        <v>96</v>
      </c>
      <c r="D299" s="2">
        <v>-3.5000000000000003E-2</v>
      </c>
      <c r="E299" s="5" t="s">
        <v>186</v>
      </c>
      <c r="F299" s="2">
        <v>1.36</v>
      </c>
      <c r="L299" s="2" t="s">
        <v>3</v>
      </c>
      <c r="M299" s="2">
        <v>583</v>
      </c>
      <c r="N299" s="5" t="s">
        <v>96</v>
      </c>
      <c r="O299" s="2">
        <v>-3.5000000000000003E-2</v>
      </c>
      <c r="P299" s="5" t="s">
        <v>186</v>
      </c>
      <c r="Q299" s="2">
        <v>1.36</v>
      </c>
      <c r="T299" s="2" t="s">
        <v>3</v>
      </c>
      <c r="U299" s="2">
        <v>583</v>
      </c>
      <c r="V299" s="5" t="s">
        <v>96</v>
      </c>
      <c r="W299" s="2">
        <v>-3.5000000000000003E-2</v>
      </c>
      <c r="X299" s="5" t="s">
        <v>186</v>
      </c>
      <c r="Y299" s="2">
        <v>1.36</v>
      </c>
    </row>
    <row r="300" spans="1:26" x14ac:dyDescent="0.25">
      <c r="A300" s="73" t="s">
        <v>188</v>
      </c>
      <c r="B300" s="74"/>
      <c r="C300" s="74"/>
      <c r="D300" s="74"/>
      <c r="E300" s="74"/>
      <c r="F300" s="75"/>
      <c r="G300" s="2" t="s">
        <v>31</v>
      </c>
      <c r="L300" s="73" t="s">
        <v>405</v>
      </c>
      <c r="M300" s="74"/>
      <c r="N300" s="74"/>
      <c r="O300" s="74"/>
      <c r="P300" s="74"/>
      <c r="Q300" s="75"/>
      <c r="R300" s="2" t="s">
        <v>31</v>
      </c>
      <c r="T300" s="73" t="s">
        <v>406</v>
      </c>
      <c r="U300" s="74"/>
      <c r="V300" s="74"/>
      <c r="W300" s="74"/>
      <c r="X300" s="74"/>
      <c r="Y300" s="75"/>
      <c r="Z300" s="2" t="s">
        <v>31</v>
      </c>
    </row>
    <row r="301" spans="1:26" x14ac:dyDescent="0.25">
      <c r="A301" s="4" t="s">
        <v>1</v>
      </c>
      <c r="B301" s="4" t="s">
        <v>100</v>
      </c>
      <c r="C301" s="4" t="s">
        <v>0</v>
      </c>
      <c r="D301" s="5" t="s">
        <v>2</v>
      </c>
      <c r="E301" s="5" t="s">
        <v>4</v>
      </c>
      <c r="F301" s="4" t="s">
        <v>5</v>
      </c>
      <c r="G301" s="6" t="s">
        <v>7</v>
      </c>
      <c r="L301" s="4" t="s">
        <v>1</v>
      </c>
      <c r="M301" s="4" t="s">
        <v>100</v>
      </c>
      <c r="N301" s="4" t="s">
        <v>0</v>
      </c>
      <c r="O301" s="5" t="s">
        <v>2</v>
      </c>
      <c r="P301" s="5" t="s">
        <v>4</v>
      </c>
      <c r="Q301" s="4" t="s">
        <v>5</v>
      </c>
      <c r="R301" s="6" t="s">
        <v>7</v>
      </c>
      <c r="T301" s="4" t="s">
        <v>1</v>
      </c>
      <c r="U301" s="4" t="s">
        <v>100</v>
      </c>
      <c r="V301" s="4" t="s">
        <v>0</v>
      </c>
      <c r="W301" s="5" t="s">
        <v>2</v>
      </c>
      <c r="X301" s="5" t="s">
        <v>4</v>
      </c>
      <c r="Y301" s="4" t="s">
        <v>5</v>
      </c>
      <c r="Z301" s="6" t="s">
        <v>7</v>
      </c>
    </row>
    <row r="302" spans="1:26" x14ac:dyDescent="0.25">
      <c r="A302" s="7">
        <f>-C302*27.2114-4.66</f>
        <v>0.65291507239060032</v>
      </c>
      <c r="B302" s="7">
        <f>A302-0.0592*$B$147</f>
        <v>0.65291507239060032</v>
      </c>
      <c r="C302" s="3">
        <v>-0.19524592900000001</v>
      </c>
      <c r="D302" s="9">
        <v>583</v>
      </c>
      <c r="E302" s="8">
        <v>-3217.9787090503</v>
      </c>
      <c r="F302" s="7">
        <f>(E302-(D302-$B$299)*C302)*27.2114</f>
        <v>-87565.705843451331</v>
      </c>
      <c r="G302" s="54"/>
      <c r="L302" s="54"/>
      <c r="M302" s="54"/>
      <c r="N302" s="54"/>
      <c r="O302" s="54"/>
      <c r="P302" s="54"/>
      <c r="Q302" s="54"/>
      <c r="R302" s="54"/>
      <c r="T302" s="54"/>
      <c r="U302" s="54"/>
      <c r="V302" s="54"/>
      <c r="W302" s="54"/>
      <c r="X302" s="54"/>
      <c r="Y302" s="54"/>
      <c r="Z302" s="54"/>
    </row>
    <row r="303" spans="1:26" x14ac:dyDescent="0.25">
      <c r="A303" s="2">
        <v>0.8</v>
      </c>
      <c r="B303" s="7">
        <f t="shared" ref="B303:B305" si="74">A303-0.0592*$B$147</f>
        <v>0.8</v>
      </c>
      <c r="C303" s="3">
        <f>-(A303+4.66)/27.2114</f>
        <v>-0.20065119765980433</v>
      </c>
      <c r="D303" s="9">
        <v>582.87768000000005</v>
      </c>
      <c r="E303" s="8">
        <v>-3217.9545009492799</v>
      </c>
      <c r="F303" s="7">
        <f>(E303-(D303-$B$299)*C303)*27.2114</f>
        <v>-87565.714974331248</v>
      </c>
      <c r="G303" s="8">
        <f>(F303+1*($F$299-A303)) - (F152+$J$136/2) + $D$299</f>
        <v>-0.56656066258088689</v>
      </c>
      <c r="L303" s="2">
        <v>0.8</v>
      </c>
      <c r="M303" s="7">
        <f t="shared" ref="M303:M305" si="75">L303-0.0592*$B$147</f>
        <v>0.8</v>
      </c>
      <c r="N303" s="3">
        <f>-(L303+4.66)/27.2114</f>
        <v>-0.20065119765980433</v>
      </c>
      <c r="O303" s="9">
        <v>582.96182799999997</v>
      </c>
      <c r="P303" s="8">
        <v>-3217.9703684558199</v>
      </c>
      <c r="Q303" s="7">
        <f>(P303-(O303-$B$299)*N303)*27.2114</f>
        <v>-87565.6873033187</v>
      </c>
      <c r="R303" s="8">
        <f>(Q303+1*($F$299-L303)) - (Q152+$J$136/2) + $D$299</f>
        <v>-0.5629707604349824</v>
      </c>
      <c r="T303" s="2">
        <v>0.8</v>
      </c>
      <c r="U303" s="7">
        <f t="shared" ref="U303:U305" si="76">T303-0.0592*$B$147</f>
        <v>0.8</v>
      </c>
      <c r="V303" s="3">
        <f>-(T303+4.66)/27.2114</f>
        <v>-0.20065119765980433</v>
      </c>
      <c r="W303" s="9">
        <v>582.97942499999999</v>
      </c>
      <c r="X303" s="8">
        <v>-3217.97370245517</v>
      </c>
      <c r="Y303" s="7">
        <f>(X303-(W303-$B$299)*V303)*27.2114</f>
        <v>-87565.681946488621</v>
      </c>
      <c r="Z303" s="8">
        <f>(Y303+1*($F$299-T303)) - (Y152+$J$136/2) + $D$299</f>
        <v>-0.56191249872441407</v>
      </c>
    </row>
    <row r="304" spans="1:26" x14ac:dyDescent="0.25">
      <c r="A304" s="1">
        <v>0.4</v>
      </c>
      <c r="B304" s="7">
        <f t="shared" si="74"/>
        <v>0.4</v>
      </c>
      <c r="C304" s="3">
        <f>-(A304+4.66)/27.2114</f>
        <v>-0.18595147621952565</v>
      </c>
      <c r="D304" s="9">
        <v>583.26406899999995</v>
      </c>
      <c r="E304" s="8">
        <v>-3218.0289799816801</v>
      </c>
      <c r="F304" s="7">
        <f t="shared" ref="F304:F305" si="77">(E304-(D304-$B$299)*C304)*27.2114</f>
        <v>-87565.737596733496</v>
      </c>
      <c r="G304" s="8">
        <f>(F304+1*($F$299-A304)) - (F153+$J$136/2) + $D$299</f>
        <v>-0.14342384574061726</v>
      </c>
      <c r="L304" s="1">
        <v>0.4</v>
      </c>
      <c r="M304" s="7">
        <f t="shared" si="75"/>
        <v>0.4</v>
      </c>
      <c r="N304" s="3">
        <f>-(L304+4.66)/27.2114</f>
        <v>-0.18595147621952565</v>
      </c>
      <c r="O304" s="9">
        <v>583.20423900000003</v>
      </c>
      <c r="P304" s="8">
        <v>-3218.0171463423699</v>
      </c>
      <c r="Q304" s="7">
        <f t="shared" ref="Q304:Q305" si="78">(P304-(O304-$B$299)*N304)*27.2114</f>
        <v>-87565.718326640766</v>
      </c>
      <c r="R304" s="8">
        <f>(Q304+1*($F$299-L304)) - (Q153+$J$136/2) + $D$299</f>
        <v>-0.14489162835176103</v>
      </c>
      <c r="T304" s="1">
        <v>0.4</v>
      </c>
      <c r="U304" s="7">
        <f t="shared" si="76"/>
        <v>0.4</v>
      </c>
      <c r="V304" s="3">
        <f>-(T304+4.66)/27.2114</f>
        <v>-0.18595147621952565</v>
      </c>
      <c r="W304" s="9">
        <v>583.17775300000005</v>
      </c>
      <c r="X304" s="8">
        <v>-3218.0119940802101</v>
      </c>
      <c r="Y304" s="7">
        <f t="shared" ref="Y304:Y305" si="79">(X304-(W304-$B$299)*V304)*27.2114</f>
        <v>-87565.712145534242</v>
      </c>
      <c r="Z304" s="8">
        <f>(Y304+1*($F$299-T304)) - (Y153+$J$136/2) + $D$299</f>
        <v>-0.1466218645911431</v>
      </c>
    </row>
    <row r="305" spans="1:26" x14ac:dyDescent="0.25">
      <c r="A305" s="2">
        <v>0</v>
      </c>
      <c r="B305" s="7">
        <f t="shared" si="74"/>
        <v>0</v>
      </c>
      <c r="C305" s="3">
        <f>-(A305+4.66)/27.2114</f>
        <v>-0.17125175477924692</v>
      </c>
      <c r="D305" s="9">
        <v>583.93352300000004</v>
      </c>
      <c r="E305" s="8">
        <v>-3218.14782854638</v>
      </c>
      <c r="F305" s="7">
        <f t="shared" si="77"/>
        <v>-87565.957604526964</v>
      </c>
      <c r="G305" s="8">
        <f>(F305+1*($F$299-A305)) - (F154+$J$136/2) + $D$299</f>
        <v>0.34576267080032264</v>
      </c>
      <c r="L305" s="2">
        <v>0</v>
      </c>
      <c r="M305" s="7">
        <f t="shared" si="75"/>
        <v>0</v>
      </c>
      <c r="N305" s="3">
        <f>-(L305+4.66)/27.2114</f>
        <v>-0.17125175477924692</v>
      </c>
      <c r="O305" s="9">
        <v>583.50237400000003</v>
      </c>
      <c r="P305" s="8">
        <v>-3218.07032907554</v>
      </c>
      <c r="Q305" s="7">
        <f t="shared" si="78"/>
        <v>-87565.85788976615</v>
      </c>
      <c r="R305" s="8">
        <f>(Q305+1*($F$299-L305)) - (Q154+$J$136/2) + $D$299</f>
        <v>0.28661007000831884</v>
      </c>
      <c r="T305" s="2">
        <v>0</v>
      </c>
      <c r="U305" s="7">
        <f t="shared" si="76"/>
        <v>0</v>
      </c>
      <c r="V305" s="3">
        <f>-(T305+4.66)/27.2114</f>
        <v>-0.17125175477924692</v>
      </c>
      <c r="W305" s="9">
        <v>583.40677700000003</v>
      </c>
      <c r="X305" s="8">
        <v>-3218.0528565017098</v>
      </c>
      <c r="Y305" s="7">
        <f t="shared" si="79"/>
        <v>-87565.827918590629</v>
      </c>
      <c r="Z305" s="8">
        <f>(Y305+1*($F$299-T305)) - (Y154+$J$136/2) + $D$299</f>
        <v>0.27546436658652962</v>
      </c>
    </row>
    <row r="308" spans="1:26" x14ac:dyDescent="0.25">
      <c r="A308" s="2" t="s">
        <v>3</v>
      </c>
      <c r="B308" s="2">
        <v>583</v>
      </c>
      <c r="C308" s="5" t="s">
        <v>96</v>
      </c>
      <c r="D308" s="2">
        <v>-5.0999999999999997E-2</v>
      </c>
      <c r="E308" s="5" t="s">
        <v>186</v>
      </c>
      <c r="F308" s="2">
        <v>1.0940000000000001</v>
      </c>
    </row>
    <row r="309" spans="1:26" x14ac:dyDescent="0.25">
      <c r="A309" s="73" t="s">
        <v>247</v>
      </c>
      <c r="B309" s="74"/>
      <c r="C309" s="74"/>
      <c r="D309" s="74"/>
      <c r="E309" s="74"/>
      <c r="F309" s="75"/>
      <c r="G309" s="2" t="s">
        <v>31</v>
      </c>
    </row>
    <row r="310" spans="1:26" x14ac:dyDescent="0.25">
      <c r="A310" s="4" t="s">
        <v>1</v>
      </c>
      <c r="B310" s="4" t="s">
        <v>100</v>
      </c>
      <c r="C310" s="4" t="s">
        <v>0</v>
      </c>
      <c r="D310" s="5" t="s">
        <v>2</v>
      </c>
      <c r="E310" s="5" t="s">
        <v>4</v>
      </c>
      <c r="F310" s="4" t="s">
        <v>5</v>
      </c>
      <c r="G310" s="6" t="s">
        <v>7</v>
      </c>
    </row>
    <row r="311" spans="1:26" x14ac:dyDescent="0.25">
      <c r="A311" s="7">
        <f>-C311*27.2114-4.66</f>
        <v>0.57697676263859954</v>
      </c>
      <c r="B311" s="7">
        <f>A311-0.0592*$B$147</f>
        <v>0.57697676263859954</v>
      </c>
      <c r="C311" s="3">
        <v>-0.19245524899999999</v>
      </c>
      <c r="D311" s="9">
        <v>583</v>
      </c>
      <c r="E311" s="8">
        <v>-3216.54778968356</v>
      </c>
      <c r="F311" s="7">
        <f>(E311-(D311-$B$299)*C311)*27.2114</f>
        <v>-87526.768524195228</v>
      </c>
      <c r="G311" s="54"/>
    </row>
    <row r="312" spans="1:26" x14ac:dyDescent="0.25">
      <c r="A312" s="2">
        <v>0.8</v>
      </c>
      <c r="B312" s="7">
        <f t="shared" ref="B312:B314" si="80">A312-0.0592*$B$147</f>
        <v>0.8</v>
      </c>
      <c r="C312" s="3">
        <f>-(A312+4.66)/27.2114</f>
        <v>-0.20065119765980433</v>
      </c>
      <c r="D312" s="9">
        <v>582.81138199999998</v>
      </c>
      <c r="E312" s="8">
        <v>-3216.5107294654099</v>
      </c>
      <c r="F312" s="7">
        <f t="shared" ref="F312:F314" si="81">(E312-(D312-$B$299)*C312)*27.2114</f>
        <v>-87526.789918055059</v>
      </c>
      <c r="G312" s="8">
        <f>(F312+1*($F$308-A312)) - (F152+$J$137/2) + $D$308</f>
        <v>-1.0231886347833787</v>
      </c>
    </row>
    <row r="313" spans="1:26" x14ac:dyDescent="0.25">
      <c r="A313" s="1">
        <v>0.4</v>
      </c>
      <c r="B313" s="7">
        <f t="shared" si="80"/>
        <v>0.4</v>
      </c>
      <c r="C313" s="3">
        <f>-(A313+4.66)/27.2114</f>
        <v>-0.18595147621952565</v>
      </c>
      <c r="D313" s="9">
        <v>583.18712900000003</v>
      </c>
      <c r="E313" s="8">
        <v>-3216.5831810034801</v>
      </c>
      <c r="F313" s="7">
        <f t="shared" si="81"/>
        <v>-87526.784698818112</v>
      </c>
      <c r="G313" s="8">
        <f>(F313+1*($F$308-A313)) - (F153+$J$137/2) + $D$308</f>
        <v>-0.57221017874742397</v>
      </c>
    </row>
    <row r="314" spans="1:26" x14ac:dyDescent="0.25">
      <c r="A314" s="2">
        <v>0</v>
      </c>
      <c r="B314" s="7">
        <f t="shared" si="80"/>
        <v>0</v>
      </c>
      <c r="C314" s="3">
        <f>-(A314+4.66)/27.2114</f>
        <v>-0.17125175477924692</v>
      </c>
      <c r="D314" s="9">
        <v>583.80963299999996</v>
      </c>
      <c r="E314" s="8">
        <v>-3216.6937922113302</v>
      </c>
      <c r="F314" s="7">
        <f t="shared" si="81"/>
        <v>-87526.968567599397</v>
      </c>
      <c r="G314" s="8">
        <f>(F314+1*($F$308-A314)) - (F154+$J$137/2) + $D$308</f>
        <v>-4.6884650023072023E-2</v>
      </c>
    </row>
    <row r="317" spans="1:26" x14ac:dyDescent="0.25">
      <c r="A317" s="2" t="s">
        <v>3</v>
      </c>
      <c r="B317" s="2">
        <v>583</v>
      </c>
      <c r="C317" s="5" t="s">
        <v>96</v>
      </c>
      <c r="D317" s="2">
        <v>-5.8000000000000003E-2</v>
      </c>
      <c r="E317" s="5" t="s">
        <v>186</v>
      </c>
      <c r="F317" s="2">
        <v>0.53549999999999998</v>
      </c>
    </row>
    <row r="318" spans="1:26" x14ac:dyDescent="0.25">
      <c r="A318" s="73" t="s">
        <v>189</v>
      </c>
      <c r="B318" s="74"/>
      <c r="C318" s="74"/>
      <c r="D318" s="74"/>
      <c r="E318" s="74"/>
      <c r="F318" s="75"/>
      <c r="G318" s="2" t="s">
        <v>31</v>
      </c>
    </row>
    <row r="319" spans="1:26" x14ac:dyDescent="0.25">
      <c r="A319" s="4" t="s">
        <v>1</v>
      </c>
      <c r="B319" s="4" t="s">
        <v>100</v>
      </c>
      <c r="C319" s="4" t="s">
        <v>0</v>
      </c>
      <c r="D319" s="5" t="s">
        <v>2</v>
      </c>
      <c r="E319" s="5" t="s">
        <v>4</v>
      </c>
      <c r="F319" s="4" t="s">
        <v>5</v>
      </c>
      <c r="G319" s="6" t="s">
        <v>7</v>
      </c>
    </row>
    <row r="320" spans="1:26" x14ac:dyDescent="0.25">
      <c r="A320" s="7">
        <f>-C320*27.2114-4.66</f>
        <v>0.45635649053319938</v>
      </c>
      <c r="B320" s="7">
        <f>A320-0.0592*$B$147</f>
        <v>0.45635649053319938</v>
      </c>
      <c r="C320" s="3">
        <v>-0.18802253799999999</v>
      </c>
      <c r="D320" s="9">
        <v>583</v>
      </c>
      <c r="E320" s="8">
        <v>-3214.6337171732398</v>
      </c>
      <c r="F320" s="7">
        <f>(E320-(D320-$B$317)*C320)*27.2114</f>
        <v>-87474.683931487903</v>
      </c>
      <c r="G320" s="54"/>
    </row>
    <row r="321" spans="1:21" x14ac:dyDescent="0.25">
      <c r="A321" s="2">
        <v>0.8</v>
      </c>
      <c r="B321" s="7">
        <f t="shared" ref="B321:B323" si="82">A321-0.0592*$B$147</f>
        <v>0.8</v>
      </c>
      <c r="C321" s="3">
        <f>-(A321+4.66)/27.2114</f>
        <v>-0.20065119765980433</v>
      </c>
      <c r="D321" s="9">
        <v>582.67828399999996</v>
      </c>
      <c r="E321" s="8">
        <v>-3214.5712943942599</v>
      </c>
      <c r="F321" s="7">
        <f t="shared" ref="F321:F323" si="83">(E321-(D321-$B$317)*C321)*27.2114</f>
        <v>-87474.741889639976</v>
      </c>
      <c r="G321" s="8">
        <f>(F321+1*($F$317-A321)) - (F152+$J$138/2)+$D$317</f>
        <v>-2.0178244734079342</v>
      </c>
    </row>
    <row r="322" spans="1:21" x14ac:dyDescent="0.25">
      <c r="A322" s="1">
        <v>0.4</v>
      </c>
      <c r="B322" s="7">
        <f t="shared" si="82"/>
        <v>0.4</v>
      </c>
      <c r="C322" s="3">
        <f>-(A322+4.66)/27.2114</f>
        <v>-0.18595147621952565</v>
      </c>
      <c r="D322" s="9">
        <v>583.06353300000001</v>
      </c>
      <c r="E322" s="8">
        <v>-3214.6455965789701</v>
      </c>
      <c r="F322" s="7">
        <f t="shared" si="83"/>
        <v>-87474.685709768994</v>
      </c>
      <c r="G322" s="8">
        <f>(F322+1*($F$317-A322)) - (F153+$J$138/2)+$D$317</f>
        <v>-1.5158853833372705</v>
      </c>
    </row>
    <row r="323" spans="1:21" x14ac:dyDescent="0.25">
      <c r="A323" s="2">
        <v>0</v>
      </c>
      <c r="B323" s="7">
        <f t="shared" si="82"/>
        <v>0</v>
      </c>
      <c r="C323" s="3">
        <f>-(A323+4.66)/27.2114</f>
        <v>-0.17125175477924692</v>
      </c>
      <c r="D323" s="9">
        <v>583.62810999999999</v>
      </c>
      <c r="E323" s="8">
        <v>-3214.7460050039899</v>
      </c>
      <c r="F323" s="7">
        <f t="shared" si="83"/>
        <v>-87474.812447965582</v>
      </c>
      <c r="G323" s="8">
        <f>(F323+1*($F$317-A323)) - (F154+$J$138/2)+$D$317</f>
        <v>-0.93342926991591235</v>
      </c>
      <c r="M323" s="40"/>
      <c r="U323" s="40"/>
    </row>
    <row r="326" spans="1:21" x14ac:dyDescent="0.25">
      <c r="A326" s="2" t="s">
        <v>3</v>
      </c>
      <c r="B326" s="2">
        <v>601</v>
      </c>
      <c r="C326" s="5" t="s">
        <v>96</v>
      </c>
      <c r="D326" s="2">
        <v>0.44700000000000001</v>
      </c>
    </row>
    <row r="327" spans="1:21" x14ac:dyDescent="0.25">
      <c r="A327" s="73" t="s">
        <v>211</v>
      </c>
      <c r="B327" s="74"/>
      <c r="C327" s="74"/>
      <c r="D327" s="74"/>
      <c r="E327" s="74"/>
      <c r="F327" s="75"/>
      <c r="G327" s="2" t="s">
        <v>31</v>
      </c>
    </row>
    <row r="328" spans="1:21" x14ac:dyDescent="0.25">
      <c r="A328" s="4" t="s">
        <v>1</v>
      </c>
      <c r="B328" s="4" t="s">
        <v>100</v>
      </c>
      <c r="C328" s="4" t="s">
        <v>0</v>
      </c>
      <c r="D328" s="5" t="s">
        <v>2</v>
      </c>
      <c r="E328" s="5" t="s">
        <v>4</v>
      </c>
      <c r="F328" s="4" t="s">
        <v>5</v>
      </c>
      <c r="G328" s="6" t="s">
        <v>7</v>
      </c>
    </row>
    <row r="329" spans="1:21" x14ac:dyDescent="0.25">
      <c r="A329" s="7">
        <f>-C329*27.2114-4.66</f>
        <v>0.91444323913979986</v>
      </c>
      <c r="B329" s="7">
        <f>A329-0.0592*$B$147</f>
        <v>0.91444323913979986</v>
      </c>
      <c r="C329" s="3">
        <v>-0.204856907</v>
      </c>
      <c r="D329" s="9">
        <v>601</v>
      </c>
      <c r="E329" s="8">
        <v>-3262.0441660481401</v>
      </c>
      <c r="F329" s="7">
        <f>(E329-(D329-$B$326)*C329)*27.2114</f>
        <v>-88764.788620002364</v>
      </c>
      <c r="G329" s="54"/>
    </row>
    <row r="330" spans="1:21" x14ac:dyDescent="0.25">
      <c r="A330" s="2">
        <v>0.8</v>
      </c>
      <c r="B330" s="7">
        <f t="shared" ref="B330:B332" si="84">A330-0.0592*$B$147</f>
        <v>0.8</v>
      </c>
      <c r="C330" s="3">
        <f>-(A330+4.66)/27.2114</f>
        <v>-0.20065119765980433</v>
      </c>
      <c r="D330" s="9">
        <v>601.11556299999995</v>
      </c>
      <c r="E330" s="8">
        <v>-3262.0677896889401</v>
      </c>
      <c r="F330" s="7">
        <f>(E330-(D330-$B$326)*C330)*27.2114</f>
        <v>-88764.800478361634</v>
      </c>
      <c r="G330" s="8">
        <f>(F330+$D$133/2-1*A330)-(F152+$J$140+$D$135)+$E$7+$D$326-0.0592*$B$147</f>
        <v>-1.0554984181427796</v>
      </c>
    </row>
    <row r="331" spans="1:21" x14ac:dyDescent="0.25">
      <c r="A331" s="1">
        <v>0.4</v>
      </c>
      <c r="B331" s="7">
        <f t="shared" si="84"/>
        <v>0.4</v>
      </c>
      <c r="C331" s="3">
        <f>-(A331+4.66)/27.2114</f>
        <v>-0.18595147621952565</v>
      </c>
      <c r="D331" s="9">
        <v>601.54819399999997</v>
      </c>
      <c r="E331" s="8">
        <v>-3262.1514558323802</v>
      </c>
      <c r="F331" s="7">
        <f t="shared" ref="F331:F332" si="85">(E331-(D331-$B$326)*C331)*27.2114</f>
        <v>-88764.934263597243</v>
      </c>
      <c r="G331" s="8">
        <f>(F331+$D$133/2-1*A331)-(F153+$J$140+$D$135)+$E$7+$D$326-0.0592*$B$147</f>
        <v>-0.74352443466265017</v>
      </c>
    </row>
    <row r="332" spans="1:21" x14ac:dyDescent="0.25">
      <c r="A332" s="2">
        <v>0</v>
      </c>
      <c r="B332" s="7">
        <f t="shared" si="84"/>
        <v>0</v>
      </c>
      <c r="C332" s="3">
        <f>-(A332+4.66)/27.2114</f>
        <v>-0.17125175477924692</v>
      </c>
      <c r="D332" s="9">
        <v>602.19572400000004</v>
      </c>
      <c r="E332" s="8">
        <v>-3262.2673656002698</v>
      </c>
      <c r="F332" s="7">
        <f t="shared" si="85"/>
        <v>-88765.290118455188</v>
      </c>
      <c r="G332" s="8">
        <f>(F332+$D$133/2-1*A332)-(F154+$J$140+$D$135)+$E$7+$D$326-0.0592*$B$147</f>
        <v>-0.39018498259898554</v>
      </c>
    </row>
    <row r="335" spans="1:21" x14ac:dyDescent="0.25">
      <c r="A335" s="2" t="s">
        <v>3</v>
      </c>
      <c r="B335" s="2">
        <v>600</v>
      </c>
      <c r="C335" s="5" t="s">
        <v>96</v>
      </c>
      <c r="D335" s="2">
        <v>0.23799999999999999</v>
      </c>
    </row>
    <row r="336" spans="1:21" x14ac:dyDescent="0.25">
      <c r="A336" s="73" t="s">
        <v>212</v>
      </c>
      <c r="B336" s="74"/>
      <c r="C336" s="74"/>
      <c r="D336" s="74"/>
      <c r="E336" s="74"/>
      <c r="F336" s="75"/>
      <c r="G336" s="2" t="s">
        <v>31</v>
      </c>
    </row>
    <row r="337" spans="1:7" x14ac:dyDescent="0.25">
      <c r="A337" s="4" t="s">
        <v>1</v>
      </c>
      <c r="B337" s="4" t="s">
        <v>100</v>
      </c>
      <c r="C337" s="4" t="s">
        <v>0</v>
      </c>
      <c r="D337" s="5" t="s">
        <v>2</v>
      </c>
      <c r="E337" s="5" t="s">
        <v>4</v>
      </c>
      <c r="F337" s="4" t="s">
        <v>5</v>
      </c>
      <c r="G337" s="6" t="s">
        <v>7</v>
      </c>
    </row>
    <row r="338" spans="1:7" x14ac:dyDescent="0.25">
      <c r="A338" s="7">
        <f>-C338*27.2114-4.66</f>
        <v>1.1227972009779998</v>
      </c>
      <c r="B338" s="7">
        <f>A338-0.0592*$B$147</f>
        <v>1.1227972009779998</v>
      </c>
      <c r="C338" s="3">
        <v>-0.21251376999999999</v>
      </c>
      <c r="D338" s="9">
        <v>600</v>
      </c>
      <c r="E338" s="8">
        <v>-3261.4312288073302</v>
      </c>
      <c r="F338" s="7">
        <f>(E338-(D338-$B$335)*C338)*27.2114</f>
        <v>-88748.109739567793</v>
      </c>
      <c r="G338" s="54"/>
    </row>
    <row r="339" spans="1:7" x14ac:dyDescent="0.25">
      <c r="A339" s="2">
        <v>0.8</v>
      </c>
      <c r="B339" s="7">
        <f t="shared" ref="B339:B341" si="86">A339-0.0592*$B$147</f>
        <v>0.8</v>
      </c>
      <c r="C339" s="3">
        <f>-(A339+4.66)/27.2114</f>
        <v>-0.20065119765980433</v>
      </c>
      <c r="D339" s="9">
        <v>600.29201799999998</v>
      </c>
      <c r="E339" s="8">
        <v>-3261.4915454925499</v>
      </c>
      <c r="F339" s="7">
        <f>(E339-(D339-$B$335)*C339)*27.2114</f>
        <v>-88748.156622735973</v>
      </c>
      <c r="G339" s="8">
        <f>(F339+$D$133-2*A339)-(F152+$J$140+$D$135)+$E$8+$D$335-0.0592*$B$147</f>
        <v>-1.7202017023546479</v>
      </c>
    </row>
    <row r="340" spans="1:7" x14ac:dyDescent="0.25">
      <c r="A340" s="1">
        <v>0.4</v>
      </c>
      <c r="B340" s="7">
        <f t="shared" si="86"/>
        <v>0.4</v>
      </c>
      <c r="C340" s="3">
        <f>-(A340+4.66)/27.2114</f>
        <v>-0.18595147621952565</v>
      </c>
      <c r="D340" s="9">
        <v>600.728024</v>
      </c>
      <c r="E340" s="8">
        <v>-3261.5756601070898</v>
      </c>
      <c r="F340" s="7">
        <f t="shared" ref="F340:F341" si="87">(E340-(D340-$B$335)*C340)*27.2114</f>
        <v>-88748.35611599806</v>
      </c>
      <c r="G340" s="8">
        <f>(F340+$D$133-2*A340)-(F153+$J$140+$D$135)+$E$8+$D$335-0.0592*$B$147</f>
        <v>-1.073935745359454</v>
      </c>
    </row>
    <row r="341" spans="1:7" x14ac:dyDescent="0.25">
      <c r="A341" s="2">
        <v>0</v>
      </c>
      <c r="B341" s="7">
        <f t="shared" si="86"/>
        <v>0</v>
      </c>
      <c r="C341" s="3">
        <f>-(A341+4.66)/27.2114</f>
        <v>-0.17125175477924692</v>
      </c>
      <c r="D341" s="9">
        <v>601.40240400000005</v>
      </c>
      <c r="E341" s="8">
        <v>-3261.6955974123098</v>
      </c>
      <c r="F341" s="7">
        <f t="shared" si="87"/>
        <v>-88748.76837678533</v>
      </c>
      <c r="G341" s="8">
        <f>(F341+$D$133-2*A341)-(F154+$J$140+$D$135)+$E$8+$D$335-0.0592*$B$147</f>
        <v>-0.37700222261174088</v>
      </c>
    </row>
    <row r="344" spans="1:7" x14ac:dyDescent="0.25">
      <c r="A344" s="2" t="s">
        <v>3</v>
      </c>
      <c r="B344" s="2">
        <v>607</v>
      </c>
      <c r="C344" s="5" t="s">
        <v>96</v>
      </c>
      <c r="D344" s="2">
        <v>0.54</v>
      </c>
      <c r="E344" s="5" t="s">
        <v>186</v>
      </c>
      <c r="F344" s="2">
        <v>9.9000000000000005E-2</v>
      </c>
    </row>
    <row r="345" spans="1:7" x14ac:dyDescent="0.25">
      <c r="A345" s="73" t="s">
        <v>249</v>
      </c>
      <c r="B345" s="74"/>
      <c r="C345" s="74"/>
      <c r="D345" s="74"/>
      <c r="E345" s="74"/>
      <c r="F345" s="75"/>
      <c r="G345" s="2" t="s">
        <v>31</v>
      </c>
    </row>
    <row r="346" spans="1:7" x14ac:dyDescent="0.25">
      <c r="A346" s="4" t="s">
        <v>1</v>
      </c>
      <c r="B346" s="4" t="s">
        <v>100</v>
      </c>
      <c r="C346" s="4" t="s">
        <v>0</v>
      </c>
      <c r="D346" s="5" t="s">
        <v>2</v>
      </c>
      <c r="E346" s="5" t="s">
        <v>4</v>
      </c>
      <c r="F346" s="4" t="s">
        <v>5</v>
      </c>
      <c r="G346" s="6" t="s">
        <v>7</v>
      </c>
    </row>
    <row r="347" spans="1:7" x14ac:dyDescent="0.25">
      <c r="A347" s="7">
        <f>-C347*27.2114-4.66</f>
        <v>0.67079206421439963</v>
      </c>
      <c r="B347" s="7">
        <f>A347-0.0592*$B$147</f>
        <v>0.67079206421439963</v>
      </c>
      <c r="C347" s="3">
        <v>-0.19590289599999999</v>
      </c>
      <c r="D347" s="9">
        <v>607</v>
      </c>
      <c r="E347" s="8">
        <v>-3278.1042943471198</v>
      </c>
      <c r="F347" s="7">
        <f>(E347-(D347-$B$344)*C347)*27.2114</f>
        <v>-89201.807195197223</v>
      </c>
      <c r="G347" s="54"/>
    </row>
    <row r="348" spans="1:7" x14ac:dyDescent="0.25">
      <c r="A348" s="2">
        <v>0.8</v>
      </c>
      <c r="B348" s="7">
        <f t="shared" ref="B348:B350" si="88">A348-0.0592*$B$147</f>
        <v>0.8</v>
      </c>
      <c r="C348" s="3">
        <f>-(A348+4.66)/27.2114</f>
        <v>-0.20065119765980433</v>
      </c>
      <c r="D348" s="9">
        <v>606.88230999999996</v>
      </c>
      <c r="E348" s="8">
        <v>-3278.0809740139598</v>
      </c>
      <c r="F348" s="7">
        <f t="shared" ref="F348:F350" si="89">(E348-(D348-$B$344)*C348)*27.2114</f>
        <v>-89201.81520368348</v>
      </c>
      <c r="G348" s="8">
        <f>(F348+3/2*$D$133-1*A348-2*$F$344)-(F152 + $J$140+'Exp. thermo'!$C$64/96.49 + 2*$D$135-2*'Exp. thermo'!$G$6/96.49+2*'Exp. thermo'!$B$71/96.49)+$D$344-0.0592*$B$147</f>
        <v>6.619717932248026E-2</v>
      </c>
    </row>
    <row r="349" spans="1:7" x14ac:dyDescent="0.25">
      <c r="A349" s="1">
        <v>0.4</v>
      </c>
      <c r="B349" s="7">
        <f t="shared" si="88"/>
        <v>0.4</v>
      </c>
      <c r="C349" s="3">
        <f>-(A349+4.66)/27.2114</f>
        <v>-0.18595147621952565</v>
      </c>
      <c r="D349" s="9">
        <v>607.30487400000004</v>
      </c>
      <c r="E349" s="8">
        <v>-3278.1625231570301</v>
      </c>
      <c r="F349" s="7">
        <f t="shared" si="89"/>
        <v>-89201.849020195223</v>
      </c>
      <c r="G349" s="8">
        <f>(F349+3/2*$D$133-1*A349-2*$F$344)-(F153 + $J$140+'Exp. thermo'!$C$64/96.49 + 2*$D$135-2*'Exp. thermo'!$G$6/96.49+2*'Exp. thermo'!$B$71/96.49)+$D$344-0.0592*$B$147</f>
        <v>0.47813988666806839</v>
      </c>
    </row>
    <row r="350" spans="1:7" x14ac:dyDescent="0.25">
      <c r="A350" s="2">
        <v>0</v>
      </c>
      <c r="B350" s="7">
        <f t="shared" si="88"/>
        <v>0</v>
      </c>
      <c r="C350" s="3">
        <f>-(A350+4.66)/27.2114</f>
        <v>-0.17125175477924692</v>
      </c>
      <c r="D350" s="9">
        <v>607.99972200000002</v>
      </c>
      <c r="E350" s="8">
        <v>-3278.28603864262</v>
      </c>
      <c r="F350" s="7">
        <f t="shared" si="89"/>
        <v>-89202.094007399792</v>
      </c>
      <c r="G350" s="8">
        <f>(F350+3/2*$D$133-1*A350-2*$F$344)-(F154 + $J$140+'Exp. thermo'!$C$64/96.49 + 2*$D$135-2*'Exp. thermo'!$G$6/96.49+2*'Exp. thermo'!$B$71/96.49)+$D$344-0.0592*$B$147</f>
        <v>0.94234699210850525</v>
      </c>
    </row>
    <row r="353" spans="1:7" x14ac:dyDescent="0.25">
      <c r="A353" s="2" t="s">
        <v>3</v>
      </c>
      <c r="B353" s="2">
        <v>606</v>
      </c>
      <c r="C353" s="5" t="s">
        <v>96</v>
      </c>
      <c r="D353" s="2">
        <v>0.33</v>
      </c>
    </row>
    <row r="354" spans="1:7" x14ac:dyDescent="0.25">
      <c r="A354" s="73" t="s">
        <v>248</v>
      </c>
      <c r="B354" s="74"/>
      <c r="C354" s="74"/>
      <c r="D354" s="74"/>
      <c r="E354" s="74"/>
      <c r="F354" s="75"/>
      <c r="G354" s="2" t="s">
        <v>31</v>
      </c>
    </row>
    <row r="355" spans="1:7" x14ac:dyDescent="0.25">
      <c r="A355" s="4" t="s">
        <v>1</v>
      </c>
      <c r="B355" s="4" t="s">
        <v>100</v>
      </c>
      <c r="C355" s="4" t="s">
        <v>0</v>
      </c>
      <c r="D355" s="5" t="s">
        <v>2</v>
      </c>
      <c r="E355" s="5" t="s">
        <v>4</v>
      </c>
      <c r="F355" s="4" t="s">
        <v>5</v>
      </c>
      <c r="G355" s="6" t="s">
        <v>7</v>
      </c>
    </row>
    <row r="356" spans="1:7" x14ac:dyDescent="0.25">
      <c r="A356" s="7">
        <f>-C356*27.2114-4.66</f>
        <v>1.2000036436041999</v>
      </c>
      <c r="B356" s="7">
        <f>A356-0.0592*$B$147</f>
        <v>1.2000036436041999</v>
      </c>
      <c r="C356" s="3">
        <v>-0.21535105299999999</v>
      </c>
      <c r="D356" s="9">
        <v>606</v>
      </c>
      <c r="E356" s="8">
        <v>-3277.49696764599</v>
      </c>
      <c r="F356" s="7">
        <f>(E356-(D356-$B$353)*C356)*27.2114</f>
        <v>-89185.280985402103</v>
      </c>
      <c r="G356" s="54"/>
    </row>
    <row r="357" spans="1:7" x14ac:dyDescent="0.25">
      <c r="A357" s="2">
        <v>0.8</v>
      </c>
      <c r="B357" s="7">
        <f t="shared" ref="B357:B359" si="90">A357-0.0592*$B$147</f>
        <v>0.8</v>
      </c>
      <c r="C357" s="3">
        <f>-(A357+4.66)/27.2114</f>
        <v>-0.20065119765980433</v>
      </c>
      <c r="D357" s="9">
        <v>606.36619599999995</v>
      </c>
      <c r="E357" s="8">
        <v>-3277.5731798445499</v>
      </c>
      <c r="F357" s="7">
        <f>(E357-(D357-$B$353)*C357)*27.2114</f>
        <v>-89185.355395861989</v>
      </c>
      <c r="G357" s="8">
        <f>(F357+2*$D$133-2*(A357+$F$344))-(F152 + $J$140+'Exp. thermo'!$C$64/96.49 + 2*$D$135-2*'Exp. thermo'!$G$6/96.49+2*'Exp. thermo'!$B$71/96.49)+$D$353-0.0592*$B$147-'Exp. thermo'!$C$41/96.49</f>
        <v>-0.47079093183144893</v>
      </c>
    </row>
    <row r="358" spans="1:7" x14ac:dyDescent="0.25">
      <c r="A358" s="1">
        <v>0.4</v>
      </c>
      <c r="B358" s="7">
        <f t="shared" si="90"/>
        <v>0.4</v>
      </c>
      <c r="C358" s="3">
        <f>-(A358+4.66)/27.2114</f>
        <v>-0.18595147621952565</v>
      </c>
      <c r="D358" s="9">
        <v>606.78309899999999</v>
      </c>
      <c r="E358" s="8">
        <v>-3277.65364607519</v>
      </c>
      <c r="F358" s="7">
        <f t="shared" ref="F358:F359" si="91">(E358-(D358-$B$353)*C358)*27.2114</f>
        <v>-89185.58194387042</v>
      </c>
      <c r="G358" s="8">
        <f>(F358+2*$D$133-2*(A358+$F$344))-(F153 + $J$140+'Exp. thermo'!$C$64/96.49 + 2*$D$135-2*'Exp. thermo'!$G$6/96.49+2*'Exp. thermo'!$B$71/96.49)+$D$353-0.0592*$B$147-'Exp. thermo'!$C$41/96.49</f>
        <v>0.14842027880497313</v>
      </c>
    </row>
    <row r="359" spans="1:7" x14ac:dyDescent="0.25">
      <c r="A359" s="2">
        <v>0</v>
      </c>
      <c r="B359" s="7">
        <f t="shared" si="90"/>
        <v>0</v>
      </c>
      <c r="C359" s="3">
        <f>-(A359+4.66)/27.2114</f>
        <v>-0.17125175477924692</v>
      </c>
      <c r="D359" s="9">
        <v>607.39010099999996</v>
      </c>
      <c r="E359" s="8">
        <v>-3277.7615554231602</v>
      </c>
      <c r="F359" s="7">
        <f t="shared" si="91"/>
        <v>-89186.002918581784</v>
      </c>
      <c r="G359" s="8">
        <f>(F359+2*$D$133-2*(A359+$F$344))-(F154 + $J$140+'Exp. thermo'!$C$64/96.49 + 2*$D$135-2*'Exp. thermo'!$G$6/96.49+2*'Exp. thermo'!$B$71/96.49)+$D$353-0.0592*$B$147-'Exp. thermo'!$C$41/96.49</f>
        <v>0.8366398774595144</v>
      </c>
    </row>
    <row r="362" spans="1:7" x14ac:dyDescent="0.25">
      <c r="A362" s="2" t="s">
        <v>3</v>
      </c>
      <c r="B362" s="2">
        <v>607</v>
      </c>
      <c r="C362" s="5" t="s">
        <v>96</v>
      </c>
      <c r="D362" s="2">
        <v>0.79900000000000004</v>
      </c>
      <c r="E362" s="5" t="s">
        <v>186</v>
      </c>
      <c r="F362" s="2">
        <v>-0.26900000000000002</v>
      </c>
    </row>
    <row r="363" spans="1:7" x14ac:dyDescent="0.25">
      <c r="A363" s="73" t="s">
        <v>250</v>
      </c>
      <c r="B363" s="74"/>
      <c r="C363" s="74"/>
      <c r="D363" s="74"/>
      <c r="E363" s="74"/>
      <c r="F363" s="75"/>
      <c r="G363" s="2" t="s">
        <v>31</v>
      </c>
    </row>
    <row r="364" spans="1:7" x14ac:dyDescent="0.25">
      <c r="A364" s="4" t="s">
        <v>1</v>
      </c>
      <c r="B364" s="4" t="s">
        <v>100</v>
      </c>
      <c r="C364" s="4" t="s">
        <v>0</v>
      </c>
      <c r="D364" s="5" t="s">
        <v>2</v>
      </c>
      <c r="E364" s="5" t="s">
        <v>4</v>
      </c>
      <c r="F364" s="4" t="s">
        <v>5</v>
      </c>
      <c r="G364" s="6" t="s">
        <v>7</v>
      </c>
    </row>
    <row r="365" spans="1:7" x14ac:dyDescent="0.25">
      <c r="A365" s="7">
        <f>-C365*27.2114-4.66</f>
        <v>0.75214239488960022</v>
      </c>
      <c r="B365" s="7">
        <f>A365-0.0592*$B$147</f>
        <v>0.75214239488960022</v>
      </c>
      <c r="C365" s="3">
        <v>-0.19889246399999999</v>
      </c>
      <c r="D365" s="9">
        <v>607</v>
      </c>
      <c r="E365" s="8">
        <v>-3275.1942399889699</v>
      </c>
      <c r="F365" s="7">
        <f>(E365-(D365-$B$362)*C365)*27.2114</f>
        <v>-89122.62054203586</v>
      </c>
      <c r="G365" s="54"/>
    </row>
    <row r="366" spans="1:7" x14ac:dyDescent="0.25">
      <c r="A366" s="2">
        <v>0.8</v>
      </c>
      <c r="B366" s="7">
        <f t="shared" ref="B366:B368" si="92">A366-0.0592*$B$147</f>
        <v>0.8</v>
      </c>
      <c r="C366" s="3">
        <f>-(A366+4.66)/27.2114</f>
        <v>-0.20065119765980433</v>
      </c>
      <c r="D366" s="9">
        <v>606.96083699999997</v>
      </c>
      <c r="E366" s="8">
        <v>-3275.18641844482</v>
      </c>
      <c r="F366" s="7">
        <f t="shared" ref="F366:F368" si="93">(E366-(D366-$B$362)*C366)*27.2114</f>
        <v>-89122.621536849372</v>
      </c>
      <c r="G366" s="8">
        <f>(F366+9/2*$D$133-1*A366-8*$F$362)-(F152 + $J$141 + 4*$D$135-4*'Exp. thermo'!$G$6/96.49+4*'Exp. thermo'!$B$71/96.49)+$D$362-0.0592*$B$147 + $H$2</f>
        <v>-0.10691512463637537</v>
      </c>
    </row>
    <row r="367" spans="1:7" x14ac:dyDescent="0.25">
      <c r="A367" s="1">
        <v>0.4</v>
      </c>
      <c r="B367" s="7">
        <f t="shared" si="92"/>
        <v>0.4</v>
      </c>
      <c r="C367" s="3">
        <f>-(A367+4.66)/27.2114</f>
        <v>-0.18595147621952565</v>
      </c>
      <c r="D367" s="9">
        <v>607.35943199999997</v>
      </c>
      <c r="E367" s="8">
        <v>-3275.2633490857002</v>
      </c>
      <c r="F367" s="7">
        <f t="shared" si="93"/>
        <v>-89122.682371390634</v>
      </c>
      <c r="G367" s="8">
        <f>(F367+9/2*$D$133-1*A367-8*$F$362)-(F153 + $J$141 + 4*$D$135-4*'Exp. thermo'!$G$6/96.49+4*'Exp. thermo'!$B$71/96.49)+$D$362-0.0592*$B$147 + $H$2</f>
        <v>0.27800955318997239</v>
      </c>
    </row>
    <row r="368" spans="1:7" x14ac:dyDescent="0.25">
      <c r="A368" s="2">
        <v>0</v>
      </c>
      <c r="B368" s="7">
        <f t="shared" si="92"/>
        <v>0</v>
      </c>
      <c r="C368" s="3">
        <f>-(A368+4.66)/27.2114</f>
        <v>-0.17125175477924692</v>
      </c>
      <c r="D368" s="9">
        <v>607.97006299999998</v>
      </c>
      <c r="E368" s="8">
        <v>-3275.3718940231602</v>
      </c>
      <c r="F368" s="7">
        <f t="shared" si="93"/>
        <v>-89122.934263441828</v>
      </c>
      <c r="G368" s="8">
        <f>(F368+9/2*$D$133-1*A368-8*$F$362)-(F154 + $J$141 + 4*$D$135-4*'Exp. thermo'!$G$6/96.49+4*'Exp. thermo'!$B$71/96.49)+$D$362-0.0592*$B$147 + $H$2</f>
        <v>0.73531181200558882</v>
      </c>
    </row>
    <row r="371" spans="1:43" x14ac:dyDescent="0.25">
      <c r="A371" s="2" t="s">
        <v>3</v>
      </c>
      <c r="B371" s="2">
        <v>606</v>
      </c>
      <c r="C371" s="5" t="s">
        <v>96</v>
      </c>
      <c r="D371" s="2">
        <v>0.58199999999999996</v>
      </c>
      <c r="E371" s="5" t="s">
        <v>186</v>
      </c>
      <c r="F371" s="2">
        <v>-0.26900000000000002</v>
      </c>
    </row>
    <row r="372" spans="1:43" x14ac:dyDescent="0.25">
      <c r="A372" s="73" t="s">
        <v>251</v>
      </c>
      <c r="B372" s="74"/>
      <c r="C372" s="74"/>
      <c r="D372" s="74"/>
      <c r="E372" s="74"/>
      <c r="F372" s="75"/>
      <c r="G372" s="2" t="s">
        <v>31</v>
      </c>
      <c r="AD372" s="2" t="s">
        <v>3</v>
      </c>
      <c r="AE372" s="2">
        <v>584</v>
      </c>
      <c r="AF372" s="5" t="s">
        <v>96</v>
      </c>
      <c r="AG372" s="2">
        <v>0.53800000000000003</v>
      </c>
    </row>
    <row r="373" spans="1:43" x14ac:dyDescent="0.25">
      <c r="A373" s="4" t="s">
        <v>1</v>
      </c>
      <c r="B373" s="4" t="s">
        <v>100</v>
      </c>
      <c r="C373" s="4" t="s">
        <v>0</v>
      </c>
      <c r="D373" s="5" t="s">
        <v>2</v>
      </c>
      <c r="E373" s="5" t="s">
        <v>4</v>
      </c>
      <c r="F373" s="4" t="s">
        <v>5</v>
      </c>
      <c r="G373" s="6" t="s">
        <v>7</v>
      </c>
      <c r="AD373" s="73" t="s">
        <v>422</v>
      </c>
      <c r="AE373" s="74"/>
      <c r="AF373" s="74"/>
      <c r="AG373" s="74"/>
      <c r="AH373" s="74"/>
      <c r="AI373" s="75"/>
    </row>
    <row r="374" spans="1:43" x14ac:dyDescent="0.25">
      <c r="A374" s="7">
        <f>-C374*27.2114-4.66</f>
        <v>0.85030055427120033</v>
      </c>
      <c r="B374" s="7">
        <f>A374-0.0592*$B$147</f>
        <v>0.85030055427120033</v>
      </c>
      <c r="C374" s="3">
        <v>-0.202499708</v>
      </c>
      <c r="D374" s="9">
        <v>606</v>
      </c>
      <c r="E374" s="8">
        <v>-3274.58454902319</v>
      </c>
      <c r="F374" s="7">
        <f>(E374-(D374-$B$371)*C374)*27.2114</f>
        <v>-89106.029997289632</v>
      </c>
      <c r="G374" s="54"/>
      <c r="AD374" s="4" t="s">
        <v>1</v>
      </c>
      <c r="AE374" s="4" t="s">
        <v>100</v>
      </c>
      <c r="AF374" s="4" t="s">
        <v>0</v>
      </c>
      <c r="AG374" s="5" t="s">
        <v>2</v>
      </c>
      <c r="AH374" s="5" t="s">
        <v>4</v>
      </c>
      <c r="AI374" s="4" t="s">
        <v>5</v>
      </c>
    </row>
    <row r="375" spans="1:43" x14ac:dyDescent="0.25">
      <c r="A375" s="2">
        <v>0.8</v>
      </c>
      <c r="B375" s="7">
        <f t="shared" ref="B375:B377" si="94">A375-0.0592*$B$147</f>
        <v>0.8</v>
      </c>
      <c r="C375" s="3">
        <f>-(A375+4.66)/27.2114</f>
        <v>-0.20065119765980433</v>
      </c>
      <c r="D375" s="9">
        <v>606.04230299999995</v>
      </c>
      <c r="E375" s="8">
        <v>-3274.5930807147301</v>
      </c>
      <c r="F375" s="7">
        <f t="shared" ref="F375:F377" si="95">(E375-(D375-$B$371)*C375)*27.2114</f>
        <v>-89106.031182180814</v>
      </c>
      <c r="G375" s="8">
        <f>(F375+5*$D$133-2*A375-8*$F$371)-(F152 + $J$141 + 4*$D$135-4*'Exp. thermo'!$G$6/96.49+4*'Exp. thermo'!$B$71/96.49)+$D$371-0.0592*$B$147 + $H$3</f>
        <v>-0.82602455362800931</v>
      </c>
      <c r="AD375" s="54"/>
      <c r="AE375" s="54"/>
      <c r="AF375" s="54"/>
      <c r="AG375" s="54"/>
      <c r="AH375" s="54"/>
      <c r="AI375" s="54"/>
    </row>
    <row r="376" spans="1:43" x14ac:dyDescent="0.25">
      <c r="A376" s="1">
        <v>0.4</v>
      </c>
      <c r="B376" s="7">
        <f t="shared" si="94"/>
        <v>0.4</v>
      </c>
      <c r="C376" s="3">
        <f>-(A376+4.66)/27.2114</f>
        <v>-0.18595147621952565</v>
      </c>
      <c r="D376" s="9">
        <v>606.48448099999996</v>
      </c>
      <c r="E376" s="8">
        <v>-3274.6784650713698</v>
      </c>
      <c r="F376" s="7">
        <f t="shared" si="95"/>
        <v>-89106.13411058308</v>
      </c>
      <c r="G376" s="8">
        <f>(F376+5*$D$133-2*A376-8*$F$371)-(F153 + $J$141 + 4*$D$135-4*'Exp. thermo'!$G$6/96.49+4*'Exp. thermo'!$B$71/96.49)+$D$371-0.0592*$B$147 + $H$3</f>
        <v>-8.3193736811587149E-2</v>
      </c>
      <c r="AD376" s="2">
        <v>0.8</v>
      </c>
      <c r="AE376" s="7">
        <f t="shared" ref="AE376:AE378" si="96">AD376-0.0592*$B$147</f>
        <v>0.8</v>
      </c>
      <c r="AF376" s="3">
        <f>-(AD376+4.66)/27.2114</f>
        <v>-0.20065119765980433</v>
      </c>
      <c r="AG376" s="9">
        <v>583.59457099999997</v>
      </c>
      <c r="AH376" s="8">
        <v>-3220.1228921963998</v>
      </c>
      <c r="AI376" s="7">
        <f>(AH376-(AG376-$AE$372)*AF376)*27.2114</f>
        <v>-87626.265711053115</v>
      </c>
    </row>
    <row r="377" spans="1:43" x14ac:dyDescent="0.25">
      <c r="A377" s="2">
        <v>0</v>
      </c>
      <c r="B377" s="7">
        <f t="shared" si="94"/>
        <v>0</v>
      </c>
      <c r="C377" s="3">
        <f>-(A377+4.66)/27.2114</f>
        <v>-0.17125175477924692</v>
      </c>
      <c r="D377" s="9">
        <v>607.24650099999997</v>
      </c>
      <c r="E377" s="8">
        <v>-3274.8137335137399</v>
      </c>
      <c r="F377" s="7">
        <f t="shared" si="95"/>
        <v>-89106.457733475792</v>
      </c>
      <c r="G377" s="8">
        <f>(F377+5*$D$133-2*A377-8*$F$371)-(F154 + $J$141 + 4*$D$135-4*'Exp. thermo'!$G$6/96.49+4*'Exp. thermo'!$B$71/96.49)+$D$371-0.0592*$B$147 + $H$3</f>
        <v>0.70237768049403126</v>
      </c>
      <c r="AD377" s="1">
        <v>0.4</v>
      </c>
      <c r="AE377" s="7">
        <f t="shared" si="96"/>
        <v>0.4</v>
      </c>
      <c r="AF377" s="3">
        <f>-(AD377+4.66)/27.2114</f>
        <v>-0.18595147621952565</v>
      </c>
      <c r="AG377" s="9">
        <v>583.95990900000004</v>
      </c>
      <c r="AH377" s="8">
        <v>-3220.1933439478998</v>
      </c>
      <c r="AI377" s="7">
        <f t="shared" ref="AI377:AI378" si="97">(AH377-(AG377-$AE$372)*AF377)*27.2114</f>
        <v>-87626.17201996388</v>
      </c>
    </row>
    <row r="378" spans="1:43" x14ac:dyDescent="0.25">
      <c r="AD378" s="2">
        <v>0</v>
      </c>
      <c r="AE378" s="7">
        <f t="shared" si="96"/>
        <v>0</v>
      </c>
      <c r="AF378" s="3">
        <f>-(AD378+4.66)/27.2114</f>
        <v>-0.17125175477924692</v>
      </c>
      <c r="AG378" s="9">
        <v>584.59899499999995</v>
      </c>
      <c r="AH378" s="8">
        <v>-3220.3066965399998</v>
      </c>
      <c r="AI378" s="7">
        <f t="shared" si="97"/>
        <v>-87626.262325528558</v>
      </c>
    </row>
    <row r="380" spans="1:43" x14ac:dyDescent="0.25">
      <c r="A380" s="2" t="s">
        <v>3</v>
      </c>
      <c r="B380" s="2">
        <v>605</v>
      </c>
      <c r="C380" s="5" t="s">
        <v>96</v>
      </c>
      <c r="D380" s="2">
        <v>0.317</v>
      </c>
      <c r="E380" s="5" t="s">
        <v>186</v>
      </c>
      <c r="F380" s="2">
        <v>-0.26900000000000002</v>
      </c>
      <c r="AD380" s="2" t="s">
        <v>3</v>
      </c>
      <c r="AE380" s="2">
        <v>584</v>
      </c>
      <c r="AF380" s="5" t="s">
        <v>96</v>
      </c>
      <c r="AG380" s="2">
        <v>0.57399999999999995</v>
      </c>
      <c r="AL380" s="2" t="s">
        <v>3</v>
      </c>
      <c r="AM380" s="2">
        <v>584</v>
      </c>
      <c r="AN380" s="5" t="s">
        <v>96</v>
      </c>
      <c r="AO380" s="2">
        <v>0.54600000000000004</v>
      </c>
    </row>
    <row r="381" spans="1:43" x14ac:dyDescent="0.25">
      <c r="A381" s="73" t="s">
        <v>252</v>
      </c>
      <c r="B381" s="74"/>
      <c r="C381" s="74"/>
      <c r="D381" s="74"/>
      <c r="E381" s="74"/>
      <c r="F381" s="75"/>
      <c r="G381" s="2" t="s">
        <v>31</v>
      </c>
      <c r="AD381" s="73" t="s">
        <v>420</v>
      </c>
      <c r="AE381" s="74"/>
      <c r="AF381" s="74"/>
      <c r="AG381" s="74"/>
      <c r="AH381" s="74"/>
      <c r="AI381" s="75"/>
      <c r="AL381" s="73" t="s">
        <v>421</v>
      </c>
      <c r="AM381" s="74"/>
      <c r="AN381" s="74"/>
      <c r="AO381" s="74"/>
      <c r="AP381" s="74"/>
      <c r="AQ381" s="75"/>
    </row>
    <row r="382" spans="1:43" x14ac:dyDescent="0.25">
      <c r="A382" s="4" t="s">
        <v>1</v>
      </c>
      <c r="B382" s="4" t="s">
        <v>100</v>
      </c>
      <c r="C382" s="4" t="s">
        <v>0</v>
      </c>
      <c r="D382" s="5" t="s">
        <v>2</v>
      </c>
      <c r="E382" s="5" t="s">
        <v>4</v>
      </c>
      <c r="F382" s="4" t="s">
        <v>5</v>
      </c>
      <c r="G382" s="6" t="s">
        <v>7</v>
      </c>
      <c r="AD382" s="4" t="s">
        <v>1</v>
      </c>
      <c r="AE382" s="4" t="s">
        <v>100</v>
      </c>
      <c r="AF382" s="4" t="s">
        <v>0</v>
      </c>
      <c r="AG382" s="5" t="s">
        <v>2</v>
      </c>
      <c r="AH382" s="5" t="s">
        <v>4</v>
      </c>
      <c r="AI382" s="4" t="s">
        <v>5</v>
      </c>
      <c r="AL382" s="4" t="s">
        <v>1</v>
      </c>
      <c r="AM382" s="4" t="s">
        <v>100</v>
      </c>
      <c r="AN382" s="4" t="s">
        <v>0</v>
      </c>
      <c r="AO382" s="5" t="s">
        <v>2</v>
      </c>
      <c r="AP382" s="5" t="s">
        <v>4</v>
      </c>
      <c r="AQ382" s="4" t="s">
        <v>5</v>
      </c>
    </row>
    <row r="383" spans="1:43" x14ac:dyDescent="0.25">
      <c r="A383" s="7">
        <f>-C383*27.2114-4.66</f>
        <v>1.5327454863575998</v>
      </c>
      <c r="B383" s="7">
        <f>A383-0.0592*$B$147</f>
        <v>1.5327454863575998</v>
      </c>
      <c r="C383" s="3">
        <v>-0.22757908399999999</v>
      </c>
      <c r="D383" s="9">
        <v>605</v>
      </c>
      <c r="E383" s="8">
        <v>-3273.9454475827802</v>
      </c>
      <c r="F383" s="7">
        <f>(E383-(D383-$B$380)*C383)*27.2114</f>
        <v>-89088.639152354066</v>
      </c>
      <c r="G383" s="54"/>
      <c r="AD383" s="54"/>
      <c r="AE383" s="54"/>
      <c r="AF383" s="54"/>
      <c r="AG383" s="54"/>
      <c r="AH383" s="54"/>
      <c r="AI383" s="54"/>
      <c r="AL383" s="54"/>
      <c r="AM383" s="54"/>
      <c r="AN383" s="54"/>
      <c r="AO383" s="54"/>
      <c r="AP383" s="54"/>
      <c r="AQ383" s="54"/>
    </row>
    <row r="384" spans="1:43" x14ac:dyDescent="0.25">
      <c r="A384" s="2">
        <v>0.8</v>
      </c>
      <c r="B384" s="7">
        <f t="shared" ref="B384:B386" si="98">A384-0.0592*$B$147</f>
        <v>0.8</v>
      </c>
      <c r="C384" s="3">
        <f>-(A384+4.66)/27.2114</f>
        <v>-0.20065119765980433</v>
      </c>
      <c r="D384" s="9">
        <v>605.68068300000004</v>
      </c>
      <c r="E384" s="8">
        <v>-3274.0913056999898</v>
      </c>
      <c r="F384" s="7">
        <f t="shared" ref="F384:F386" si="99">(E384-(D384-$B$380)*C384)*27.2114</f>
        <v>-89088.891626744706</v>
      </c>
      <c r="G384" s="8">
        <f>(F384+11/2*$D$133-3*A384-8*$F$380)-(F152 + $J$141 + 4*$D$135-4*'Exp. thermo'!$G$6/96.49+4*'Exp. thermo'!$B$71/96.49)+$D$380-0.0592*$B$147 + $H$4</f>
        <v>-1.3531487861151565</v>
      </c>
      <c r="AD384" s="2">
        <v>0.8</v>
      </c>
      <c r="AE384" s="7">
        <f t="shared" ref="AE384:AE386" si="100">AD384-0.0592*$B$147</f>
        <v>0.8</v>
      </c>
      <c r="AF384" s="3">
        <f>-(AD384+4.66)/27.2114</f>
        <v>-0.20065119765980433</v>
      </c>
      <c r="AG384" s="9">
        <v>583.62366699999995</v>
      </c>
      <c r="AH384" s="8">
        <v>-3220.1163167488098</v>
      </c>
      <c r="AI384" s="7">
        <f>(AH384-(AG384-$AE$380)*AF384)*27.2114</f>
        <v>-87625.927919758571</v>
      </c>
      <c r="AL384" s="2">
        <v>0.8</v>
      </c>
      <c r="AM384" s="7">
        <f t="shared" ref="AM384:AM386" si="101">AL384-0.0592*$B$147</f>
        <v>0.8</v>
      </c>
      <c r="AN384" s="3">
        <f>-(AL384+4.66)/27.2114</f>
        <v>-0.20065119765980433</v>
      </c>
      <c r="AO384" s="9">
        <v>583.62348999999995</v>
      </c>
      <c r="AP384" s="8">
        <v>-3220.1264552295702</v>
      </c>
      <c r="AQ384" s="7">
        <f>(AP384-(AO384-$AM$380)*AN384)*27.2114</f>
        <v>-87626.204768433934</v>
      </c>
    </row>
    <row r="385" spans="1:44" x14ac:dyDescent="0.25">
      <c r="A385" s="1">
        <v>0.4</v>
      </c>
      <c r="B385" s="7">
        <f t="shared" si="98"/>
        <v>0.4</v>
      </c>
      <c r="C385" s="3">
        <f>-(A385+4.66)/27.2114</f>
        <v>-0.18595147621952565</v>
      </c>
      <c r="D385" s="9">
        <v>606.11264700000004</v>
      </c>
      <c r="E385" s="8">
        <v>-3274.1746688399498</v>
      </c>
      <c r="F385" s="7">
        <f t="shared" si="99"/>
        <v>-89089.24658985142</v>
      </c>
      <c r="G385" s="8">
        <f>(F385+11/2*$D$133-3*A385-8*$F$380)-(F153 + $J$141 + 4*$D$135-4*'Exp. thermo'!$G$6/96.49+4*'Exp. thermo'!$B$71/96.49)+$D$380-0.0592*$B$147 + $H$4</f>
        <v>-0.46235267375286115</v>
      </c>
      <c r="AD385" s="1">
        <v>0.4</v>
      </c>
      <c r="AE385" s="7">
        <f t="shared" si="100"/>
        <v>0.4</v>
      </c>
      <c r="AF385" s="3">
        <f>-(AD385+4.66)/27.2114</f>
        <v>-0.18595147621952565</v>
      </c>
      <c r="AG385" s="9">
        <v>583.98350100000005</v>
      </c>
      <c r="AH385" s="8">
        <v>-3220.18571806818</v>
      </c>
      <c r="AI385" s="7">
        <f>(AH385-(AG385-$AE$380)*AF385)*27.2114</f>
        <v>-87625.845133580471</v>
      </c>
      <c r="AL385" s="1">
        <v>0.4</v>
      </c>
      <c r="AM385" s="7">
        <f t="shared" si="101"/>
        <v>0.4</v>
      </c>
      <c r="AN385" s="3">
        <f>-(AL385+4.66)/27.2114</f>
        <v>-0.18595147621952565</v>
      </c>
      <c r="AO385" s="9">
        <v>583.99320999999998</v>
      </c>
      <c r="AP385" s="8">
        <v>-3220.1977328513799</v>
      </c>
      <c r="AQ385" s="7">
        <f t="shared" ref="AQ385:AQ386" si="102">(AP385-(AO385-$AM$380)*AN385)*27.2114</f>
        <v>-87626.122945112045</v>
      </c>
    </row>
    <row r="386" spans="1:44" x14ac:dyDescent="0.25">
      <c r="A386" s="2">
        <v>0</v>
      </c>
      <c r="B386" s="7">
        <f t="shared" si="98"/>
        <v>0</v>
      </c>
      <c r="C386" s="3">
        <f>-(A386+4.66)/27.2114</f>
        <v>-0.17125175477924692</v>
      </c>
      <c r="D386" s="9">
        <v>606.808718</v>
      </c>
      <c r="E386" s="8">
        <v>-3274.2982856875701</v>
      </c>
      <c r="F386" s="7">
        <f t="shared" si="99"/>
        <v>-89089.811745278741</v>
      </c>
      <c r="G386" s="8">
        <f>(F386+11/2*$D$133-3*A386-8*$F$380)-(F154 + $J$141 + 4*$D$135-4*'Exp. thermo'!$G$6/96.49+4*'Exp. thermo'!$B$71/96.49)+$D$380-0.0592*$B$147 + $H$4</f>
        <v>0.48168620893866843</v>
      </c>
      <c r="AD386" s="2">
        <v>0</v>
      </c>
      <c r="AE386" s="7">
        <f t="shared" si="100"/>
        <v>0</v>
      </c>
      <c r="AF386" s="3">
        <f>-(AD386+4.66)/27.2114</f>
        <v>-0.17125175477924692</v>
      </c>
      <c r="AG386" s="9">
        <v>584.56986300000005</v>
      </c>
      <c r="AH386" s="8">
        <v>-3220.2898816084498</v>
      </c>
      <c r="AI386" s="7">
        <f>(AH386-(AG386-$AE$380)*AF386)*27.2114</f>
        <v>-87625.940522820179</v>
      </c>
      <c r="AL386" s="2">
        <v>0</v>
      </c>
      <c r="AM386" s="7">
        <f t="shared" si="101"/>
        <v>0</v>
      </c>
      <c r="AN386" s="3">
        <f>-(AL386+4.66)/27.2114</f>
        <v>-0.17125175477924692</v>
      </c>
      <c r="AO386" s="9">
        <v>584.64085999999998</v>
      </c>
      <c r="AP386" s="8">
        <v>-3220.3125634917701</v>
      </c>
      <c r="AQ386" s="7">
        <f t="shared" si="102"/>
        <v>-87626.226882599964</v>
      </c>
    </row>
    <row r="387" spans="1:44" ht="15.75" x14ac:dyDescent="0.25">
      <c r="AD387" s="71" t="s">
        <v>417</v>
      </c>
    </row>
    <row r="389" spans="1:44" x14ac:dyDescent="0.25">
      <c r="A389" s="2" t="s">
        <v>3</v>
      </c>
      <c r="B389" s="2">
        <v>583</v>
      </c>
      <c r="C389" s="5" t="s">
        <v>96</v>
      </c>
      <c r="D389" s="2">
        <v>0.254</v>
      </c>
      <c r="L389" s="2" t="s">
        <v>3</v>
      </c>
      <c r="M389" s="2">
        <v>583</v>
      </c>
      <c r="N389" s="5" t="s">
        <v>96</v>
      </c>
      <c r="O389" s="2">
        <v>0.254</v>
      </c>
      <c r="T389" s="2" t="s">
        <v>3</v>
      </c>
      <c r="U389" s="2">
        <v>583</v>
      </c>
      <c r="V389" s="5" t="s">
        <v>96</v>
      </c>
      <c r="W389" s="2">
        <v>0.254</v>
      </c>
      <c r="AD389" s="2" t="s">
        <v>3</v>
      </c>
      <c r="AE389" s="2">
        <v>591</v>
      </c>
      <c r="AF389" s="5" t="s">
        <v>96</v>
      </c>
      <c r="AG389" s="2">
        <v>0.90300000000000002</v>
      </c>
      <c r="AL389" s="2" t="s">
        <v>3</v>
      </c>
      <c r="AM389" s="2">
        <v>591</v>
      </c>
      <c r="AN389" s="5" t="s">
        <v>96</v>
      </c>
      <c r="AO389" s="2">
        <v>0.89600000000000002</v>
      </c>
    </row>
    <row r="390" spans="1:44" x14ac:dyDescent="0.25">
      <c r="A390" s="73" t="s">
        <v>265</v>
      </c>
      <c r="B390" s="74"/>
      <c r="C390" s="74"/>
      <c r="D390" s="74"/>
      <c r="E390" s="74"/>
      <c r="F390" s="75"/>
      <c r="G390" s="2" t="s">
        <v>31</v>
      </c>
      <c r="L390" s="73" t="s">
        <v>407</v>
      </c>
      <c r="M390" s="74"/>
      <c r="N390" s="74"/>
      <c r="O390" s="74"/>
      <c r="P390" s="74"/>
      <c r="Q390" s="75"/>
      <c r="R390" s="2" t="s">
        <v>31</v>
      </c>
      <c r="T390" s="73" t="s">
        <v>408</v>
      </c>
      <c r="U390" s="74"/>
      <c r="V390" s="74"/>
      <c r="W390" s="74"/>
      <c r="X390" s="74"/>
      <c r="Y390" s="75"/>
      <c r="Z390" s="2" t="s">
        <v>31</v>
      </c>
      <c r="AD390" s="73" t="s">
        <v>418</v>
      </c>
      <c r="AE390" s="74"/>
      <c r="AF390" s="74"/>
      <c r="AG390" s="74"/>
      <c r="AH390" s="74"/>
      <c r="AI390" s="75"/>
      <c r="AJ390" s="2" t="s">
        <v>31</v>
      </c>
      <c r="AL390" s="73" t="s">
        <v>419</v>
      </c>
      <c r="AM390" s="74"/>
      <c r="AN390" s="74"/>
      <c r="AO390" s="74"/>
      <c r="AP390" s="74"/>
      <c r="AQ390" s="75"/>
      <c r="AR390" s="2" t="s">
        <v>31</v>
      </c>
    </row>
    <row r="391" spans="1:44" x14ac:dyDescent="0.25">
      <c r="A391" s="4" t="s">
        <v>1</v>
      </c>
      <c r="B391" s="4" t="s">
        <v>100</v>
      </c>
      <c r="C391" s="4" t="s">
        <v>0</v>
      </c>
      <c r="D391" s="5" t="s">
        <v>2</v>
      </c>
      <c r="E391" s="5" t="s">
        <v>4</v>
      </c>
      <c r="F391" s="4" t="s">
        <v>5</v>
      </c>
      <c r="G391" s="6" t="s">
        <v>7</v>
      </c>
      <c r="L391" s="4" t="s">
        <v>1</v>
      </c>
      <c r="M391" s="4" t="s">
        <v>100</v>
      </c>
      <c r="N391" s="4" t="s">
        <v>0</v>
      </c>
      <c r="O391" s="5" t="s">
        <v>2</v>
      </c>
      <c r="P391" s="5" t="s">
        <v>4</v>
      </c>
      <c r="Q391" s="4" t="s">
        <v>5</v>
      </c>
      <c r="R391" s="6" t="s">
        <v>7</v>
      </c>
      <c r="T391" s="4" t="s">
        <v>1</v>
      </c>
      <c r="U391" s="4" t="s">
        <v>100</v>
      </c>
      <c r="V391" s="4" t="s">
        <v>0</v>
      </c>
      <c r="W391" s="5" t="s">
        <v>2</v>
      </c>
      <c r="X391" s="5" t="s">
        <v>4</v>
      </c>
      <c r="Y391" s="4" t="s">
        <v>5</v>
      </c>
      <c r="Z391" s="6" t="s">
        <v>7</v>
      </c>
      <c r="AD391" s="4" t="s">
        <v>1</v>
      </c>
      <c r="AE391" s="4" t="s">
        <v>100</v>
      </c>
      <c r="AF391" s="4" t="s">
        <v>0</v>
      </c>
      <c r="AG391" s="5" t="s">
        <v>2</v>
      </c>
      <c r="AH391" s="5" t="s">
        <v>4</v>
      </c>
      <c r="AI391" s="4" t="s">
        <v>5</v>
      </c>
      <c r="AJ391" s="6" t="s">
        <v>7</v>
      </c>
      <c r="AL391" s="4" t="s">
        <v>1</v>
      </c>
      <c r="AM391" s="4" t="s">
        <v>100</v>
      </c>
      <c r="AN391" s="4" t="s">
        <v>0</v>
      </c>
      <c r="AO391" s="5" t="s">
        <v>2</v>
      </c>
      <c r="AP391" s="5" t="s">
        <v>4</v>
      </c>
      <c r="AQ391" s="4" t="s">
        <v>5</v>
      </c>
      <c r="AR391" s="6" t="s">
        <v>7</v>
      </c>
    </row>
    <row r="392" spans="1:44" x14ac:dyDescent="0.25">
      <c r="A392" s="7">
        <f>-C392*27.2114-4.66</f>
        <v>0.75106754458960001</v>
      </c>
      <c r="B392" s="7">
        <f>A392-0.0592*$B$147</f>
        <v>0.75106754458960001</v>
      </c>
      <c r="C392" s="3">
        <v>-0.19885296399999999</v>
      </c>
      <c r="D392" s="9">
        <v>583</v>
      </c>
      <c r="E392" s="8">
        <v>-3219.5686848569098</v>
      </c>
      <c r="F392" s="7">
        <f>(E392-(D392-$B$389)*C392)*27.2114</f>
        <v>-87608.971311115325</v>
      </c>
      <c r="G392" s="54"/>
      <c r="L392" s="54"/>
      <c r="M392" s="54"/>
      <c r="N392" s="54"/>
      <c r="O392" s="54"/>
      <c r="P392" s="54"/>
      <c r="Q392" s="54"/>
      <c r="R392" s="54"/>
      <c r="T392" s="54"/>
      <c r="U392" s="54"/>
      <c r="V392" s="54"/>
      <c r="W392" s="54"/>
      <c r="X392" s="54"/>
      <c r="Y392" s="54"/>
      <c r="Z392" s="54"/>
      <c r="AD392" s="54"/>
      <c r="AE392" s="54"/>
      <c r="AF392" s="54"/>
      <c r="AG392" s="54"/>
      <c r="AH392" s="54"/>
      <c r="AI392" s="54"/>
      <c r="AJ392" s="54"/>
      <c r="AL392" s="54"/>
      <c r="AM392" s="54"/>
      <c r="AN392" s="54"/>
      <c r="AO392" s="54"/>
      <c r="AP392" s="54"/>
      <c r="AQ392" s="54"/>
      <c r="AR392" s="54"/>
    </row>
    <row r="393" spans="1:44" x14ac:dyDescent="0.25">
      <c r="A393" s="2">
        <v>0.8</v>
      </c>
      <c r="B393" s="7">
        <f t="shared" ref="B393:B395" si="103">A393-0.0592*$B$147</f>
        <v>0.8</v>
      </c>
      <c r="C393" s="3">
        <f>-(A393+4.66)/27.2114</f>
        <v>-0.20065119765980433</v>
      </c>
      <c r="D393" s="9">
        <v>582.95769199999995</v>
      </c>
      <c r="E393" s="8">
        <v>-3219.5602346951</v>
      </c>
      <c r="F393" s="7">
        <f t="shared" ref="F393:F395" si="104">(E393-(D393-$B$389)*C393)*27.2114</f>
        <v>-87608.972372062242</v>
      </c>
      <c r="G393" s="8">
        <f>(F393+1/2*$D$133-1*A393)-(F152 + $D$135)+$D$389-0.0592*$B$147 + $H$5</f>
        <v>-0.75717052441301202</v>
      </c>
      <c r="L393" s="2">
        <v>0.8</v>
      </c>
      <c r="M393" s="7">
        <f t="shared" ref="M393:M395" si="105">L393-0.0592*$B$147</f>
        <v>0.8</v>
      </c>
      <c r="N393" s="3">
        <f>-(L393+4.66)/27.2114</f>
        <v>-0.20065119765980433</v>
      </c>
      <c r="O393" s="9">
        <v>583.02103199999999</v>
      </c>
      <c r="P393" s="8">
        <v>-3219.5699291750698</v>
      </c>
      <c r="Q393" s="7">
        <f t="shared" ref="Q393:Q395" si="106">(P393-(O393-$B$389)*N393)*27.2114</f>
        <v>-87608.890336034499</v>
      </c>
      <c r="R393" s="8">
        <f>(Q393+1/2*$D$133-1*L393)-(Q152 + $D$135)+$D$389-0.0592*$B$147 + $H$5</f>
        <v>-0.69921560707130848</v>
      </c>
      <c r="T393" s="2">
        <v>0.8</v>
      </c>
      <c r="U393" s="7">
        <f t="shared" ref="U393:U395" si="107">T393-0.0592*$B$147</f>
        <v>0.8</v>
      </c>
      <c r="V393" s="3">
        <f>-(T393+4.66)/27.2114</f>
        <v>-0.20065119765980433</v>
      </c>
      <c r="W393" s="9">
        <v>583.03171199999997</v>
      </c>
      <c r="X393" s="8">
        <v>-3219.5711583520501</v>
      </c>
      <c r="Y393" s="7">
        <f t="shared" ref="Y393:Y395" si="108">(X393-(W393-$B$389)*V393)*27.2114</f>
        <v>-87608.865470860983</v>
      </c>
      <c r="Z393" s="8">
        <f>(Y393+1/2*$D$133-1*T393)-(Y152 + $D$135)+$D$389-0.0592*$B$147 + $H$5</f>
        <v>-0.67864900192340283</v>
      </c>
      <c r="AD393" s="2">
        <v>0.8</v>
      </c>
      <c r="AE393" s="7">
        <f t="shared" ref="AE393:AE395" si="109">AD393-0.0592*$B$147</f>
        <v>0.8</v>
      </c>
      <c r="AF393" s="3">
        <f>-(AD393+4.66)/27.2114</f>
        <v>-0.20065119765980433</v>
      </c>
      <c r="AG393" s="9">
        <v>590.72471700000006</v>
      </c>
      <c r="AH393" s="8">
        <v>-3236.82414167972</v>
      </c>
      <c r="AI393" s="7">
        <f>(AH393-(AG393-$AE$389)*AF393)*27.2114</f>
        <v>-88080.019494083535</v>
      </c>
      <c r="AJ393" s="8">
        <f>(AI393+1/2*$D$133-1*AD393+$AG$389)-(AI376+$D$135+$AG$372) + $H$5</f>
        <v>-1.0141458106449703</v>
      </c>
      <c r="AL393" s="2">
        <v>0.8</v>
      </c>
      <c r="AM393" s="7">
        <f t="shared" ref="AM393:AM395" si="110">AL393-0.0592*$B$147</f>
        <v>0.8</v>
      </c>
      <c r="AN393" s="3">
        <f>-(AL393+4.66)/27.2114</f>
        <v>-0.20065119765980433</v>
      </c>
      <c r="AO393" s="9">
        <v>590.70169399999997</v>
      </c>
      <c r="AP393" s="8">
        <v>-3236.8094129548699</v>
      </c>
      <c r="AQ393" s="7">
        <f>(AP393-(AO393-$AM$389)*AN393)*27.2114</f>
        <v>-88079.744410440151</v>
      </c>
      <c r="AR393" s="8">
        <f>(AQ393+1/2*$D$133-1*AL393+$AO$389)-(AI376+$D$135+$AG$372) + $H$5</f>
        <v>-0.74606216727303254</v>
      </c>
    </row>
    <row r="394" spans="1:44" x14ac:dyDescent="0.25">
      <c r="A394" s="1">
        <v>0.4</v>
      </c>
      <c r="B394" s="7">
        <f t="shared" si="103"/>
        <v>0.4</v>
      </c>
      <c r="C394" s="3">
        <f>-(A394+4.66)/27.2114</f>
        <v>-0.18595147621952565</v>
      </c>
      <c r="D394" s="9">
        <v>583.42275900000004</v>
      </c>
      <c r="E394" s="8">
        <v>-3219.6497852512998</v>
      </c>
      <c r="F394" s="7">
        <f t="shared" si="104"/>
        <v>-87609.039005847226</v>
      </c>
      <c r="G394" s="8">
        <f>(F394+1/2*$D$133-1*A394)-(F153 + $D$135)+$D$389-0.0592*$B$147 + $H$5</f>
        <v>-0.37804509030807676</v>
      </c>
      <c r="L394" s="1">
        <v>0.4</v>
      </c>
      <c r="M394" s="7">
        <f t="shared" si="105"/>
        <v>0.4</v>
      </c>
      <c r="N394" s="3">
        <f>-(L394+4.66)/27.2114</f>
        <v>-0.18595147621952565</v>
      </c>
      <c r="O394" s="9">
        <v>583.28389100000004</v>
      </c>
      <c r="P394" s="8">
        <v>-3219.6206461266602</v>
      </c>
      <c r="Q394" s="7">
        <f t="shared" si="106"/>
        <v>-87608.948761551001</v>
      </c>
      <c r="R394" s="8">
        <f>(Q394+1/2*$D$133-1*L394)-(Q153 + $D$135)+$D$389-0.0592*$B$147 + $H$5</f>
        <v>-0.30853866942321329</v>
      </c>
      <c r="T394" s="1">
        <v>0.4</v>
      </c>
      <c r="U394" s="7">
        <f t="shared" si="107"/>
        <v>0.4</v>
      </c>
      <c r="V394" s="3">
        <f>-(T394+4.66)/27.2114</f>
        <v>-0.18595147621952565</v>
      </c>
      <c r="W394" s="9">
        <v>583.24032599999998</v>
      </c>
      <c r="X394" s="8">
        <v>-3219.6114264048701</v>
      </c>
      <c r="Y394" s="7">
        <f t="shared" si="108"/>
        <v>-87608.918318913493</v>
      </c>
      <c r="Z394" s="8">
        <f>(Y394+1/2*$D$133-1*T394)-(Y153 + $D$135)+$D$389-0.0592*$B$147 + $H$5</f>
        <v>-0.28600737467910076</v>
      </c>
      <c r="AD394" s="1">
        <v>0.4</v>
      </c>
      <c r="AE394" s="7">
        <f t="shared" si="109"/>
        <v>0.4</v>
      </c>
      <c r="AF394" s="3">
        <f>-(AD394+4.66)/27.2114</f>
        <v>-0.18595147621952565</v>
      </c>
      <c r="AG394" s="9">
        <v>591.08362199999999</v>
      </c>
      <c r="AH394" s="8">
        <v>-3236.8933648110701</v>
      </c>
      <c r="AI394" s="7">
        <f>(AH394-(AG394-$AE$389)*AF394)*27.2114</f>
        <v>-88079.976979899948</v>
      </c>
      <c r="AJ394" s="8">
        <f t="shared" ref="AJ394:AJ395" si="111">(AI394+1/2*$D$133-1*AD394+$AG$389)-(AI377+$D$135+$AG$372) + $H$5</f>
        <v>-0.66532271628281014</v>
      </c>
      <c r="AL394" s="1">
        <v>0.4</v>
      </c>
      <c r="AM394" s="7">
        <f t="shared" si="110"/>
        <v>0.4</v>
      </c>
      <c r="AN394" s="3">
        <f>-(AL394+4.66)/27.2114</f>
        <v>-0.18595147621952565</v>
      </c>
      <c r="AO394" s="9">
        <v>591.12821299999996</v>
      </c>
      <c r="AP394" s="8">
        <v>-3236.89163953662</v>
      </c>
      <c r="AQ394" s="7">
        <f t="shared" ref="AQ394:AQ395" si="112">(AP394-(AO394-$AM$389)*AN394)*27.2114</f>
        <v>-88079.704402306787</v>
      </c>
      <c r="AR394" s="8">
        <f t="shared" ref="AR394:AR395" si="113">(AQ394+1/2*$D$133-1*AL394+$AO$389)-(AI377+$D$135+$AG$372) + $H$5</f>
        <v>-0.39974512313389132</v>
      </c>
    </row>
    <row r="395" spans="1:44" x14ac:dyDescent="0.25">
      <c r="A395" s="2">
        <v>0</v>
      </c>
      <c r="B395" s="7">
        <f t="shared" si="103"/>
        <v>0</v>
      </c>
      <c r="C395" s="3">
        <f>-(A395+4.66)/27.2114</f>
        <v>-0.17125175477924692</v>
      </c>
      <c r="D395" s="9">
        <v>584.397291</v>
      </c>
      <c r="E395" s="8">
        <v>-3219.8231771431701</v>
      </c>
      <c r="F395" s="7">
        <f t="shared" si="104"/>
        <v>-87609.38502645366</v>
      </c>
      <c r="G395" s="8">
        <f t="shared" ref="G395" si="114">(F395+1/2*$D$133-1*A395)-(F154 + $D$135)+$D$389-0.0592*$B$147 + $H$5</f>
        <v>-1.4871386732337122E-2</v>
      </c>
      <c r="L395" s="2">
        <v>0</v>
      </c>
      <c r="M395" s="7">
        <f t="shared" si="105"/>
        <v>0</v>
      </c>
      <c r="N395" s="3">
        <f>-(L395+4.66)/27.2114</f>
        <v>-0.17125175477924692</v>
      </c>
      <c r="O395" s="9">
        <v>583.62190099999998</v>
      </c>
      <c r="P395" s="8">
        <v>-3219.6808731976898</v>
      </c>
      <c r="Q395" s="7">
        <f t="shared" si="106"/>
        <v>-87609.126054271619</v>
      </c>
      <c r="R395" s="8">
        <f t="shared" ref="R395" si="115">(Q395+1/2*$D$133-1*L395)-(Q154 + $D$135)+$D$389-0.0592*$B$147 + $H$5</f>
        <v>8.5233433702016193E-2</v>
      </c>
      <c r="T395" s="2">
        <v>0</v>
      </c>
      <c r="U395" s="7">
        <f t="shared" si="107"/>
        <v>0</v>
      </c>
      <c r="V395" s="3">
        <f>-(T395+4.66)/27.2114</f>
        <v>-0.17125175477924692</v>
      </c>
      <c r="W395" s="9">
        <v>583.48262499999998</v>
      </c>
      <c r="X395" s="8">
        <v>-3219.65464732592</v>
      </c>
      <c r="Y395" s="7">
        <f t="shared" si="108"/>
        <v>-87609.061437744545</v>
      </c>
      <c r="Z395" s="8">
        <f t="shared" ref="Z395" si="116">(Y395+1/2*$D$133-1*T395)-(Y154 + $D$135)+$D$389-0.0592*$B$147 + $H$5</f>
        <v>0.1087330818323986</v>
      </c>
      <c r="AD395" s="2">
        <v>0</v>
      </c>
      <c r="AE395" s="7">
        <f t="shared" si="109"/>
        <v>0</v>
      </c>
      <c r="AF395" s="3">
        <f>-(AD395+4.66)/27.2114</f>
        <v>-0.17125175477924692</v>
      </c>
      <c r="AG395" s="9">
        <v>591.63780499999996</v>
      </c>
      <c r="AH395" s="8">
        <v>-3236.9918958797298</v>
      </c>
      <c r="AI395" s="7">
        <f>(AH395-(AG395-$AE$389)*AF395)*27.2114</f>
        <v>-88080.109104241681</v>
      </c>
      <c r="AJ395" s="8">
        <f t="shared" si="111"/>
        <v>-0.30714149334422691</v>
      </c>
      <c r="AL395" s="2">
        <v>0</v>
      </c>
      <c r="AM395" s="7">
        <f t="shared" si="110"/>
        <v>0</v>
      </c>
      <c r="AN395" s="3">
        <f>-(AL395+4.66)/27.2114</f>
        <v>-0.17125175477924692</v>
      </c>
      <c r="AO395" s="9">
        <v>591.81601799999999</v>
      </c>
      <c r="AP395" s="8">
        <v>-3237.0138772760201</v>
      </c>
      <c r="AQ395" s="7">
        <f t="shared" si="112"/>
        <v>-88079.876776228688</v>
      </c>
      <c r="AR395" s="8">
        <f t="shared" si="113"/>
        <v>-8.1813480363473357E-2</v>
      </c>
    </row>
    <row r="396" spans="1:44" x14ac:dyDescent="0.25">
      <c r="G396" s="7">
        <f>INTERCEPT(A393:A395,G393:G395)</f>
        <v>-1.3098505105829994E-2</v>
      </c>
      <c r="R396" s="7">
        <f>INTERCEPT(L393:L395,R393:R395)</f>
        <v>8.639864583013851E-2</v>
      </c>
      <c r="Z396" s="7">
        <f>INTERCEPT(T393:T395,Z393:Z395)</f>
        <v>0.11012082181959187</v>
      </c>
      <c r="AJ396" s="7">
        <f>INTERCEPT(AD393:AD395,AJ393:AJ395)</f>
        <v>-0.34926237760063777</v>
      </c>
      <c r="AR396" s="7">
        <f>INTERCEPT(AL393:AL395,AR393:AR395)</f>
        <v>-9.2535999319702467E-2</v>
      </c>
    </row>
    <row r="397" spans="1:44" x14ac:dyDescent="0.25">
      <c r="G397" s="8">
        <f>SLOPE(G393:G395,A393:A395)</f>
        <v>-0.92787392210084352</v>
      </c>
      <c r="R397" s="8">
        <f>SLOPE(R393:R395,L393:L395)</f>
        <v>-0.98056130096665572</v>
      </c>
      <c r="Z397" s="8">
        <f>SLOPE(Z393:Z395,T393:T395)</f>
        <v>-0.98422760469475179</v>
      </c>
      <c r="AJ397" s="8">
        <f>SLOPE(AJ393:AJ395,AD393:AD395)</f>
        <v>-0.88375539662592906</v>
      </c>
      <c r="AR397" s="8">
        <f>SLOPE(AR393:AR395,AL393:AL395)</f>
        <v>-0.83031085863694898</v>
      </c>
    </row>
    <row r="398" spans="1:44" x14ac:dyDescent="0.25">
      <c r="A398" s="2" t="s">
        <v>3</v>
      </c>
      <c r="B398" s="2">
        <v>577</v>
      </c>
      <c r="C398" s="5" t="s">
        <v>96</v>
      </c>
      <c r="D398" s="2">
        <v>0.14799999999999999</v>
      </c>
    </row>
    <row r="399" spans="1:44" x14ac:dyDescent="0.25">
      <c r="A399" s="73" t="s">
        <v>266</v>
      </c>
      <c r="B399" s="74"/>
      <c r="C399" s="74"/>
      <c r="D399" s="74"/>
      <c r="E399" s="74"/>
      <c r="F399" s="75"/>
      <c r="G399" s="2" t="s">
        <v>31</v>
      </c>
    </row>
    <row r="400" spans="1:44" x14ac:dyDescent="0.25">
      <c r="A400" s="4" t="s">
        <v>1</v>
      </c>
      <c r="B400" s="4" t="s">
        <v>100</v>
      </c>
      <c r="C400" s="4" t="s">
        <v>0</v>
      </c>
      <c r="D400" s="5" t="s">
        <v>2</v>
      </c>
      <c r="E400" s="5" t="s">
        <v>4</v>
      </c>
      <c r="F400" s="4" t="s">
        <v>5</v>
      </c>
      <c r="G400" s="6" t="s">
        <v>7</v>
      </c>
      <c r="AR400" s="40">
        <f>AQ393-AI393</f>
        <v>0.27508364338427782</v>
      </c>
    </row>
    <row r="401" spans="1:44" x14ac:dyDescent="0.25">
      <c r="A401" s="7">
        <f>-C401*27.2114-4.66</f>
        <v>0.69396717004099973</v>
      </c>
      <c r="B401" s="7">
        <f>A401-0.0592*$B$147</f>
        <v>0.69396717004099973</v>
      </c>
      <c r="C401" s="3">
        <v>-0.19675456499999999</v>
      </c>
      <c r="D401" s="9">
        <v>577</v>
      </c>
      <c r="E401" s="8">
        <v>-3203.50925626558</v>
      </c>
      <c r="F401" s="7">
        <f>(E401-(D401-$B$398)*C401)*27.2114</f>
        <v>-87171.971775945203</v>
      </c>
      <c r="G401" s="54"/>
      <c r="AR401" s="40">
        <f>AQ394-AI394</f>
        <v>0.27257759316125885</v>
      </c>
    </row>
    <row r="402" spans="1:44" x14ac:dyDescent="0.25">
      <c r="A402" s="2">
        <v>0.8</v>
      </c>
      <c r="B402" s="7">
        <f t="shared" ref="B402:B404" si="117">A402-0.0592*$B$147</f>
        <v>0.8</v>
      </c>
      <c r="C402" s="3">
        <f>-(A402+4.66)/27.2114</f>
        <v>-0.20065119765980433</v>
      </c>
      <c r="D402" s="9">
        <v>576.90987600000005</v>
      </c>
      <c r="E402" s="8">
        <v>-3203.4913777576098</v>
      </c>
      <c r="F402" s="7">
        <f>(E402-(D402-$B$398)*C402)*27.2114</f>
        <v>-87171.97735375342</v>
      </c>
      <c r="G402" s="8">
        <f>(F402)-(F152 + 1/2*$D$133-1*A402)+$D$398-0.0592*$B$147</f>
        <v>0.43048949989210816</v>
      </c>
      <c r="AR402" s="40">
        <f>AQ395-AI395</f>
        <v>0.23232801299309358</v>
      </c>
    </row>
    <row r="403" spans="1:44" x14ac:dyDescent="0.25">
      <c r="A403" s="1">
        <v>0.4</v>
      </c>
      <c r="B403" s="7">
        <f t="shared" si="117"/>
        <v>0.4</v>
      </c>
      <c r="C403" s="3">
        <f>-(A403+4.66)/27.2114</f>
        <v>-0.18595147621952565</v>
      </c>
      <c r="D403" s="9">
        <v>577.32445399999995</v>
      </c>
      <c r="E403" s="8">
        <v>-3203.5711797170802</v>
      </c>
      <c r="F403" s="7">
        <f t="shared" ref="F403" si="118">(E403-(D403-$B$398)*C403)*27.2114</f>
        <v>-87172.015062513354</v>
      </c>
      <c r="G403" s="8">
        <f t="shared" ref="G403:G404" si="119">(F403)-(F153 + 1/2*$D$133-1*A403)+$D$398-0.0592*$B$147</f>
        <v>3.8539959029410958E-2</v>
      </c>
    </row>
    <row r="404" spans="1:44" x14ac:dyDescent="0.25">
      <c r="A404" s="2">
        <v>0</v>
      </c>
      <c r="B404" s="7">
        <f t="shared" si="117"/>
        <v>0</v>
      </c>
      <c r="C404" s="3">
        <f>-(A404+4.66)/27.2114</f>
        <v>-0.17125175477924692</v>
      </c>
      <c r="D404" s="9">
        <v>578.31987400000003</v>
      </c>
      <c r="E404" s="8">
        <v>-3203.74725559648</v>
      </c>
      <c r="F404" s="7">
        <f>(E404-(D404-$B$398)*C404)*27.2114</f>
        <v>-87172.297458098052</v>
      </c>
      <c r="G404" s="8">
        <f t="shared" si="119"/>
        <v>-0.33466131564741952</v>
      </c>
    </row>
    <row r="407" spans="1:44" x14ac:dyDescent="0.25">
      <c r="A407" s="2" t="s">
        <v>3</v>
      </c>
      <c r="B407" s="2">
        <v>607</v>
      </c>
      <c r="C407" s="5" t="s">
        <v>96</v>
      </c>
      <c r="D407" s="2">
        <v>0.254</v>
      </c>
      <c r="E407" s="5" t="s">
        <v>276</v>
      </c>
      <c r="F407" s="2">
        <v>1.39</v>
      </c>
      <c r="AP407" s="40"/>
    </row>
    <row r="408" spans="1:44" x14ac:dyDescent="0.25">
      <c r="A408" s="73" t="s">
        <v>268</v>
      </c>
      <c r="B408" s="74"/>
      <c r="C408" s="74"/>
      <c r="D408" s="74"/>
      <c r="E408" s="74"/>
      <c r="F408" s="75"/>
      <c r="G408" s="2" t="s">
        <v>31</v>
      </c>
      <c r="AP408" s="40"/>
    </row>
    <row r="409" spans="1:44" x14ac:dyDescent="0.25">
      <c r="A409" s="4" t="s">
        <v>1</v>
      </c>
      <c r="B409" s="4" t="s">
        <v>100</v>
      </c>
      <c r="C409" s="4" t="s">
        <v>0</v>
      </c>
      <c r="D409" s="5" t="s">
        <v>2</v>
      </c>
      <c r="E409" s="5" t="s">
        <v>4</v>
      </c>
      <c r="F409" s="4" t="s">
        <v>5</v>
      </c>
      <c r="G409" s="6" t="s">
        <v>7</v>
      </c>
      <c r="AP409" s="40"/>
    </row>
    <row r="410" spans="1:44" x14ac:dyDescent="0.25">
      <c r="A410" s="7">
        <f>-C410*27.2114-4.66</f>
        <v>0.98807919233780073</v>
      </c>
      <c r="B410" s="7">
        <f>A410-0.0592*$B$147</f>
        <v>0.98807919233780073</v>
      </c>
      <c r="C410" s="3">
        <v>-0.20756297700000001</v>
      </c>
      <c r="D410" s="9">
        <v>607</v>
      </c>
      <c r="E410" s="8">
        <v>-3281.9952985401201</v>
      </c>
      <c r="F410" s="7">
        <f>(E410-(D410-$B$407)*C410)*27.2114</f>
        <v>-89307.686866694625</v>
      </c>
      <c r="G410" s="54"/>
    </row>
    <row r="411" spans="1:44" x14ac:dyDescent="0.25">
      <c r="A411" s="2">
        <v>0.8</v>
      </c>
      <c r="B411" s="7">
        <f t="shared" ref="B411:B413" si="120">A411-0.0592*$B$147</f>
        <v>0.8</v>
      </c>
      <c r="C411" s="3">
        <f>-(A411+4.66)/27.2114</f>
        <v>-0.20065119765980433</v>
      </c>
      <c r="D411" s="9">
        <v>607.18163200000004</v>
      </c>
      <c r="E411" s="8">
        <v>-3282.0324062040399</v>
      </c>
      <c r="F411" s="7">
        <f>(E411-(D411-$B$407)*C411)*27.2114</f>
        <v>-89307.704907460618</v>
      </c>
      <c r="G411" s="8">
        <f>(F411+$D$133/2-1*A411)-(F152 + $J$142)+$D$407-0.0592*$B$147+$H$6</f>
        <v>0.28784618275840135</v>
      </c>
    </row>
    <row r="412" spans="1:44" x14ac:dyDescent="0.25">
      <c r="A412" s="1">
        <v>0.4</v>
      </c>
      <c r="B412" s="7">
        <f t="shared" si="120"/>
        <v>0.4</v>
      </c>
      <c r="C412" s="3">
        <f>-(A412+4.66)/27.2114</f>
        <v>-0.18595147621952565</v>
      </c>
      <c r="D412" s="9">
        <v>607.61636299999998</v>
      </c>
      <c r="E412" s="8">
        <v>-3282.1163311824598</v>
      </c>
      <c r="F412" s="7">
        <f t="shared" ref="F412:F413" si="121">(E412-(D412-$B$407)*C412)*27.2114</f>
        <v>-89307.86153755839</v>
      </c>
      <c r="G412" s="8">
        <f>(F412+$D$133/2-1*A412)-(F153 + $J$142)+$D$407-0.0592*$B$147+$H$6</f>
        <v>0.57697530407476538</v>
      </c>
    </row>
    <row r="413" spans="1:44" x14ac:dyDescent="0.25">
      <c r="A413" s="2">
        <v>0</v>
      </c>
      <c r="B413" s="7">
        <f t="shared" si="120"/>
        <v>0</v>
      </c>
      <c r="C413" s="3">
        <f>-(A413+4.66)/27.2114</f>
        <v>-0.17125175477924692</v>
      </c>
      <c r="D413" s="9">
        <v>608.26666599999999</v>
      </c>
      <c r="E413" s="8">
        <v>-3282.2323591462</v>
      </c>
      <c r="F413" s="7">
        <f t="shared" si="121"/>
        <v>-89308.234954110914</v>
      </c>
      <c r="G413" s="8">
        <f>(F413+$D$133/2-1*A413)-(F154 + $J$142)+$D$407-0.0592*$B$147+$H$6</f>
        <v>0.91275306156039537</v>
      </c>
    </row>
    <row r="416" spans="1:44" x14ac:dyDescent="0.25">
      <c r="A416" s="2" t="s">
        <v>3</v>
      </c>
      <c r="B416" s="2">
        <v>592</v>
      </c>
      <c r="C416" s="5" t="s">
        <v>96</v>
      </c>
      <c r="D416" s="2">
        <v>0.161</v>
      </c>
    </row>
    <row r="417" spans="1:7" x14ac:dyDescent="0.25">
      <c r="A417" s="73" t="s">
        <v>279</v>
      </c>
      <c r="B417" s="74"/>
      <c r="C417" s="74"/>
      <c r="D417" s="74"/>
      <c r="E417" s="74"/>
      <c r="F417" s="75"/>
      <c r="G417" s="2" t="s">
        <v>31</v>
      </c>
    </row>
    <row r="418" spans="1:7" x14ac:dyDescent="0.25">
      <c r="A418" s="4" t="s">
        <v>1</v>
      </c>
      <c r="B418" s="4" t="s">
        <v>100</v>
      </c>
      <c r="C418" s="4" t="s">
        <v>0</v>
      </c>
      <c r="D418" s="5" t="s">
        <v>2</v>
      </c>
      <c r="E418" s="5" t="s">
        <v>4</v>
      </c>
      <c r="F418" s="4" t="s">
        <v>5</v>
      </c>
      <c r="G418" s="6" t="s">
        <v>7</v>
      </c>
    </row>
    <row r="419" spans="1:7" x14ac:dyDescent="0.25">
      <c r="A419" s="7">
        <f>-C419*27.2114-4.66</f>
        <v>0.73000660127460026</v>
      </c>
      <c r="B419" s="7">
        <f>A419-0.0592*$B$147</f>
        <v>0.73000660127460026</v>
      </c>
      <c r="C419" s="3">
        <v>-0.19807898900000001</v>
      </c>
      <c r="D419" s="9">
        <v>592</v>
      </c>
      <c r="E419" s="8">
        <v>-3240.79512662558</v>
      </c>
      <c r="F419" s="7">
        <f>(E419-(D419-$B$416)*C419)*27.2114</f>
        <v>-88186.572508659316</v>
      </c>
      <c r="G419" s="54"/>
    </row>
    <row r="420" spans="1:7" x14ac:dyDescent="0.25">
      <c r="A420" s="2">
        <v>0.8</v>
      </c>
      <c r="B420" s="7">
        <f t="shared" ref="B420:B422" si="122">A420-0.0592*$B$147</f>
        <v>0.8</v>
      </c>
      <c r="C420" s="3">
        <f>-(A420+4.66)/27.2114</f>
        <v>-0.20065119765980433</v>
      </c>
      <c r="D420" s="9">
        <v>591.949614</v>
      </c>
      <c r="E420" s="8">
        <v>-3240.7850831597998</v>
      </c>
      <c r="F420" s="7">
        <f>(E420-(D420-$B$416)*C420)*27.2114</f>
        <v>-88186.574319454579</v>
      </c>
      <c r="G420" s="8">
        <f>(F420)-(F152 + $D$134 + 'Exp. thermo'!$C$54/96.49)+$D$416</f>
        <v>0.12865985632373486</v>
      </c>
    </row>
    <row r="421" spans="1:7" x14ac:dyDescent="0.25">
      <c r="A421" s="1">
        <v>0.4</v>
      </c>
      <c r="B421" s="7">
        <f t="shared" si="122"/>
        <v>0.4</v>
      </c>
      <c r="C421" s="3">
        <f>-(A421+4.66)/27.2114</f>
        <v>-0.18595147621952565</v>
      </c>
      <c r="D421" s="9">
        <v>592.29327000000001</v>
      </c>
      <c r="E421" s="8">
        <v>-3240.8513343924201</v>
      </c>
      <c r="F421" s="7">
        <f t="shared" ref="F421:F422" si="123">(E421-(D421-$B$416)*C421)*27.2114</f>
        <v>-88186.618054485894</v>
      </c>
      <c r="G421" s="8">
        <f>(F421)-(F153 + $D$134 + 'Exp. thermo'!$C$54/96.49)+$D$416</f>
        <v>0.13068404408835341</v>
      </c>
    </row>
    <row r="422" spans="1:7" x14ac:dyDescent="0.25">
      <c r="A422" s="2">
        <v>0</v>
      </c>
      <c r="B422" s="7">
        <f t="shared" si="122"/>
        <v>0</v>
      </c>
      <c r="C422" s="3">
        <f>-(A422+4.66)/27.2114</f>
        <v>-0.17125175477924692</v>
      </c>
      <c r="D422" s="9">
        <v>592.80073600000003</v>
      </c>
      <c r="E422" s="8">
        <v>-3240.94156034857</v>
      </c>
      <c r="F422" s="7">
        <f t="shared" si="123"/>
        <v>-88186.825745509079</v>
      </c>
      <c r="G422" s="8">
        <f>(F422)-(F154 + $D$134 + 'Exp. thermo'!$C$54/96.49)+$D$416</f>
        <v>0.23218733091920149</v>
      </c>
    </row>
    <row r="425" spans="1:7" x14ac:dyDescent="0.25">
      <c r="A425" s="2" t="s">
        <v>3</v>
      </c>
      <c r="B425" s="2">
        <v>592</v>
      </c>
      <c r="C425" s="5" t="s">
        <v>96</v>
      </c>
      <c r="D425" s="2">
        <v>0.215</v>
      </c>
    </row>
    <row r="426" spans="1:7" x14ac:dyDescent="0.25">
      <c r="A426" s="73" t="s">
        <v>292</v>
      </c>
      <c r="B426" s="74"/>
      <c r="C426" s="74"/>
      <c r="D426" s="74"/>
      <c r="E426" s="74"/>
      <c r="F426" s="75"/>
      <c r="G426" s="2" t="s">
        <v>31</v>
      </c>
    </row>
    <row r="427" spans="1:7" x14ac:dyDescent="0.25">
      <c r="A427" s="4" t="s">
        <v>1</v>
      </c>
      <c r="B427" s="4" t="s">
        <v>100</v>
      </c>
      <c r="C427" s="4" t="s">
        <v>0</v>
      </c>
      <c r="D427" s="5" t="s">
        <v>2</v>
      </c>
      <c r="E427" s="5" t="s">
        <v>4</v>
      </c>
      <c r="F427" s="4" t="s">
        <v>5</v>
      </c>
      <c r="G427" s="6" t="s">
        <v>7</v>
      </c>
    </row>
    <row r="428" spans="1:7" x14ac:dyDescent="0.25">
      <c r="A428" s="7">
        <f>-C428*27.2114-4.66</f>
        <v>0.99871672724859994</v>
      </c>
      <c r="B428" s="7">
        <f>A428-0.0592*$B$147</f>
        <v>0.99871672724859994</v>
      </c>
      <c r="C428" s="3">
        <v>-0.207953899</v>
      </c>
      <c r="D428" s="9">
        <v>592</v>
      </c>
      <c r="E428" s="8">
        <v>-3240.7823877312298</v>
      </c>
      <c r="F428" s="7">
        <f>(E428-(D428-$B$425)*C428)*27.2114</f>
        <v>-88186.225865509594</v>
      </c>
      <c r="G428" s="54"/>
    </row>
    <row r="429" spans="1:7" x14ac:dyDescent="0.25">
      <c r="A429" s="2">
        <v>0.8</v>
      </c>
      <c r="B429" s="7">
        <f t="shared" ref="B429:B431" si="124">A429-0.0592*$B$147</f>
        <v>0.8</v>
      </c>
      <c r="C429" s="3">
        <f>-(A429+4.66)/27.2114</f>
        <v>-0.20065119765980433</v>
      </c>
      <c r="D429" s="9">
        <v>592.18574100000001</v>
      </c>
      <c r="E429" s="8">
        <v>-3240.8203309645801</v>
      </c>
      <c r="F429" s="7">
        <f>(E429-(D429-$B$416)*C429)*27.2114</f>
        <v>-88186.244208149568</v>
      </c>
      <c r="G429" s="8">
        <f>(F429)-(F152 + $D$134 + 'Exp. thermo'!$C$54/96.49)+$D$425</f>
        <v>0.51277116133482192</v>
      </c>
    </row>
    <row r="430" spans="1:7" x14ac:dyDescent="0.25">
      <c r="A430" s="1">
        <v>0.4</v>
      </c>
      <c r="B430" s="7">
        <f t="shared" si="124"/>
        <v>0.4</v>
      </c>
      <c r="C430" s="3">
        <f>-(A430+4.66)/27.2114</f>
        <v>-0.18595147621952565</v>
      </c>
      <c r="D430" s="9">
        <v>592.63542500000005</v>
      </c>
      <c r="E430" s="8">
        <v>-3240.9070254911499</v>
      </c>
      <c r="F430" s="7">
        <f t="shared" ref="F430:F431" si="125">(E430-(D430-$B$416)*C430)*27.2114</f>
        <v>-88186.402182949882</v>
      </c>
      <c r="G430" s="8">
        <f>(F430)-(F153 + $D$134 + 'Exp. thermo'!$C$54/96.49)+$D$425</f>
        <v>0.40055558010120873</v>
      </c>
    </row>
    <row r="431" spans="1:7" x14ac:dyDescent="0.25">
      <c r="A431" s="2">
        <v>0</v>
      </c>
      <c r="B431" s="7">
        <f t="shared" si="124"/>
        <v>0</v>
      </c>
      <c r="C431" s="3">
        <f>-(A431+4.66)/27.2114</f>
        <v>-0.17125175477924692</v>
      </c>
      <c r="D431" s="9">
        <v>593.33045700000002</v>
      </c>
      <c r="E431" s="8">
        <v>-3241.0305177047399</v>
      </c>
      <c r="F431" s="7">
        <f t="shared" si="125"/>
        <v>-88186.777899850771</v>
      </c>
      <c r="G431" s="8">
        <f>(F431)-(F154 + $D$134 + 'Exp. thermo'!$C$54/96.49)+$D$425</f>
        <v>0.3340329892269801</v>
      </c>
    </row>
  </sheetData>
  <mergeCells count="78">
    <mergeCell ref="AD390:AI390"/>
    <mergeCell ref="AL390:AQ390"/>
    <mergeCell ref="AB201:AG201"/>
    <mergeCell ref="AJ201:AO201"/>
    <mergeCell ref="L201:Q201"/>
    <mergeCell ref="T201:Y201"/>
    <mergeCell ref="L210:Q210"/>
    <mergeCell ref="T210:Y210"/>
    <mergeCell ref="AD381:AI381"/>
    <mergeCell ref="AL381:AQ381"/>
    <mergeCell ref="AD373:AI373"/>
    <mergeCell ref="L158:Q158"/>
    <mergeCell ref="T158:Y158"/>
    <mergeCell ref="T167:Y167"/>
    <mergeCell ref="L185:Q185"/>
    <mergeCell ref="T185:Y185"/>
    <mergeCell ref="L167:Q167"/>
    <mergeCell ref="A11:F11"/>
    <mergeCell ref="A176:F176"/>
    <mergeCell ref="A131:F131"/>
    <mergeCell ref="A149:E149"/>
    <mergeCell ref="A106:F106"/>
    <mergeCell ref="A59:F59"/>
    <mergeCell ref="A69:F69"/>
    <mergeCell ref="A49:F49"/>
    <mergeCell ref="A29:E29"/>
    <mergeCell ref="A88:F88"/>
    <mergeCell ref="A114:F114"/>
    <mergeCell ref="A122:F122"/>
    <mergeCell ref="A39:F39"/>
    <mergeCell ref="A97:F97"/>
    <mergeCell ref="A79:F79"/>
    <mergeCell ref="A399:F399"/>
    <mergeCell ref="A318:F318"/>
    <mergeCell ref="A426:F426"/>
    <mergeCell ref="A417:F417"/>
    <mergeCell ref="A408:F408"/>
    <mergeCell ref="A363:F363"/>
    <mergeCell ref="A372:F372"/>
    <mergeCell ref="A381:F381"/>
    <mergeCell ref="A390:F390"/>
    <mergeCell ref="A354:F354"/>
    <mergeCell ref="A345:F345"/>
    <mergeCell ref="A273:F273"/>
    <mergeCell ref="A282:F282"/>
    <mergeCell ref="A327:F327"/>
    <mergeCell ref="A336:F336"/>
    <mergeCell ref="A291:F291"/>
    <mergeCell ref="A309:F309"/>
    <mergeCell ref="A300:F300"/>
    <mergeCell ref="A264:F264"/>
    <mergeCell ref="A192:F192"/>
    <mergeCell ref="A158:F158"/>
    <mergeCell ref="A167:F167"/>
    <mergeCell ref="A185:F185"/>
    <mergeCell ref="A228:F228"/>
    <mergeCell ref="A201:F201"/>
    <mergeCell ref="A210:F210"/>
    <mergeCell ref="A219:F219"/>
    <mergeCell ref="A237:F237"/>
    <mergeCell ref="A246:F246"/>
    <mergeCell ref="A255:F255"/>
    <mergeCell ref="AB149:AF149"/>
    <mergeCell ref="AJ149:AN149"/>
    <mergeCell ref="L390:Q390"/>
    <mergeCell ref="T390:Y390"/>
    <mergeCell ref="G41:H41"/>
    <mergeCell ref="G51:H51"/>
    <mergeCell ref="G81:H81"/>
    <mergeCell ref="G61:H61"/>
    <mergeCell ref="G90:H90"/>
    <mergeCell ref="G71:H71"/>
    <mergeCell ref="L300:Q300"/>
    <mergeCell ref="T300:Y300"/>
    <mergeCell ref="L228:Q228"/>
    <mergeCell ref="T228:Y228"/>
    <mergeCell ref="L149:P149"/>
    <mergeCell ref="T149:X149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9BC6A-C1D1-4F0D-9B4A-7DAD8564B351}">
  <sheetPr>
    <tabColor theme="8" tint="0.39997558519241921"/>
  </sheetPr>
  <dimension ref="A1:J177"/>
  <sheetViews>
    <sheetView showGridLines="0" topLeftCell="A125" zoomScale="85" zoomScaleNormal="85" workbookViewId="0">
      <selection activeCell="F135" sqref="F135"/>
    </sheetView>
  </sheetViews>
  <sheetFormatPr defaultRowHeight="15" x14ac:dyDescent="0.25"/>
  <cols>
    <col min="1" max="1" width="14.28515625" customWidth="1"/>
    <col min="2" max="2" width="11.7109375" customWidth="1"/>
    <col min="3" max="3" width="16.140625" customWidth="1"/>
    <col min="4" max="4" width="13.7109375" customWidth="1"/>
    <col min="5" max="5" width="17.140625" customWidth="1"/>
    <col min="6" max="6" width="14.5703125" customWidth="1"/>
    <col min="7" max="7" width="17.140625" customWidth="1"/>
    <col min="8" max="8" width="10.7109375" customWidth="1"/>
    <col min="9" max="9" width="12.85546875" customWidth="1"/>
    <col min="13" max="13" width="18.85546875" customWidth="1"/>
  </cols>
  <sheetData>
    <row r="1" spans="1:8" x14ac:dyDescent="0.25">
      <c r="A1" s="5" t="s">
        <v>79</v>
      </c>
      <c r="B1" s="5" t="s">
        <v>13</v>
      </c>
      <c r="D1" s="5" t="s">
        <v>79</v>
      </c>
      <c r="E1" s="5" t="s">
        <v>13</v>
      </c>
      <c r="G1" s="5" t="s">
        <v>366</v>
      </c>
      <c r="H1" s="2">
        <v>4.9829701999999997E-2</v>
      </c>
    </row>
    <row r="2" spans="1:8" x14ac:dyDescent="0.25">
      <c r="A2" s="11" t="s">
        <v>52</v>
      </c>
      <c r="B2" s="9">
        <f>'Exp. thermo'!I21</f>
        <v>-0.22525369162266182</v>
      </c>
      <c r="D2" s="11" t="s">
        <v>271</v>
      </c>
      <c r="E2" s="9">
        <f>'Exp. thermo'!I42</f>
        <v>-0.67314358968766319</v>
      </c>
    </row>
    <row r="3" spans="1:8" x14ac:dyDescent="0.25">
      <c r="A3" s="11" t="s">
        <v>74</v>
      </c>
      <c r="B3" s="9">
        <f>'Exp. thermo'!I22</f>
        <v>-0.83422508395762196</v>
      </c>
      <c r="D3" s="1" t="s">
        <v>263</v>
      </c>
      <c r="E3" s="9">
        <f>'Exp. thermo'!I41</f>
        <v>-1.2747012833729843</v>
      </c>
    </row>
    <row r="4" spans="1:8" x14ac:dyDescent="0.25">
      <c r="A4" s="11" t="s">
        <v>75</v>
      </c>
      <c r="B4" s="9">
        <f>'Exp. thermo'!I23</f>
        <v>0.47867785853567379</v>
      </c>
      <c r="D4" s="11" t="s">
        <v>80</v>
      </c>
      <c r="E4" s="9">
        <f>'Exp. thermo'!I25</f>
        <v>1.3958231839585042E-2</v>
      </c>
    </row>
    <row r="5" spans="1:8" x14ac:dyDescent="0.25">
      <c r="A5" s="11" t="s">
        <v>76</v>
      </c>
      <c r="B5" s="9">
        <f>'Exp. thermo'!I24</f>
        <v>-1.6243128143442864E-2</v>
      </c>
      <c r="D5" s="2" t="s">
        <v>235</v>
      </c>
      <c r="E5" s="9">
        <f>'Exp. thermo'!I29</f>
        <v>0.33980303016313168</v>
      </c>
    </row>
    <row r="6" spans="1:8" x14ac:dyDescent="0.25">
      <c r="A6" s="44"/>
      <c r="B6" s="45"/>
    </row>
    <row r="7" spans="1:8" ht="18.75" x14ac:dyDescent="0.3">
      <c r="A7" s="44"/>
      <c r="B7" s="76" t="s">
        <v>137</v>
      </c>
      <c r="C7" s="76"/>
      <c r="D7" s="76"/>
      <c r="E7" s="76"/>
    </row>
    <row r="8" spans="1:8" hidden="1" x14ac:dyDescent="0.25">
      <c r="A8" s="25" t="s">
        <v>73</v>
      </c>
    </row>
    <row r="9" spans="1:8" hidden="1" x14ac:dyDescent="0.25">
      <c r="B9" s="5" t="s">
        <v>4</v>
      </c>
      <c r="C9" s="5" t="s">
        <v>96</v>
      </c>
      <c r="D9" s="5" t="s">
        <v>11</v>
      </c>
    </row>
    <row r="10" spans="1:8" hidden="1" x14ac:dyDescent="0.25">
      <c r="A10" s="5" t="s">
        <v>10</v>
      </c>
      <c r="B10" s="10">
        <v>-1.1771435480339401</v>
      </c>
      <c r="C10" s="8">
        <v>-3.9E-2</v>
      </c>
      <c r="D10" s="2">
        <f>B10*27.2114+C10+'Exp. thermo'!$G$5/96.49</f>
        <v>-31.988642304733084</v>
      </c>
    </row>
    <row r="11" spans="1:8" hidden="1" x14ac:dyDescent="0.25">
      <c r="A11" s="5" t="s">
        <v>29</v>
      </c>
      <c r="B11" s="10">
        <v>-37.922756066077497</v>
      </c>
      <c r="C11" s="8">
        <v>-0.253</v>
      </c>
      <c r="D11" s="2">
        <f>B11*27.2114+C11+'Exp. thermo'!$G$5/96.49</f>
        <v>-1032.1022027782235</v>
      </c>
    </row>
    <row r="12" spans="1:8" hidden="1" x14ac:dyDescent="0.25">
      <c r="A12" s="5" t="s">
        <v>30</v>
      </c>
      <c r="B12" s="10">
        <v>-17.2946955359131</v>
      </c>
      <c r="C12" s="8">
        <v>9.4E-2</v>
      </c>
      <c r="D12" s="2">
        <f>B12*27.2114+C12+'Exp. thermo'!$G$5/96.49</f>
        <v>-470.43679646770806</v>
      </c>
    </row>
    <row r="13" spans="1:8" hidden="1" x14ac:dyDescent="0.25">
      <c r="A13" s="5" t="s">
        <v>9</v>
      </c>
      <c r="B13" s="10">
        <v>-58.735501479807802</v>
      </c>
      <c r="C13" s="8">
        <v>-1.2999999999999999E-2</v>
      </c>
      <c r="D13" s="2">
        <f>B13*27.2114+C13+'Exp. thermo'!$G$5/96.49</f>
        <v>-1598.2061433294043</v>
      </c>
    </row>
    <row r="14" spans="1:8" hidden="1" x14ac:dyDescent="0.25">
      <c r="A14" s="5" t="s">
        <v>49</v>
      </c>
      <c r="B14" s="10">
        <v>-42.679147793998197</v>
      </c>
      <c r="C14" s="8">
        <v>-0.128</v>
      </c>
      <c r="D14" s="2">
        <f>B14*27.2114+C14+'Exp. thermo'!$G$5/96.49</f>
        <v>-1161.4052806433649</v>
      </c>
    </row>
    <row r="15" spans="1:8" ht="18.75" hidden="1" x14ac:dyDescent="0.3">
      <c r="C15" s="76"/>
      <c r="D15" s="76"/>
    </row>
    <row r="16" spans="1:8" hidden="1" x14ac:dyDescent="0.25">
      <c r="A16" s="25" t="s">
        <v>77</v>
      </c>
    </row>
    <row r="17" spans="1:7" hidden="1" x14ac:dyDescent="0.25">
      <c r="A17" s="20" t="s">
        <v>12</v>
      </c>
      <c r="B17" s="21">
        <v>1</v>
      </c>
    </row>
    <row r="18" spans="1:7" hidden="1" x14ac:dyDescent="0.25">
      <c r="A18" s="21" t="s">
        <v>3</v>
      </c>
      <c r="B18" s="21">
        <v>396</v>
      </c>
    </row>
    <row r="19" spans="1:7" hidden="1" x14ac:dyDescent="0.25">
      <c r="A19" s="73" t="s">
        <v>128</v>
      </c>
      <c r="B19" s="74"/>
      <c r="C19" s="74"/>
      <c r="D19" s="74"/>
      <c r="E19" s="74"/>
      <c r="F19" s="75"/>
    </row>
    <row r="20" spans="1:7" hidden="1" x14ac:dyDescent="0.25">
      <c r="A20" s="4" t="s">
        <v>1</v>
      </c>
      <c r="B20" s="4" t="s">
        <v>100</v>
      </c>
      <c r="C20" s="4" t="s">
        <v>0</v>
      </c>
      <c r="D20" s="5" t="s">
        <v>2</v>
      </c>
      <c r="E20" s="5" t="s">
        <v>4</v>
      </c>
      <c r="F20" s="4" t="s">
        <v>5</v>
      </c>
    </row>
    <row r="21" spans="1:7" hidden="1" x14ac:dyDescent="0.25">
      <c r="A21" s="7">
        <f>-C21*27.2114-4.66</f>
        <v>0.13028320952080019</v>
      </c>
      <c r="B21" s="7">
        <f>A21-0.0592*$B$17</f>
        <v>7.1083209520800189E-2</v>
      </c>
      <c r="C21" s="1">
        <v>-0.17603957200000001</v>
      </c>
      <c r="D21" s="9">
        <v>396</v>
      </c>
      <c r="E21" s="8">
        <v>-1246.33500509142</v>
      </c>
      <c r="F21" s="7">
        <f t="shared" ref="F21:F24" si="0">(E21-(D21-$B$18)*C21)*27.2114</f>
        <v>-33914.520357544672</v>
      </c>
    </row>
    <row r="22" spans="1:7" hidden="1" x14ac:dyDescent="0.25">
      <c r="A22" s="2">
        <v>0.8</v>
      </c>
      <c r="B22" s="7">
        <f t="shared" ref="B22:B24" si="1">A22-0.0592*$B$17</f>
        <v>0.74080000000000001</v>
      </c>
      <c r="C22" s="3">
        <f>-(A22+4.66)/27.2114</f>
        <v>-0.20065119765980433</v>
      </c>
      <c r="D22" s="9">
        <v>395.34286900000001</v>
      </c>
      <c r="E22" s="8">
        <v>-1246.21113353846</v>
      </c>
      <c r="F22" s="7">
        <f t="shared" si="0"/>
        <v>-33914.737574428451</v>
      </c>
    </row>
    <row r="23" spans="1:7" hidden="1" x14ac:dyDescent="0.25">
      <c r="A23" s="1">
        <v>0.4</v>
      </c>
      <c r="B23" s="7">
        <f t="shared" si="1"/>
        <v>0.34079999999999999</v>
      </c>
      <c r="C23" s="3">
        <f>-(A23+4.66)/27.2114</f>
        <v>-0.18595147621952565</v>
      </c>
      <c r="D23" s="9">
        <v>395.74111900000003</v>
      </c>
      <c r="E23" s="8">
        <v>-1246.2881394154001</v>
      </c>
      <c r="F23" s="7">
        <f t="shared" si="0"/>
        <v>-33914.555014748221</v>
      </c>
    </row>
    <row r="24" spans="1:7" hidden="1" x14ac:dyDescent="0.25">
      <c r="A24" s="2">
        <v>0</v>
      </c>
      <c r="B24" s="7">
        <f t="shared" si="1"/>
        <v>-5.9200000000000003E-2</v>
      </c>
      <c r="C24" s="3">
        <f>-(A24+4.66)/27.2114</f>
        <v>-0.17125175477924692</v>
      </c>
      <c r="D24" s="9">
        <v>396.134162</v>
      </c>
      <c r="E24" s="8">
        <v>-1246.35828598234</v>
      </c>
      <c r="F24" s="7">
        <f t="shared" si="0"/>
        <v>-33914.528668259845</v>
      </c>
    </row>
    <row r="25" spans="1:7" hidden="1" x14ac:dyDescent="0.25"/>
    <row r="26" spans="1:7" hidden="1" x14ac:dyDescent="0.25">
      <c r="A26" s="5" t="s">
        <v>3</v>
      </c>
      <c r="B26" s="2">
        <v>419</v>
      </c>
      <c r="C26" s="5" t="s">
        <v>96</v>
      </c>
      <c r="D26" s="2">
        <v>0.56499999999999995</v>
      </c>
    </row>
    <row r="27" spans="1:7" hidden="1" x14ac:dyDescent="0.25">
      <c r="A27" s="73" t="s">
        <v>129</v>
      </c>
      <c r="B27" s="74"/>
      <c r="C27" s="74"/>
      <c r="D27" s="74"/>
      <c r="E27" s="74"/>
      <c r="F27" s="75"/>
      <c r="G27" s="2" t="s">
        <v>31</v>
      </c>
    </row>
    <row r="28" spans="1:7" hidden="1" x14ac:dyDescent="0.25">
      <c r="A28" s="4" t="s">
        <v>1</v>
      </c>
      <c r="B28" s="4" t="s">
        <v>100</v>
      </c>
      <c r="C28" s="4" t="s">
        <v>0</v>
      </c>
      <c r="D28" s="5" t="s">
        <v>2</v>
      </c>
      <c r="E28" s="5" t="s">
        <v>4</v>
      </c>
      <c r="F28" s="4" t="s">
        <v>5</v>
      </c>
      <c r="G28" s="6" t="s">
        <v>7</v>
      </c>
    </row>
    <row r="29" spans="1:7" hidden="1" x14ac:dyDescent="0.25">
      <c r="A29" s="7">
        <f>-C29*27.2114-4.66</f>
        <v>0.34091672475979973</v>
      </c>
      <c r="B29" s="7">
        <f>A29-0.0592*$B$17</f>
        <v>0.2817167247597997</v>
      </c>
      <c r="C29" s="1">
        <v>-0.183780207</v>
      </c>
      <c r="D29" s="9">
        <v>419</v>
      </c>
      <c r="E29" s="8">
        <v>-1300.92268770337</v>
      </c>
      <c r="F29" s="7">
        <f t="shared" ref="F29:F32" si="2">(E29-(D29-$B$26)*C29)*27.2114</f>
        <v>-35399.927624171483</v>
      </c>
      <c r="G29" s="42"/>
    </row>
    <row r="30" spans="1:7" hidden="1" x14ac:dyDescent="0.25">
      <c r="A30" s="2">
        <v>0.8</v>
      </c>
      <c r="B30" s="7">
        <f t="shared" ref="B30:B32" si="3">A30-0.0592*$B$17</f>
        <v>0.74080000000000001</v>
      </c>
      <c r="C30" s="3">
        <f>-(A30+4.66)/27.2114</f>
        <v>-0.20065119765980433</v>
      </c>
      <c r="D30" s="9">
        <v>418.51259099999999</v>
      </c>
      <c r="E30" s="8">
        <v>-1300.82900026533</v>
      </c>
      <c r="F30" s="7">
        <f t="shared" si="2"/>
        <v>-35400.039510959999</v>
      </c>
      <c r="G30" s="8">
        <f>(F30+$D$10/2-1*A30)-(F22+$D$12+$D$11)+$B$2+$D$26-0.0592*$B$17</f>
        <v>0.7232878703930643</v>
      </c>
    </row>
    <row r="31" spans="1:7" hidden="1" x14ac:dyDescent="0.25">
      <c r="A31" s="1">
        <v>0.4</v>
      </c>
      <c r="B31" s="7">
        <f t="shared" si="3"/>
        <v>0.34079999999999999</v>
      </c>
      <c r="C31" s="3">
        <f>-(A31+4.66)/27.2114</f>
        <v>-0.18595147621952565</v>
      </c>
      <c r="D31" s="9">
        <v>418.94336199999998</v>
      </c>
      <c r="E31" s="8">
        <v>-1300.9122171607801</v>
      </c>
      <c r="F31" s="7">
        <f t="shared" si="2"/>
        <v>-35399.929294328853</v>
      </c>
      <c r="G31" s="8">
        <f t="shared" ref="G31:G32" si="4">(F31+$D$10/2-1*A31)-(F23+$D$12+$D$11)+$B$2+$D$26-0.0592*$B$17</f>
        <v>1.0509448213110908</v>
      </c>
    </row>
    <row r="32" spans="1:7" hidden="1" x14ac:dyDescent="0.25">
      <c r="A32" s="2">
        <v>0</v>
      </c>
      <c r="B32" s="7">
        <f t="shared" si="3"/>
        <v>-5.9200000000000003E-2</v>
      </c>
      <c r="C32" s="3">
        <f>-(A32+4.66)/27.2114</f>
        <v>-0.17125175477924692</v>
      </c>
      <c r="D32" s="9">
        <v>419.414894</v>
      </c>
      <c r="E32" s="8">
        <v>-1300.9962616328301</v>
      </c>
      <c r="F32" s="7">
        <f t="shared" si="2"/>
        <v>-35399.996267755596</v>
      </c>
      <c r="G32" s="8">
        <f t="shared" si="4"/>
        <v>1.3576249061939187</v>
      </c>
    </row>
    <row r="33" spans="1:7" hidden="1" x14ac:dyDescent="0.25">
      <c r="C33" s="15"/>
    </row>
    <row r="34" spans="1:7" hidden="1" x14ac:dyDescent="0.25"/>
    <row r="35" spans="1:7" hidden="1" x14ac:dyDescent="0.25">
      <c r="A35" s="2" t="s">
        <v>3</v>
      </c>
      <c r="B35" s="2">
        <v>418</v>
      </c>
      <c r="C35" s="5" t="s">
        <v>96</v>
      </c>
      <c r="D35" s="2">
        <v>0.23499999999999999</v>
      </c>
    </row>
    <row r="36" spans="1:7" hidden="1" x14ac:dyDescent="0.25">
      <c r="A36" s="73" t="s">
        <v>130</v>
      </c>
      <c r="B36" s="74"/>
      <c r="C36" s="74"/>
      <c r="D36" s="74"/>
      <c r="E36" s="74"/>
      <c r="F36" s="75"/>
      <c r="G36" s="2" t="s">
        <v>31</v>
      </c>
    </row>
    <row r="37" spans="1:7" hidden="1" x14ac:dyDescent="0.25">
      <c r="A37" s="4" t="s">
        <v>1</v>
      </c>
      <c r="B37" s="4" t="s">
        <v>100</v>
      </c>
      <c r="C37" s="4" t="s">
        <v>0</v>
      </c>
      <c r="D37" s="5" t="s">
        <v>2</v>
      </c>
      <c r="E37" s="5" t="s">
        <v>4</v>
      </c>
      <c r="F37" s="4" t="s">
        <v>5</v>
      </c>
      <c r="G37" s="6" t="s">
        <v>7</v>
      </c>
    </row>
    <row r="38" spans="1:7" hidden="1" x14ac:dyDescent="0.25">
      <c r="A38" s="7">
        <f>-C38*27.2114-4.66</f>
        <v>0.91616746228939938</v>
      </c>
      <c r="B38" s="7">
        <f>A38-0.0592*$B$17</f>
        <v>0.85696746228939935</v>
      </c>
      <c r="C38" s="1">
        <v>-0.20492027099999999</v>
      </c>
      <c r="D38" s="9">
        <v>418</v>
      </c>
      <c r="E38" s="8">
        <v>-1300.28264728214</v>
      </c>
      <c r="F38" s="7">
        <f>(E38-(D38-$B$35)*C38)*27.2114</f>
        <v>-35382.511228253228</v>
      </c>
      <c r="G38" s="42"/>
    </row>
    <row r="39" spans="1:7" hidden="1" x14ac:dyDescent="0.25">
      <c r="A39" s="2">
        <v>0.8</v>
      </c>
      <c r="B39" s="7">
        <f t="shared" ref="B39:B41" si="5">A39-0.0592*$B$17</f>
        <v>0.74080000000000001</v>
      </c>
      <c r="C39" s="3">
        <f>-(A39+4.66)/27.2114</f>
        <v>-0.20065119765980433</v>
      </c>
      <c r="D39" s="9">
        <v>418.13158600000003</v>
      </c>
      <c r="E39" s="8">
        <v>-1300.3093331519599</v>
      </c>
      <c r="F39" s="7">
        <f t="shared" ref="F39:F41" si="6">(E39-(D39-$B$35)*C39)*27.2114</f>
        <v>-35382.51892857124</v>
      </c>
      <c r="G39" s="8">
        <f>(F39+$D$10-2*A39)-(F22+$D$12+$D$11)+$B$3+$D$35-0.0592*$B$17</f>
        <v>0.51057771445012401</v>
      </c>
    </row>
    <row r="40" spans="1:7" hidden="1" x14ac:dyDescent="0.25">
      <c r="A40" s="1">
        <v>0.4</v>
      </c>
      <c r="B40" s="7">
        <f t="shared" si="5"/>
        <v>0.34079999999999999</v>
      </c>
      <c r="C40" s="3">
        <f>-(A40+4.66)/27.2114</f>
        <v>-0.18595147621952565</v>
      </c>
      <c r="D40" s="9">
        <v>418.59257200000002</v>
      </c>
      <c r="E40" s="8">
        <v>-1300.39853692819</v>
      </c>
      <c r="F40" s="7">
        <f t="shared" si="6"/>
        <v>-35382.666333447749</v>
      </c>
      <c r="G40" s="8">
        <f t="shared" ref="G40:G41" si="7">(F40+$D$10-2*A40)-(F23+$D$12+$D$11)+$B$3+$D$35-0.0592*$B$17</f>
        <v>0.98061315770719892</v>
      </c>
    </row>
    <row r="41" spans="1:7" hidden="1" x14ac:dyDescent="0.25">
      <c r="A41" s="2">
        <v>0</v>
      </c>
      <c r="B41" s="7">
        <f t="shared" si="5"/>
        <v>-5.9200000000000003E-2</v>
      </c>
      <c r="C41" s="3">
        <f>-(A41+4.66)/27.2114</f>
        <v>-0.17125175477924692</v>
      </c>
      <c r="D41" s="9">
        <v>419.05875600000002</v>
      </c>
      <c r="E41" s="8">
        <v>-1300.48170249688</v>
      </c>
      <c r="F41" s="7">
        <f t="shared" si="6"/>
        <v>-35382.993996363599</v>
      </c>
      <c r="G41" s="8">
        <f t="shared" si="7"/>
        <v>1.4266037534846017</v>
      </c>
    </row>
    <row r="42" spans="1:7" hidden="1" x14ac:dyDescent="0.25"/>
    <row r="43" spans="1:7" hidden="1" x14ac:dyDescent="0.25"/>
    <row r="44" spans="1:7" hidden="1" x14ac:dyDescent="0.25">
      <c r="A44" s="2" t="s">
        <v>3</v>
      </c>
      <c r="B44" s="2">
        <v>419</v>
      </c>
      <c r="C44" s="5" t="s">
        <v>96</v>
      </c>
      <c r="D44" s="2">
        <v>0.221</v>
      </c>
    </row>
    <row r="45" spans="1:7" hidden="1" x14ac:dyDescent="0.25">
      <c r="A45" s="73" t="s">
        <v>131</v>
      </c>
      <c r="B45" s="74"/>
      <c r="C45" s="74"/>
      <c r="D45" s="74"/>
      <c r="E45" s="74"/>
      <c r="F45" s="75"/>
      <c r="G45" s="2" t="s">
        <v>31</v>
      </c>
    </row>
    <row r="46" spans="1:7" hidden="1" x14ac:dyDescent="0.25">
      <c r="A46" s="4" t="s">
        <v>1</v>
      </c>
      <c r="B46" s="4" t="s">
        <v>100</v>
      </c>
      <c r="C46" s="4" t="s">
        <v>0</v>
      </c>
      <c r="D46" s="5" t="s">
        <v>2</v>
      </c>
      <c r="E46" s="5" t="s">
        <v>4</v>
      </c>
      <c r="F46" s="4" t="s">
        <v>5</v>
      </c>
      <c r="G46" s="6" t="s">
        <v>7</v>
      </c>
    </row>
    <row r="47" spans="1:7" hidden="1" x14ac:dyDescent="0.25">
      <c r="A47" s="7">
        <f>-C47*27.2114-4.66</f>
        <v>0.64869901970879962</v>
      </c>
      <c r="B47" s="7">
        <f>A47-0.0592*$B$17</f>
        <v>0.58949901970879959</v>
      </c>
      <c r="C47" s="1">
        <v>-0.19509099199999999</v>
      </c>
      <c r="D47" s="9">
        <v>419</v>
      </c>
      <c r="E47" s="8">
        <v>-1304.45307814343</v>
      </c>
      <c r="F47" s="7">
        <f t="shared" ref="F47:F50" si="8">(E47-(D47-$B$44)*C47)*27.2114</f>
        <v>-35495.994490592137</v>
      </c>
      <c r="G47" s="38"/>
    </row>
    <row r="48" spans="1:7" hidden="1" x14ac:dyDescent="0.25">
      <c r="A48" s="2">
        <v>0.8</v>
      </c>
      <c r="B48" s="7">
        <f t="shared" ref="B48:B50" si="9">A48-0.0592*$B$17</f>
        <v>0.74080000000000001</v>
      </c>
      <c r="C48" s="3">
        <f>-(A48+4.66)/27.2114</f>
        <v>-0.20065119765980433</v>
      </c>
      <c r="D48" s="9">
        <v>418.838301</v>
      </c>
      <c r="E48" s="8">
        <v>-1304.42108300366</v>
      </c>
      <c r="F48" s="7">
        <f t="shared" si="8"/>
        <v>-35496.006734585797</v>
      </c>
      <c r="G48" s="8">
        <f>(F48+$D$10/2-1*A48)-(F22+$D$13)+$B$4+$D$44-0.0592*$B$17</f>
        <v>0.78313987823007236</v>
      </c>
    </row>
    <row r="49" spans="1:10" hidden="1" x14ac:dyDescent="0.25">
      <c r="A49" s="1">
        <v>0.4</v>
      </c>
      <c r="B49" s="7">
        <f t="shared" si="9"/>
        <v>0.34079999999999999</v>
      </c>
      <c r="C49" s="3">
        <f>-(A49+4.66)/27.2114</f>
        <v>-0.18595147621952565</v>
      </c>
      <c r="D49" s="9">
        <v>419.28401500000001</v>
      </c>
      <c r="E49" s="8">
        <v>-1304.5071843261101</v>
      </c>
      <c r="F49" s="7">
        <f t="shared" si="8"/>
        <v>-35496.029679671512</v>
      </c>
      <c r="G49" s="8">
        <f>(F49+$D$10/2-1*A49)-(F23+$D$13)+$B$4+$D$44-0.0592*$B$17</f>
        <v>0.97763511228644828</v>
      </c>
    </row>
    <row r="50" spans="1:10" hidden="1" x14ac:dyDescent="0.25">
      <c r="A50" s="2">
        <v>0.2</v>
      </c>
      <c r="B50" s="7">
        <f t="shared" si="9"/>
        <v>0.14080000000000001</v>
      </c>
      <c r="C50" s="3">
        <f>-(A50+4.66)/27.2114</f>
        <v>-0.1786016154993863</v>
      </c>
      <c r="D50" s="9">
        <v>419.62944800000002</v>
      </c>
      <c r="E50" s="8">
        <v>-1304.57100316576</v>
      </c>
      <c r="F50" s="7">
        <f t="shared" si="8"/>
        <v>-35496.144278264757</v>
      </c>
      <c r="G50" s="8">
        <f>(F50+$D$10/2-1*A50)-(F24+$D$13)+$B$4+$D$44-0.0592*$B$17</f>
        <v>1.0366900306699294</v>
      </c>
    </row>
    <row r="51" spans="1:10" hidden="1" x14ac:dyDescent="0.25">
      <c r="A51" t="s">
        <v>136</v>
      </c>
    </row>
    <row r="52" spans="1:10" hidden="1" x14ac:dyDescent="0.25"/>
    <row r="53" spans="1:10" hidden="1" x14ac:dyDescent="0.25">
      <c r="A53" s="2" t="s">
        <v>3</v>
      </c>
      <c r="B53" s="2">
        <v>413</v>
      </c>
      <c r="C53" s="5" t="s">
        <v>96</v>
      </c>
      <c r="D53" s="2">
        <v>0.121</v>
      </c>
    </row>
    <row r="54" spans="1:10" hidden="1" x14ac:dyDescent="0.25">
      <c r="A54" s="73" t="s">
        <v>132</v>
      </c>
      <c r="B54" s="74"/>
      <c r="C54" s="74"/>
      <c r="D54" s="74"/>
      <c r="E54" s="74"/>
      <c r="F54" s="75"/>
      <c r="G54" s="2" t="s">
        <v>31</v>
      </c>
    </row>
    <row r="55" spans="1:10" hidden="1" x14ac:dyDescent="0.25">
      <c r="A55" s="4" t="s">
        <v>1</v>
      </c>
      <c r="B55" s="4" t="s">
        <v>100</v>
      </c>
      <c r="C55" s="4" t="s">
        <v>0</v>
      </c>
      <c r="D55" s="5" t="s">
        <v>2</v>
      </c>
      <c r="E55" s="5" t="s">
        <v>4</v>
      </c>
      <c r="F55" s="4" t="s">
        <v>5</v>
      </c>
      <c r="G55" s="6" t="s">
        <v>7</v>
      </c>
    </row>
    <row r="56" spans="1:10" hidden="1" x14ac:dyDescent="0.25">
      <c r="A56" s="7">
        <f>-C56*27.2114-4.66</f>
        <v>0.33800660158679996</v>
      </c>
      <c r="B56" s="7">
        <f>A56-0.0592*$B$17</f>
        <v>0.27880660158679993</v>
      </c>
      <c r="C56" s="1">
        <v>-0.183673262</v>
      </c>
      <c r="D56" s="9">
        <v>413</v>
      </c>
      <c r="E56" s="8">
        <v>-1288.40403606216</v>
      </c>
      <c r="F56" s="7">
        <f>(E56-(D56-$B$53)*C56)*27.2114</f>
        <v>-35059.277586901859</v>
      </c>
      <c r="G56" s="42"/>
    </row>
    <row r="57" spans="1:10" hidden="1" x14ac:dyDescent="0.25">
      <c r="A57" s="2">
        <v>0.8</v>
      </c>
      <c r="B57" s="7">
        <f t="shared" ref="B57:B59" si="10">A57-0.0592*$B$17</f>
        <v>0.74080000000000001</v>
      </c>
      <c r="C57" s="3">
        <f>-(A57+4.66)/27.2114</f>
        <v>-0.20065119765980433</v>
      </c>
      <c r="D57" s="9">
        <v>412.51819599999999</v>
      </c>
      <c r="E57" s="8">
        <v>-1288.3114755741699</v>
      </c>
      <c r="F57" s="7">
        <f>(E57-(D57-$B$53)*C57)*27.2114</f>
        <v>-35059.38953627897</v>
      </c>
      <c r="G57" s="8">
        <f>(F57+$D$10/2-1*A57)-(F22+$D$14)+$B$5+$D$53-0.0592*$B$17</f>
        <v>4.5545123388235631E-3</v>
      </c>
    </row>
    <row r="58" spans="1:10" hidden="1" x14ac:dyDescent="0.25">
      <c r="A58" s="1">
        <v>0.4</v>
      </c>
      <c r="B58" s="7">
        <f t="shared" si="10"/>
        <v>0.34079999999999999</v>
      </c>
      <c r="C58" s="3">
        <f>-(A58+4.66)/27.2114</f>
        <v>-0.18595147621952565</v>
      </c>
      <c r="D58" s="9">
        <v>412.93752000000001</v>
      </c>
      <c r="E58" s="8">
        <v>-1288.3924907409</v>
      </c>
      <c r="F58" s="7">
        <f>(E58-(D58-$B$53)*C58)*27.2114</f>
        <v>-35059.279571346931</v>
      </c>
      <c r="G58" s="8">
        <f>(F58+$D$10/2-1*A58)-(F23+$D$14)+$B$5+$D$53-0.0592*$B$17</f>
        <v>0.33195976414880146</v>
      </c>
    </row>
    <row r="59" spans="1:10" hidden="1" x14ac:dyDescent="0.25">
      <c r="A59" s="2">
        <v>0</v>
      </c>
      <c r="B59" s="7">
        <f t="shared" si="10"/>
        <v>-5.9200000000000003E-2</v>
      </c>
      <c r="C59" s="3">
        <f>-(A59+4.66)/27.2114</f>
        <v>-0.17125175477924692</v>
      </c>
      <c r="D59" s="9">
        <v>413.35868399999998</v>
      </c>
      <c r="E59" s="8">
        <v>-1288.4676500616899</v>
      </c>
      <c r="F59" s="7">
        <f t="shared" ref="F59" si="11">(E59-(D59-$B$53)*C59)*27.2114</f>
        <v>-35059.337145448677</v>
      </c>
      <c r="G59" s="8">
        <f>(F59+$D$10/2-1*A59)-(F24+$D$14)+$B$5+$D$53-0.0592*$B$17</f>
        <v>0.64803917402913225</v>
      </c>
    </row>
    <row r="60" spans="1:10" hidden="1" x14ac:dyDescent="0.25"/>
    <row r="62" spans="1:10" ht="18.75" x14ac:dyDescent="0.3">
      <c r="A62" s="44"/>
      <c r="B62" s="76" t="s">
        <v>134</v>
      </c>
      <c r="C62" s="76"/>
      <c r="D62" s="76"/>
      <c r="E62" s="76"/>
    </row>
    <row r="63" spans="1:10" x14ac:dyDescent="0.25">
      <c r="A63" s="25" t="s">
        <v>73</v>
      </c>
    </row>
    <row r="64" spans="1:10" x14ac:dyDescent="0.25">
      <c r="B64" s="5" t="s">
        <v>4</v>
      </c>
      <c r="C64" s="5" t="s">
        <v>96</v>
      </c>
      <c r="D64" s="5" t="s">
        <v>11</v>
      </c>
      <c r="H64" s="5" t="s">
        <v>4</v>
      </c>
      <c r="I64" s="5" t="s">
        <v>96</v>
      </c>
      <c r="J64" s="5" t="s">
        <v>11</v>
      </c>
    </row>
    <row r="65" spans="1:10" x14ac:dyDescent="0.25">
      <c r="A65" s="5" t="s">
        <v>10</v>
      </c>
      <c r="B65" s="10">
        <v>-1.1651204227085801</v>
      </c>
      <c r="C65" s="8">
        <v>-4.2000000000000003E-2</v>
      </c>
      <c r="D65" s="2">
        <f>B65*27.2114+C65</f>
        <v>-31.746557870492257</v>
      </c>
      <c r="G65" s="5" t="s">
        <v>191</v>
      </c>
      <c r="H65" s="10">
        <v>-30.0430223619964</v>
      </c>
      <c r="I65" s="8">
        <v>-0.56100000000000005</v>
      </c>
      <c r="J65" s="2">
        <f>H65*27.2114+I65</f>
        <v>-818.07369870122886</v>
      </c>
    </row>
    <row r="66" spans="1:10" x14ac:dyDescent="0.25">
      <c r="A66" s="5" t="s">
        <v>29</v>
      </c>
      <c r="B66" s="10">
        <v>-37.8808477704033</v>
      </c>
      <c r="C66" s="8">
        <v>-0.251</v>
      </c>
      <c r="D66" s="2">
        <f>B66*27.2114+C66+'Exp. thermo'!$G$5/96.49</f>
        <v>-1030.9598193813147</v>
      </c>
      <c r="G66" s="5" t="s">
        <v>200</v>
      </c>
      <c r="H66" s="10">
        <v>-42.413044169722198</v>
      </c>
      <c r="I66" s="8">
        <v>-0.496</v>
      </c>
      <c r="J66" s="2">
        <f>H66*27.2114+I66 +'Exp. thermo'!$G$5/96.49</f>
        <v>-1154.5322284817412</v>
      </c>
    </row>
    <row r="67" spans="1:10" x14ac:dyDescent="0.25">
      <c r="A67" s="5" t="s">
        <v>30</v>
      </c>
      <c r="B67" s="10">
        <v>-17.268355960477901</v>
      </c>
      <c r="C67" s="8">
        <v>9.2999999999999999E-2</v>
      </c>
      <c r="D67" s="2">
        <f>B67*27.2114+C67+'Exp. thermo'!$G$5/96.49</f>
        <v>-469.72105974471066</v>
      </c>
      <c r="G67" s="5" t="s">
        <v>253</v>
      </c>
      <c r="H67" s="10">
        <v>-8.3935110948132401</v>
      </c>
      <c r="I67" s="8">
        <v>5.6000000000000001E-2</v>
      </c>
      <c r="J67" s="2">
        <f>H67*27.2114+I67 +'Exp. thermo'!$G$5/96.49</f>
        <v>-228.26110616716332</v>
      </c>
    </row>
    <row r="68" spans="1:10" x14ac:dyDescent="0.25">
      <c r="A68" s="5" t="s">
        <v>9</v>
      </c>
      <c r="B68" s="10">
        <v>-58.677193166200901</v>
      </c>
      <c r="C68" s="8">
        <v>-1.0999999999999999E-2</v>
      </c>
      <c r="D68" s="2">
        <f>B68*27.2114+C68+'Exp. thermo'!$G$5/96.49</f>
        <v>-1596.6174924845216</v>
      </c>
      <c r="G68" s="5" t="s">
        <v>48</v>
      </c>
      <c r="H68" s="10">
        <v>-45.958970677356099</v>
      </c>
      <c r="I68" s="8">
        <v>0.88400000000000001</v>
      </c>
      <c r="J68" s="2">
        <f>H68*27.2114+I68+'Exp. thermo'!$G$5/96.49</f>
        <v>-1249.64185305157</v>
      </c>
    </row>
    <row r="69" spans="1:10" x14ac:dyDescent="0.25">
      <c r="A69" s="5" t="s">
        <v>49</v>
      </c>
      <c r="B69" s="10">
        <v>-42.632854517177599</v>
      </c>
      <c r="C69" s="8">
        <v>-0.126</v>
      </c>
      <c r="D69" s="2">
        <f>B69*27.2114+C69+'Exp. thermo'!$G$5/96.49</f>
        <v>-1160.1435757704887</v>
      </c>
      <c r="G69" s="5" t="s">
        <v>231</v>
      </c>
      <c r="H69" s="10">
        <v>-89.257170769677202</v>
      </c>
      <c r="I69" s="8">
        <v>-3.2000000000000001E-2</v>
      </c>
      <c r="J69" s="2">
        <f>H69*27.2114+I69+'Exp. thermo'!$G$5/96.49</f>
        <v>-2428.7624950437571</v>
      </c>
    </row>
    <row r="70" spans="1:10" ht="18.75" x14ac:dyDescent="0.3">
      <c r="C70" s="76"/>
      <c r="D70" s="76"/>
    </row>
    <row r="71" spans="1:10" x14ac:dyDescent="0.25">
      <c r="A71" s="25" t="s">
        <v>77</v>
      </c>
    </row>
    <row r="72" spans="1:10" x14ac:dyDescent="0.25">
      <c r="A72" s="20" t="s">
        <v>12</v>
      </c>
      <c r="B72" s="21">
        <v>0</v>
      </c>
    </row>
    <row r="73" spans="1:10" x14ac:dyDescent="0.25">
      <c r="A73" s="21" t="s">
        <v>3</v>
      </c>
      <c r="B73" s="21">
        <v>396</v>
      </c>
    </row>
    <row r="74" spans="1:10" x14ac:dyDescent="0.25">
      <c r="A74" s="73" t="s">
        <v>144</v>
      </c>
      <c r="B74" s="74"/>
      <c r="C74" s="74"/>
      <c r="D74" s="74"/>
      <c r="E74" s="74"/>
      <c r="F74" s="75"/>
    </row>
    <row r="75" spans="1:10" x14ac:dyDescent="0.25">
      <c r="A75" s="4" t="s">
        <v>1</v>
      </c>
      <c r="B75" s="4" t="s">
        <v>100</v>
      </c>
      <c r="C75" s="4" t="s">
        <v>0</v>
      </c>
      <c r="D75" s="5" t="s">
        <v>2</v>
      </c>
      <c r="E75" s="5" t="s">
        <v>4</v>
      </c>
      <c r="F75" s="4" t="s">
        <v>5</v>
      </c>
    </row>
    <row r="76" spans="1:10" x14ac:dyDescent="0.25">
      <c r="A76" s="7">
        <f>-C76*27.2114-4.66</f>
        <v>0.28316665082479986</v>
      </c>
      <c r="B76" s="7">
        <f>A76-0.0592*$B$132</f>
        <v>0.28667129082479986</v>
      </c>
      <c r="C76" s="3">
        <v>-0.18165793199999999</v>
      </c>
      <c r="D76" s="9">
        <v>396</v>
      </c>
      <c r="E76" s="8">
        <v>-1248.5049786157699</v>
      </c>
      <c r="F76" s="7">
        <f>(E76-(D76-$B$73)*C76)*27.2114</f>
        <v>-33973.568375105162</v>
      </c>
    </row>
    <row r="77" spans="1:10" x14ac:dyDescent="0.25">
      <c r="A77" s="2">
        <v>0.8</v>
      </c>
      <c r="B77" s="7">
        <f t="shared" ref="B77:B79" si="12">A77-0.0592*$B$17</f>
        <v>0.74080000000000001</v>
      </c>
      <c r="C77" s="3">
        <f>-(A77+4.66)/27.2114</f>
        <v>-0.20065119765980433</v>
      </c>
      <c r="D77" s="9">
        <v>395.52509199999997</v>
      </c>
      <c r="E77" s="8">
        <v>-1248.41415173982</v>
      </c>
      <c r="F77" s="7">
        <f>(E77-(D77-$B$73)*C77)*27.2114</f>
        <v>-33973.689846332934</v>
      </c>
    </row>
    <row r="78" spans="1:10" x14ac:dyDescent="0.25">
      <c r="A78" s="1">
        <v>0.4</v>
      </c>
      <c r="B78" s="7">
        <f t="shared" si="12"/>
        <v>0.34079999999999999</v>
      </c>
      <c r="C78" s="3">
        <f>-(A78+4.66)/27.2114</f>
        <v>-0.18595147621952565</v>
      </c>
      <c r="D78" s="9">
        <v>395.89474999999999</v>
      </c>
      <c r="E78" s="8">
        <v>-1248.48563263549</v>
      </c>
      <c r="F78" s="7">
        <f>(E78-(D78-$B$73)*C78)*27.2114</f>
        <v>-33973.574508897378</v>
      </c>
    </row>
    <row r="79" spans="1:10" x14ac:dyDescent="0.25">
      <c r="A79" s="2">
        <v>0</v>
      </c>
      <c r="B79" s="7">
        <f t="shared" si="12"/>
        <v>-5.9200000000000003E-2</v>
      </c>
      <c r="C79" s="3">
        <f>-(A79+4.66)/27.2114</f>
        <v>-0.17125175477924692</v>
      </c>
      <c r="D79" s="9">
        <v>396.32463899999999</v>
      </c>
      <c r="E79" s="8">
        <v>-1248.56212140565</v>
      </c>
      <c r="F79" s="7">
        <f>(E79-(D79-$B$73)*C79)*27.2114</f>
        <v>-33973.610492677704</v>
      </c>
    </row>
    <row r="81" spans="1:7" x14ac:dyDescent="0.25">
      <c r="A81" s="5" t="s">
        <v>3</v>
      </c>
      <c r="B81" s="2">
        <v>419</v>
      </c>
      <c r="C81" s="5" t="s">
        <v>96</v>
      </c>
      <c r="D81" s="2">
        <v>0.55300000000000005</v>
      </c>
    </row>
    <row r="82" spans="1:7" x14ac:dyDescent="0.25">
      <c r="A82" s="73" t="s">
        <v>129</v>
      </c>
      <c r="B82" s="74"/>
      <c r="C82" s="74"/>
      <c r="D82" s="74"/>
      <c r="E82" s="74"/>
      <c r="F82" s="75"/>
      <c r="G82" s="2" t="s">
        <v>31</v>
      </c>
    </row>
    <row r="83" spans="1:7" x14ac:dyDescent="0.25">
      <c r="A83" s="4" t="s">
        <v>1</v>
      </c>
      <c r="B83" s="4" t="s">
        <v>100</v>
      </c>
      <c r="C83" s="4" t="s">
        <v>0</v>
      </c>
      <c r="D83" s="5" t="s">
        <v>2</v>
      </c>
      <c r="E83" s="5" t="s">
        <v>4</v>
      </c>
      <c r="F83" s="4" t="s">
        <v>5</v>
      </c>
      <c r="G83" s="6" t="s">
        <v>7</v>
      </c>
    </row>
    <row r="84" spans="1:7" x14ac:dyDescent="0.25">
      <c r="A84" s="7">
        <f>-C84*27.2114-4.66</f>
        <v>0.45387587209780023</v>
      </c>
      <c r="B84" s="7">
        <f>A84-0.0592*$B$17</f>
        <v>0.3946758720978002</v>
      </c>
      <c r="C84" s="1">
        <v>-0.18793137700000001</v>
      </c>
      <c r="D84" s="9">
        <v>419</v>
      </c>
      <c r="E84" s="8">
        <v>-1303.0588267565799</v>
      </c>
      <c r="F84" s="7">
        <f>(E84-(D84-$B$81)*C84)*27.2114</f>
        <v>-35458.054958403998</v>
      </c>
      <c r="G84" s="42"/>
    </row>
    <row r="85" spans="1:7" x14ac:dyDescent="0.25">
      <c r="A85" s="2">
        <v>0.8</v>
      </c>
      <c r="B85" s="7">
        <f t="shared" ref="B85:B87" si="13">A85-0.0592*$B$17</f>
        <v>0.74080000000000001</v>
      </c>
      <c r="C85" s="3">
        <f>-(A85+4.66)/27.2114</f>
        <v>-0.20065119765980433</v>
      </c>
      <c r="D85" s="9">
        <v>418.665302</v>
      </c>
      <c r="E85" s="8">
        <v>-1302.99380256266</v>
      </c>
      <c r="F85" s="7">
        <f>(E85-(D85-$B$81)*C85)*27.2114</f>
        <v>-35458.113010133566</v>
      </c>
      <c r="G85" s="8">
        <f>(F85+$D$65/2-1*A77)-(F77+$D$66+$D$67)+$B$2+$D$81-0.0592*$B$72</f>
        <v>-8.7817301473894993E-2</v>
      </c>
    </row>
    <row r="86" spans="1:7" x14ac:dyDescent="0.25">
      <c r="A86" s="1">
        <v>0.4</v>
      </c>
      <c r="B86" s="7">
        <f t="shared" si="13"/>
        <v>0.34079999999999999</v>
      </c>
      <c r="C86" s="3">
        <f>-(A86+4.66)/27.2114</f>
        <v>-0.18595147621952565</v>
      </c>
      <c r="D86" s="9">
        <v>419.04913399999998</v>
      </c>
      <c r="E86" s="8">
        <v>-1303.06801332181</v>
      </c>
      <c r="F86" s="7">
        <f t="shared" ref="F86:F87" si="14">(E86-(D86-$B$81)*C86)*27.2114</f>
        <v>-35458.056319665106</v>
      </c>
      <c r="G86" s="8">
        <f>(F86+$D$65/2-1*A78)-(F78+$D$66+$D$67)+$B$2+$D$81-0.0592*$B$72</f>
        <v>0.25353573143142238</v>
      </c>
    </row>
    <row r="87" spans="1:7" x14ac:dyDescent="0.25">
      <c r="A87" s="2">
        <v>0</v>
      </c>
      <c r="B87" s="7">
        <f t="shared" si="13"/>
        <v>-5.9200000000000003E-2</v>
      </c>
      <c r="C87" s="3">
        <f>-(A87+4.66)/27.2114</f>
        <v>-0.17125175477924692</v>
      </c>
      <c r="D87" s="9">
        <v>419.52235899999999</v>
      </c>
      <c r="E87" s="8">
        <v>-1303.15237528283</v>
      </c>
      <c r="F87" s="7">
        <f t="shared" si="14"/>
        <v>-35458.166351831205</v>
      </c>
      <c r="G87" s="8">
        <f>(F87+$D$65/2-1*A79)-(F79+$D$66+$D$67)+$B$2+$D$81-0.0592*$B$72</f>
        <v>0.5794873456593832</v>
      </c>
    </row>
    <row r="88" spans="1:7" x14ac:dyDescent="0.25">
      <c r="C88" s="15"/>
    </row>
    <row r="90" spans="1:7" x14ac:dyDescent="0.25">
      <c r="A90" s="2" t="s">
        <v>3</v>
      </c>
      <c r="B90" s="2">
        <v>418</v>
      </c>
      <c r="C90" s="5" t="s">
        <v>96</v>
      </c>
      <c r="D90" s="2">
        <v>0.25700000000000001</v>
      </c>
    </row>
    <row r="91" spans="1:7" x14ac:dyDescent="0.25">
      <c r="A91" s="73" t="s">
        <v>130</v>
      </c>
      <c r="B91" s="74"/>
      <c r="C91" s="74"/>
      <c r="D91" s="74"/>
      <c r="E91" s="74"/>
      <c r="F91" s="75"/>
      <c r="G91" s="2" t="s">
        <v>31</v>
      </c>
    </row>
    <row r="92" spans="1:7" x14ac:dyDescent="0.25">
      <c r="A92" s="4" t="s">
        <v>1</v>
      </c>
      <c r="B92" s="4" t="s">
        <v>100</v>
      </c>
      <c r="C92" s="4" t="s">
        <v>0</v>
      </c>
      <c r="D92" s="5" t="s">
        <v>2</v>
      </c>
      <c r="E92" s="5" t="s">
        <v>4</v>
      </c>
      <c r="F92" s="4" t="s">
        <v>5</v>
      </c>
      <c r="G92" s="6" t="s">
        <v>7</v>
      </c>
    </row>
    <row r="93" spans="1:7" x14ac:dyDescent="0.25">
      <c r="A93" s="7">
        <f>-C93*27.2114-4.66</f>
        <v>1.0573688318821999</v>
      </c>
      <c r="B93" s="7">
        <f>A93-0.0592*$B$17</f>
        <v>0.99816883188219985</v>
      </c>
      <c r="C93" s="1">
        <v>-0.21010932299999999</v>
      </c>
      <c r="D93" s="9">
        <v>418</v>
      </c>
      <c r="E93" s="8">
        <v>-1302.4183471849899</v>
      </c>
      <c r="F93" s="7">
        <f>(E93-(D93-$B$90)*C93)*27.2114</f>
        <v>-35440.626612589636</v>
      </c>
      <c r="G93" s="42"/>
    </row>
    <row r="94" spans="1:7" x14ac:dyDescent="0.25">
      <c r="A94" s="2">
        <v>0.8</v>
      </c>
      <c r="B94" s="7">
        <f t="shared" ref="B94:B96" si="15">A94-0.0592*$B$17</f>
        <v>0.74080000000000001</v>
      </c>
      <c r="C94" s="3">
        <f>-(A94+4.66)/27.2114</f>
        <v>-0.20065119765980433</v>
      </c>
      <c r="D94" s="9">
        <v>418.28044</v>
      </c>
      <c r="E94" s="8">
        <v>-1302.4759895786799</v>
      </c>
      <c r="F94" s="7">
        <f t="shared" ref="F94:F96" si="16">(E94-(D94-$B$90)*C94)*27.2114</f>
        <v>-35440.663940421291</v>
      </c>
      <c r="G94" s="8">
        <f>(F94+$D$65-2*A94)-(F77+$D$67+$D$66)+$B$3+$D$90-0.0592*$B$72</f>
        <v>-0.21699791678054969</v>
      </c>
    </row>
    <row r="95" spans="1:7" x14ac:dyDescent="0.25">
      <c r="A95" s="1">
        <v>0.4</v>
      </c>
      <c r="B95" s="7">
        <f t="shared" si="15"/>
        <v>0.34079999999999999</v>
      </c>
      <c r="C95" s="3">
        <f>-(A95+4.66)/27.2114</f>
        <v>-0.18595147621952565</v>
      </c>
      <c r="D95" s="9">
        <v>418.70702799999998</v>
      </c>
      <c r="E95" s="8">
        <v>-1302.55849508146</v>
      </c>
      <c r="F95" s="7">
        <f t="shared" si="16"/>
        <v>-35440.86267137964</v>
      </c>
      <c r="G95" s="8">
        <f t="shared" ref="G95:G96" si="17">(F95+$D$65-2*A95)-(F78+$D$67+$D$66)+$B$3+$D$90-0.0592*$B$72</f>
        <v>0.26893368930961226</v>
      </c>
    </row>
    <row r="96" spans="1:7" x14ac:dyDescent="0.25">
      <c r="A96" s="2">
        <v>0</v>
      </c>
      <c r="B96" s="7">
        <f t="shared" si="15"/>
        <v>-5.9200000000000003E-2</v>
      </c>
      <c r="C96" s="3">
        <f>-(A96+4.66)/27.2114</f>
        <v>-0.17125175477924692</v>
      </c>
      <c r="D96" s="9">
        <v>419.181603</v>
      </c>
      <c r="E96" s="8">
        <v>-1302.64309104534</v>
      </c>
      <c r="F96" s="7">
        <f t="shared" si="16"/>
        <v>-35441.23593769117</v>
      </c>
      <c r="G96" s="8">
        <f t="shared" si="17"/>
        <v>0.73165115810899517</v>
      </c>
    </row>
    <row r="99" spans="1:7" x14ac:dyDescent="0.25">
      <c r="A99" s="2" t="s">
        <v>3</v>
      </c>
      <c r="B99" s="2">
        <v>419</v>
      </c>
      <c r="C99" s="5" t="s">
        <v>96</v>
      </c>
      <c r="D99" s="2">
        <v>0.2</v>
      </c>
    </row>
    <row r="100" spans="1:7" x14ac:dyDescent="0.25">
      <c r="A100" s="73" t="s">
        <v>131</v>
      </c>
      <c r="B100" s="74"/>
      <c r="C100" s="74"/>
      <c r="D100" s="74"/>
      <c r="E100" s="74"/>
      <c r="F100" s="75"/>
      <c r="G100" s="2" t="s">
        <v>31</v>
      </c>
    </row>
    <row r="101" spans="1:7" x14ac:dyDescent="0.25">
      <c r="A101" s="4" t="s">
        <v>1</v>
      </c>
      <c r="B101" s="4" t="s">
        <v>100</v>
      </c>
      <c r="C101" s="4" t="s">
        <v>0</v>
      </c>
      <c r="D101" s="5" t="s">
        <v>2</v>
      </c>
      <c r="E101" s="5" t="s">
        <v>4</v>
      </c>
      <c r="F101" s="4" t="s">
        <v>5</v>
      </c>
      <c r="G101" s="6" t="s">
        <v>7</v>
      </c>
    </row>
    <row r="102" spans="1:7" x14ac:dyDescent="0.25">
      <c r="A102" s="7">
        <f>-C102*27.2114-4.66</f>
        <v>0.74062892501279975</v>
      </c>
      <c r="B102" s="7">
        <f>A102-0.0592*$B$17</f>
        <v>0.68142892501279972</v>
      </c>
      <c r="C102" s="1">
        <v>-0.19846935199999999</v>
      </c>
      <c r="D102" s="9">
        <v>419</v>
      </c>
      <c r="E102" s="8">
        <v>-1306.5860277101201</v>
      </c>
      <c r="F102" s="7">
        <f>(E102-(D102-$B$99)*C102)*27.2114</f>
        <v>-35554.035034431166</v>
      </c>
      <c r="G102" s="42"/>
    </row>
    <row r="103" spans="1:7" x14ac:dyDescent="0.25">
      <c r="A103" s="2">
        <v>0.8</v>
      </c>
      <c r="B103" s="7">
        <f t="shared" ref="B103:B105" si="18">A103-0.0592*$B$17</f>
        <v>0.74080000000000001</v>
      </c>
      <c r="C103" s="3">
        <f>-(A103+4.66)/27.2114</f>
        <v>-0.20065119765980433</v>
      </c>
      <c r="D103" s="9">
        <v>418.94334600000002</v>
      </c>
      <c r="E103" s="8">
        <v>-1306.5747216346699</v>
      </c>
      <c r="F103" s="7">
        <f t="shared" ref="F103:F105" si="19">(E103-(D103-$B$99)*C103)*27.2114</f>
        <v>-35554.036711129658</v>
      </c>
      <c r="G103" s="8">
        <f>(F103+$D$65/2-1*A103)-(F77+$D$68)+$B$4+$D$99-0.0592*$B$72</f>
        <v>0.27602661108366061</v>
      </c>
    </row>
    <row r="104" spans="1:7" x14ac:dyDescent="0.25">
      <c r="A104" s="1">
        <v>0.4</v>
      </c>
      <c r="B104" s="7">
        <f t="shared" si="18"/>
        <v>0.34079999999999999</v>
      </c>
      <c r="C104" s="3">
        <f>-(A104+4.66)/27.2114</f>
        <v>-0.18595147621952565</v>
      </c>
      <c r="D104" s="9">
        <v>419.35146300000002</v>
      </c>
      <c r="E104" s="8">
        <v>-1306.6536392294499</v>
      </c>
      <c r="F104" s="7">
        <f t="shared" si="19"/>
        <v>-35554.096435748252</v>
      </c>
      <c r="G104" s="8">
        <f t="shared" ref="G104:G105" si="20">(F104+$D$65/2-1*A104)-(F78+$D$68)+$B$4+$D$99-0.0592*$B$72</f>
        <v>0.50096455693536757</v>
      </c>
    </row>
    <row r="105" spans="1:7" x14ac:dyDescent="0.25">
      <c r="A105" s="2">
        <v>0</v>
      </c>
      <c r="B105" s="7">
        <f t="shared" si="18"/>
        <v>-5.9200000000000003E-2</v>
      </c>
      <c r="C105" s="3">
        <f>-(A105+4.66)/27.2114</f>
        <v>-0.17125175477924692</v>
      </c>
      <c r="D105" s="9">
        <v>419.82880499999999</v>
      </c>
      <c r="E105" s="8">
        <v>-1306.7389799781499</v>
      </c>
      <c r="F105" s="7">
        <f t="shared" si="19"/>
        <v>-35554.334848477432</v>
      </c>
      <c r="G105" s="8">
        <f t="shared" si="20"/>
        <v>0.69853560808231907</v>
      </c>
    </row>
    <row r="108" spans="1:7" x14ac:dyDescent="0.25">
      <c r="A108" s="2" t="s">
        <v>3</v>
      </c>
      <c r="B108" s="2">
        <v>413</v>
      </c>
      <c r="C108" s="5" t="s">
        <v>96</v>
      </c>
      <c r="D108" s="2">
        <v>0.11799999999999999</v>
      </c>
    </row>
    <row r="109" spans="1:7" x14ac:dyDescent="0.25">
      <c r="A109" s="73" t="s">
        <v>132</v>
      </c>
      <c r="B109" s="74"/>
      <c r="C109" s="74"/>
      <c r="D109" s="74"/>
      <c r="E109" s="74"/>
      <c r="F109" s="75"/>
      <c r="G109" s="2" t="s">
        <v>31</v>
      </c>
    </row>
    <row r="110" spans="1:7" x14ac:dyDescent="0.25">
      <c r="A110" s="4" t="s">
        <v>1</v>
      </c>
      <c r="B110" s="4" t="s">
        <v>100</v>
      </c>
      <c r="C110" s="4" t="s">
        <v>0</v>
      </c>
      <c r="D110" s="5" t="s">
        <v>2</v>
      </c>
      <c r="E110" s="5" t="s">
        <v>4</v>
      </c>
      <c r="F110" s="4" t="s">
        <v>5</v>
      </c>
      <c r="G110" s="6" t="s">
        <v>7</v>
      </c>
    </row>
    <row r="111" spans="1:7" x14ac:dyDescent="0.25">
      <c r="A111" s="7">
        <f>-C111*27.2114-4.66</f>
        <v>0.46308894464139971</v>
      </c>
      <c r="B111" s="7">
        <f>A111-0.0592*$B$17</f>
        <v>0.40388894464139968</v>
      </c>
      <c r="C111" s="1">
        <v>-0.18826995099999999</v>
      </c>
      <c r="D111" s="9">
        <v>413</v>
      </c>
      <c r="E111" s="8">
        <v>-1290.55078038224</v>
      </c>
      <c r="F111" s="7">
        <f>(E111-(D111-$B$108)*C111)*27.2114</f>
        <v>-35117.693505293289</v>
      </c>
      <c r="G111" s="42"/>
    </row>
    <row r="112" spans="1:7" x14ac:dyDescent="0.25">
      <c r="A112" s="2">
        <v>0.8</v>
      </c>
      <c r="B112" s="7">
        <f t="shared" ref="B112:B114" si="21">A112-0.0592*$B$17</f>
        <v>0.74080000000000001</v>
      </c>
      <c r="C112" s="3">
        <f>-(A112+4.66)/27.2114</f>
        <v>-0.20065119765980433</v>
      </c>
      <c r="D112" s="9">
        <v>412.67559899999998</v>
      </c>
      <c r="E112" s="8">
        <v>-1290.48768905155</v>
      </c>
      <c r="F112" s="7">
        <f t="shared" ref="F112:F114" si="22">(E112-(D112-$B$108)*C112)*27.2114</f>
        <v>-35117.747931317354</v>
      </c>
      <c r="G112" s="8">
        <f>(F112+$D$65/2-1*A112)-(F77+$D$69)+$B$5+$D$108-0.0592*$B$72</f>
        <v>-0.48603127731949192</v>
      </c>
    </row>
    <row r="113" spans="1:7" x14ac:dyDescent="0.25">
      <c r="A113" s="1">
        <v>0.4</v>
      </c>
      <c r="B113" s="7">
        <f t="shared" si="21"/>
        <v>0.34079999999999999</v>
      </c>
      <c r="C113" s="3">
        <f>-(A113+4.66)/27.2114</f>
        <v>-0.18595147621952565</v>
      </c>
      <c r="D113" s="9">
        <v>413.06000499999999</v>
      </c>
      <c r="E113" s="8">
        <v>-1290.5620093386599</v>
      </c>
      <c r="F113" s="7">
        <f t="shared" si="22"/>
        <v>-35117.695435618007</v>
      </c>
      <c r="G113" s="8">
        <f t="shared" ref="G113:G114" si="23">(F113+$D$65/2-1*A113)-(F78+$D$69)+$B$5+$D$108-0.0592*$B$72</f>
        <v>-0.14887301352755733</v>
      </c>
    </row>
    <row r="114" spans="1:7" x14ac:dyDescent="0.25">
      <c r="A114" s="2">
        <v>0</v>
      </c>
      <c r="B114" s="7">
        <f t="shared" si="21"/>
        <v>-5.9200000000000003E-2</v>
      </c>
      <c r="C114" s="3">
        <f>-(A114+4.66)/27.2114</f>
        <v>-0.17125175477924692</v>
      </c>
      <c r="D114" s="9">
        <v>413.49363499999998</v>
      </c>
      <c r="E114" s="8">
        <v>-1290.6392924352799</v>
      </c>
      <c r="F114" s="7">
        <f t="shared" si="22"/>
        <v>-35117.801703073375</v>
      </c>
      <c r="G114" s="8">
        <f t="shared" si="23"/>
        <v>0.18084331143145116</v>
      </c>
    </row>
    <row r="117" spans="1:7" x14ac:dyDescent="0.25">
      <c r="A117" s="2" t="s">
        <v>3</v>
      </c>
      <c r="B117" s="2">
        <v>403</v>
      </c>
      <c r="C117" s="5" t="s">
        <v>96</v>
      </c>
      <c r="D117" s="2">
        <v>0.222</v>
      </c>
    </row>
    <row r="118" spans="1:7" x14ac:dyDescent="0.25">
      <c r="A118" s="73" t="s">
        <v>323</v>
      </c>
      <c r="B118" s="74"/>
      <c r="C118" s="74"/>
      <c r="D118" s="74"/>
      <c r="E118" s="74"/>
      <c r="F118" s="75"/>
      <c r="G118" s="2" t="s">
        <v>31</v>
      </c>
    </row>
    <row r="119" spans="1:7" x14ac:dyDescent="0.25">
      <c r="A119" s="4" t="s">
        <v>1</v>
      </c>
      <c r="B119" s="4" t="s">
        <v>100</v>
      </c>
      <c r="C119" s="4" t="s">
        <v>0</v>
      </c>
      <c r="D119" s="5" t="s">
        <v>2</v>
      </c>
      <c r="E119" s="5" t="s">
        <v>4</v>
      </c>
      <c r="F119" s="4" t="s">
        <v>5</v>
      </c>
      <c r="G119" s="6" t="s">
        <v>7</v>
      </c>
    </row>
    <row r="120" spans="1:7" x14ac:dyDescent="0.25">
      <c r="A120" s="7">
        <f>-C120*27.2114-4.66</f>
        <v>0.52235866642079998</v>
      </c>
      <c r="B120" s="7">
        <f>A120-0.0592*$B$17</f>
        <v>0.46315866642079995</v>
      </c>
      <c r="C120" s="1">
        <v>-0.190448072</v>
      </c>
      <c r="D120" s="9">
        <v>403</v>
      </c>
      <c r="E120" s="8">
        <v>-1265.1497962333899</v>
      </c>
      <c r="F120" s="7">
        <f>(E120-(D120-$B$117)*C120)*27.2114</f>
        <v>-34426.497165225264</v>
      </c>
      <c r="G120" s="42"/>
    </row>
    <row r="121" spans="1:7" x14ac:dyDescent="0.25">
      <c r="A121" s="2">
        <v>0.8</v>
      </c>
      <c r="B121" s="7">
        <f t="shared" ref="B121:B123" si="24">A121-0.0592*$B$17</f>
        <v>0.74080000000000001</v>
      </c>
      <c r="C121" s="3">
        <f>-(A121+4.66)/27.2114</f>
        <v>-0.20065119765980433</v>
      </c>
      <c r="D121" s="9">
        <v>402.68687399999999</v>
      </c>
      <c r="E121" s="8">
        <v>-1265.08859928893</v>
      </c>
      <c r="F121" s="7">
        <f t="shared" ref="F121:F123" si="25">(E121-(D121-$B$117)*C121)*27.2114</f>
        <v>-34426.541578650787</v>
      </c>
      <c r="G121" s="8">
        <f>(F121+1/2*$D$65-1*A121)-(F77 + $D$67)+$D$117-0.0592*$B$72 + $E$2</f>
        <v>-0.25509509807506259</v>
      </c>
    </row>
    <row r="122" spans="1:7" x14ac:dyDescent="0.25">
      <c r="A122" s="1">
        <v>0.4</v>
      </c>
      <c r="B122" s="7">
        <f t="shared" si="24"/>
        <v>0.34079999999999999</v>
      </c>
      <c r="C122" s="3">
        <f>-(A122+4.66)/27.2114</f>
        <v>-0.18595147621952565</v>
      </c>
      <c r="D122" s="9">
        <v>403.15683200000001</v>
      </c>
      <c r="E122" s="8">
        <v>-1265.1793294813699</v>
      </c>
      <c r="F122" s="7">
        <f t="shared" si="25"/>
        <v>-34426.507236329351</v>
      </c>
      <c r="G122" s="8">
        <f t="shared" ref="G122:G123" si="26">(F122+1/2*$D$65-1*A122)-(F78 + $D$67)+$D$117-0.0592*$B$72 + $E$2</f>
        <v>6.3909787806378127E-2</v>
      </c>
    </row>
    <row r="123" spans="1:7" x14ac:dyDescent="0.25">
      <c r="A123" s="2">
        <v>0</v>
      </c>
      <c r="B123" s="7">
        <f t="shared" si="24"/>
        <v>-5.9200000000000003E-2</v>
      </c>
      <c r="C123" s="3">
        <f>-(A123+4.66)/27.2114</f>
        <v>-0.17125175477924692</v>
      </c>
      <c r="D123" s="9">
        <v>403.71502700000002</v>
      </c>
      <c r="E123" s="8">
        <v>-1265.27913521965</v>
      </c>
      <c r="F123" s="7">
        <f t="shared" si="25"/>
        <v>-34426.684634295991</v>
      </c>
      <c r="G123" s="8">
        <f t="shared" si="26"/>
        <v>0.32249560149449241</v>
      </c>
    </row>
    <row r="126" spans="1:7" x14ac:dyDescent="0.25">
      <c r="A126" s="2" t="s">
        <v>3</v>
      </c>
      <c r="B126" s="2">
        <v>397</v>
      </c>
      <c r="C126" s="5" t="s">
        <v>96</v>
      </c>
      <c r="D126" s="2">
        <v>0.13700000000000001</v>
      </c>
    </row>
    <row r="127" spans="1:7" x14ac:dyDescent="0.25">
      <c r="A127" s="73" t="s">
        <v>324</v>
      </c>
      <c r="B127" s="74"/>
      <c r="C127" s="74"/>
      <c r="D127" s="74"/>
      <c r="E127" s="74"/>
      <c r="F127" s="75"/>
      <c r="G127" s="2" t="s">
        <v>31</v>
      </c>
    </row>
    <row r="128" spans="1:7" x14ac:dyDescent="0.25">
      <c r="A128" s="4" t="s">
        <v>1</v>
      </c>
      <c r="B128" s="4" t="s">
        <v>100</v>
      </c>
      <c r="C128" s="4" t="s">
        <v>0</v>
      </c>
      <c r="D128" s="5" t="s">
        <v>2</v>
      </c>
      <c r="E128" s="5" t="s">
        <v>4</v>
      </c>
      <c r="F128" s="4" t="s">
        <v>5</v>
      </c>
      <c r="G128" s="6" t="s">
        <v>7</v>
      </c>
    </row>
    <row r="129" spans="1:7" x14ac:dyDescent="0.25">
      <c r="A129" s="7">
        <f>-C129*27.2114-4.66</f>
        <v>0.26242337339339983</v>
      </c>
      <c r="B129" s="7">
        <f>A129-0.0592*$B$17</f>
        <v>0.20322337339339983</v>
      </c>
      <c r="C129" s="1">
        <v>-0.180895631</v>
      </c>
      <c r="D129" s="9">
        <v>397</v>
      </c>
      <c r="E129" s="8">
        <v>-1249.0876411012</v>
      </c>
      <c r="F129" s="7">
        <f>(E129-(D129-$B$126)*C129)*27.2114</f>
        <v>-33989.423437061196</v>
      </c>
      <c r="G129" s="42"/>
    </row>
    <row r="130" spans="1:7" x14ac:dyDescent="0.25">
      <c r="A130" s="2">
        <v>0.8</v>
      </c>
      <c r="B130" s="7">
        <f t="shared" ref="B130:B132" si="27">A130-0.0592*$B$17</f>
        <v>0.74080000000000001</v>
      </c>
      <c r="C130" s="3">
        <f>-(A130+4.66)/27.2114</f>
        <v>-0.20065119765980433</v>
      </c>
      <c r="D130" s="9">
        <v>396.51151700000003</v>
      </c>
      <c r="E130" s="8">
        <v>-1248.99441203942</v>
      </c>
      <c r="F130" s="7">
        <f t="shared" ref="F130:F132" si="28">(E130-(D130-$B$126)*C130)*27.2114</f>
        <v>-33989.553660949474</v>
      </c>
      <c r="G130" s="8">
        <f>(F130)-(F77+$D$65/2-1*A130)+$D$126-0.0592*$B$72</f>
        <v>0.94646431870688685</v>
      </c>
    </row>
    <row r="131" spans="1:7" x14ac:dyDescent="0.25">
      <c r="A131" s="1">
        <v>0.4</v>
      </c>
      <c r="B131" s="7">
        <f t="shared" si="27"/>
        <v>0.34079999999999999</v>
      </c>
      <c r="C131" s="3">
        <f>-(A131+4.66)/27.2114</f>
        <v>-0.18595147621952565</v>
      </c>
      <c r="D131" s="9">
        <v>396.87757099999999</v>
      </c>
      <c r="E131" s="8">
        <v>-1249.06518378233</v>
      </c>
      <c r="F131" s="7">
        <f t="shared" si="28"/>
        <v>-33989.431832714501</v>
      </c>
      <c r="G131" s="8">
        <f t="shared" ref="G131:G132" si="29">(F131)-(F78+$D$65/2-1*A131)+$D$126-0.0592*$B$72</f>
        <v>0.55295511812192855</v>
      </c>
    </row>
    <row r="132" spans="1:7" x14ac:dyDescent="0.25">
      <c r="A132" s="2">
        <v>0</v>
      </c>
      <c r="B132" s="7">
        <f t="shared" si="27"/>
        <v>-5.9200000000000003E-2</v>
      </c>
      <c r="C132" s="3">
        <f>-(A132+4.66)/27.2114</f>
        <v>-0.17125175477924692</v>
      </c>
      <c r="D132" s="9">
        <v>397.29195199999998</v>
      </c>
      <c r="E132" s="8">
        <v>-1249.13893107073</v>
      </c>
      <c r="F132" s="7">
        <f t="shared" si="28"/>
        <v>-33989.458612618066</v>
      </c>
      <c r="G132" s="8">
        <f t="shared" si="29"/>
        <v>0.16215899488207652</v>
      </c>
    </row>
    <row r="135" spans="1:7" x14ac:dyDescent="0.25">
      <c r="A135" s="2" t="s">
        <v>3</v>
      </c>
      <c r="B135" s="2">
        <v>403</v>
      </c>
      <c r="C135" s="5" t="s">
        <v>96</v>
      </c>
      <c r="D135" s="2">
        <v>-7.5999999999999998E-2</v>
      </c>
      <c r="E135" s="5" t="s">
        <v>186</v>
      </c>
      <c r="F135" s="2">
        <v>1.36</v>
      </c>
    </row>
    <row r="136" spans="1:7" x14ac:dyDescent="0.25">
      <c r="A136" s="73" t="s">
        <v>325</v>
      </c>
      <c r="B136" s="74"/>
      <c r="C136" s="74"/>
      <c r="D136" s="74"/>
      <c r="E136" s="74"/>
      <c r="F136" s="75"/>
      <c r="G136" s="2" t="s">
        <v>31</v>
      </c>
    </row>
    <row r="137" spans="1:7" x14ac:dyDescent="0.25">
      <c r="A137" s="4" t="s">
        <v>1</v>
      </c>
      <c r="B137" s="4" t="s">
        <v>100</v>
      </c>
      <c r="C137" s="4" t="s">
        <v>0</v>
      </c>
      <c r="D137" s="5" t="s">
        <v>2</v>
      </c>
      <c r="E137" s="5" t="s">
        <v>4</v>
      </c>
      <c r="F137" s="4" t="s">
        <v>5</v>
      </c>
      <c r="G137" s="6" t="s">
        <v>7</v>
      </c>
    </row>
    <row r="138" spans="1:7" x14ac:dyDescent="0.25">
      <c r="A138" s="7">
        <f>-C138*27.2114-4.66</f>
        <v>0.4106101270574003</v>
      </c>
      <c r="B138" s="7">
        <f>A138-0.0592*$B$17</f>
        <v>0.35141012705740027</v>
      </c>
      <c r="C138" s="1">
        <v>-0.186341391</v>
      </c>
      <c r="D138" s="9">
        <v>403</v>
      </c>
      <c r="E138" s="8">
        <v>-1263.56569744065</v>
      </c>
      <c r="F138" s="7">
        <f>(E138-(D138-$B$135)*C138)*27.2114</f>
        <v>-34383.3916193365</v>
      </c>
      <c r="G138" s="42"/>
    </row>
    <row r="139" spans="1:7" x14ac:dyDescent="0.25">
      <c r="A139" s="2">
        <v>0.8</v>
      </c>
      <c r="B139" s="7">
        <f t="shared" ref="B139:B141" si="30">A139-0.0592*$B$17</f>
        <v>0.74080000000000001</v>
      </c>
      <c r="C139" s="3">
        <f>-(A139+4.66)/27.2114</f>
        <v>-0.20065119765980433</v>
      </c>
      <c r="D139" s="9">
        <v>402.62076300000001</v>
      </c>
      <c r="E139" s="8">
        <v>-1263.4923646687801</v>
      </c>
      <c r="F139" s="7">
        <f t="shared" ref="F139:F141" si="31">(E139-(D139-$B$135)*C139)*27.2114</f>
        <v>-34383.466765968049</v>
      </c>
      <c r="G139" s="8">
        <f>(F139+1*($F$135-A139)) - (F77+$J$65/2) + $D$135</f>
        <v>-0.25607028449937935</v>
      </c>
    </row>
    <row r="140" spans="1:7" x14ac:dyDescent="0.25">
      <c r="A140" s="1">
        <v>0.4</v>
      </c>
      <c r="B140" s="7">
        <f t="shared" si="30"/>
        <v>0.34079999999999999</v>
      </c>
      <c r="C140" s="3">
        <f>-(A140+4.66)/27.2114</f>
        <v>-0.18595147621952565</v>
      </c>
      <c r="D140" s="9">
        <v>403.00894599999998</v>
      </c>
      <c r="E140" s="8">
        <v>-1263.5673627645201</v>
      </c>
      <c r="F140" s="7">
        <f t="shared" si="31"/>
        <v>-34383.391668370467</v>
      </c>
      <c r="G140" s="8">
        <f t="shared" ref="G140:G141" si="32">(F140+1*($F$135-A140)) - (F78+$J$65/2) + $D$135</f>
        <v>0.1036898775282898</v>
      </c>
    </row>
    <row r="141" spans="1:7" x14ac:dyDescent="0.25">
      <c r="A141" s="2">
        <v>0</v>
      </c>
      <c r="B141" s="7">
        <f t="shared" si="30"/>
        <v>-5.9200000000000003E-2</v>
      </c>
      <c r="C141" s="3">
        <f>-(A141+4.66)/27.2114</f>
        <v>-0.17125175477924692</v>
      </c>
      <c r="D141" s="9">
        <v>403.48063200000001</v>
      </c>
      <c r="E141" s="8">
        <v>-1263.6513865772699</v>
      </c>
      <c r="F141" s="7">
        <f t="shared" si="31"/>
        <v>-34383.483595588725</v>
      </c>
      <c r="G141" s="8">
        <f t="shared" si="32"/>
        <v>0.44774643959774402</v>
      </c>
    </row>
    <row r="144" spans="1:7" x14ac:dyDescent="0.25">
      <c r="A144" s="2" t="s">
        <v>3</v>
      </c>
      <c r="B144" s="2">
        <v>426</v>
      </c>
      <c r="C144" s="5" t="s">
        <v>96</v>
      </c>
      <c r="D144" s="2">
        <v>0.25700000000000001</v>
      </c>
      <c r="E144" s="5" t="s">
        <v>186</v>
      </c>
      <c r="F144" s="2">
        <v>9.9000000000000005E-2</v>
      </c>
    </row>
    <row r="145" spans="1:7" x14ac:dyDescent="0.25">
      <c r="A145" s="73" t="s">
        <v>326</v>
      </c>
      <c r="B145" s="74"/>
      <c r="C145" s="74"/>
      <c r="D145" s="74"/>
      <c r="E145" s="74"/>
      <c r="F145" s="75"/>
      <c r="G145" s="2" t="s">
        <v>31</v>
      </c>
    </row>
    <row r="146" spans="1:7" x14ac:dyDescent="0.25">
      <c r="A146" s="4" t="s">
        <v>1</v>
      </c>
      <c r="B146" s="4" t="s">
        <v>100</v>
      </c>
      <c r="C146" s="4" t="s">
        <v>0</v>
      </c>
      <c r="D146" s="5" t="s">
        <v>2</v>
      </c>
      <c r="E146" s="5" t="s">
        <v>4</v>
      </c>
      <c r="F146" s="4" t="s">
        <v>5</v>
      </c>
      <c r="G146" s="6" t="s">
        <v>7</v>
      </c>
    </row>
    <row r="147" spans="1:7" x14ac:dyDescent="0.25">
      <c r="A147" s="7">
        <f>-C147*27.2114-4.66</f>
        <v>1.0884036784848004</v>
      </c>
      <c r="B147" s="7">
        <f>A147-0.0592*$B$17</f>
        <v>1.0292036784848004</v>
      </c>
      <c r="C147" s="1">
        <v>-0.211249832</v>
      </c>
      <c r="D147" s="9">
        <v>426</v>
      </c>
      <c r="E147" s="8">
        <v>-1323.0741374508</v>
      </c>
      <c r="F147" s="7">
        <f>(E147-(D147-$B$144)*C147)*27.2114</f>
        <v>-36002.699583828697</v>
      </c>
      <c r="G147" s="42"/>
    </row>
    <row r="148" spans="1:7" x14ac:dyDescent="0.25">
      <c r="A148" s="2">
        <v>0.8</v>
      </c>
      <c r="B148" s="7">
        <f t="shared" ref="B148:B150" si="33">A148-0.0592*$B$17</f>
        <v>0.74080000000000001</v>
      </c>
      <c r="C148" s="3">
        <f>-(A148+4.66)/27.2114</f>
        <v>-0.20065119765980433</v>
      </c>
      <c r="D148" s="9">
        <v>426.31763599999999</v>
      </c>
      <c r="E148" s="8">
        <v>-1323.13966560326</v>
      </c>
      <c r="F148" s="7">
        <f t="shared" ref="F148:F150" si="34">(E148-(D148-$B$144)*C148)*27.2114</f>
        <v>-36002.748404036545</v>
      </c>
      <c r="G148" s="8">
        <f>(F148+2*$D$65-2*(A148+$F$144))-(F77 + $J$66+'Exp. thermo'!$C$64/96.49 + 2*$D$67-2*'Exp. thermo'!$G$6/96.49+2*'Exp. thermo'!$B$71/96.49)+$D$144-0.0592*$B$72-'Exp. thermo'!$C$41/96.49</f>
        <v>0.16648290848768352</v>
      </c>
    </row>
    <row r="149" spans="1:7" x14ac:dyDescent="0.25">
      <c r="A149" s="1">
        <v>0.4</v>
      </c>
      <c r="B149" s="7">
        <f t="shared" si="33"/>
        <v>0.34079999999999999</v>
      </c>
      <c r="C149" s="3">
        <f>-(A149+4.66)/27.2114</f>
        <v>-0.18595147621952565</v>
      </c>
      <c r="D149" s="9">
        <v>426.77075600000001</v>
      </c>
      <c r="E149" s="8">
        <v>-1323.2274322262299</v>
      </c>
      <c r="F149" s="7">
        <f t="shared" si="34"/>
        <v>-36002.970923920839</v>
      </c>
      <c r="G149" s="8">
        <f>(F149+2*$D$65-2*(A149+$F$144))-(F78 + $J$66+'Exp. thermo'!$C$64/96.49 + 2*$D$67-2*'Exp. thermo'!$G$6/96.49+2*'Exp. thermo'!$B$71/96.49)+$D$144-0.0592*$B$72-'Exp. thermo'!$C$41/96.49</f>
        <v>0.62862558863360007</v>
      </c>
    </row>
    <row r="150" spans="1:7" x14ac:dyDescent="0.25">
      <c r="A150" s="2">
        <v>0</v>
      </c>
      <c r="B150" s="7">
        <f t="shared" si="33"/>
        <v>-5.9200000000000003E-2</v>
      </c>
      <c r="C150" s="3">
        <f>-(A150+4.66)/27.2114</f>
        <v>-0.17125175477924692</v>
      </c>
      <c r="D150" s="9">
        <v>427.28731599999998</v>
      </c>
      <c r="E150" s="8">
        <v>-1323.3195285950501</v>
      </c>
      <c r="F150" s="7">
        <f t="shared" si="34"/>
        <v>-36003.378127851349</v>
      </c>
      <c r="G150" s="8">
        <f>(F150+2*$D$65-2*(A150+$F$144))-(F79 + $J$66+'Exp. thermo'!$C$64/96.49 + 2*$D$67-2*'Exp. thermo'!$G$6/96.49+2*'Exp. thermo'!$B$71/96.49)+$D$144-0.0592*$B$72-'Exp. thermo'!$C$41/96.49</f>
        <v>1.057405438452566</v>
      </c>
    </row>
    <row r="153" spans="1:7" x14ac:dyDescent="0.25">
      <c r="A153" s="2" t="s">
        <v>3</v>
      </c>
      <c r="B153" s="2">
        <v>425</v>
      </c>
      <c r="C153" s="5" t="s">
        <v>96</v>
      </c>
      <c r="D153" s="2">
        <v>0.25900000000000001</v>
      </c>
      <c r="E153" s="5" t="s">
        <v>186</v>
      </c>
      <c r="F153" s="2">
        <v>-0.26900000000000002</v>
      </c>
    </row>
    <row r="154" spans="1:7" x14ac:dyDescent="0.25">
      <c r="A154" s="73" t="s">
        <v>327</v>
      </c>
      <c r="B154" s="74"/>
      <c r="C154" s="74"/>
      <c r="D154" s="74"/>
      <c r="E154" s="74"/>
      <c r="F154" s="75"/>
      <c r="G154" s="2" t="s">
        <v>31</v>
      </c>
    </row>
    <row r="155" spans="1:7" x14ac:dyDescent="0.25">
      <c r="A155" s="4" t="s">
        <v>1</v>
      </c>
      <c r="B155" s="4" t="s">
        <v>100</v>
      </c>
      <c r="C155" s="4" t="s">
        <v>0</v>
      </c>
      <c r="D155" s="5" t="s">
        <v>2</v>
      </c>
      <c r="E155" s="5" t="s">
        <v>4</v>
      </c>
      <c r="F155" s="4" t="s">
        <v>5</v>
      </c>
      <c r="G155" s="6" t="s">
        <v>7</v>
      </c>
    </row>
    <row r="156" spans="1:7" x14ac:dyDescent="0.25">
      <c r="A156" s="7">
        <f>-C156*27.2114-4.66</f>
        <v>1.3487459996334001</v>
      </c>
      <c r="B156" s="7">
        <f>A156-0.0592*$B$17</f>
        <v>1.2895459996334002</v>
      </c>
      <c r="C156" s="1">
        <v>-0.220817231</v>
      </c>
      <c r="D156" s="9">
        <v>425</v>
      </c>
      <c r="E156" s="8">
        <v>-1319.5063045080401</v>
      </c>
      <c r="F156" s="7">
        <f>(E156-(D156-$B$153)*C156)*27.2114</f>
        <v>-35905.613854490082</v>
      </c>
      <c r="G156" s="42"/>
    </row>
    <row r="157" spans="1:7" x14ac:dyDescent="0.25">
      <c r="A157" s="2">
        <v>0.8</v>
      </c>
      <c r="B157" s="7">
        <f t="shared" ref="B157:B159" si="35">A157-0.0592*$B$17</f>
        <v>0.74080000000000001</v>
      </c>
      <c r="C157" s="3">
        <f>-(A157+4.66)/27.2114</f>
        <v>-0.20065119765980433</v>
      </c>
      <c r="D157" s="9">
        <v>425.599602</v>
      </c>
      <c r="E157" s="8">
        <v>-1319.6326580243201</v>
      </c>
      <c r="F157" s="7">
        <f t="shared" ref="F157:F159" si="36">(E157-(D157-$B$153)*C157)*27.2114</f>
        <v>-35905.778283642983</v>
      </c>
      <c r="G157" s="8">
        <f>(F157+11/2*$D$65-3*A157-8*$F$153)-(F77 + $J$67 + 4*$D$67-4*'Exp. thermo'!$G$6/96.49+4*'Exp. thermo'!$B$71/96.49)+$D$153-0.0592*$B$72 + $E$3</f>
        <v>-0.19452366953155642</v>
      </c>
    </row>
    <row r="158" spans="1:7" x14ac:dyDescent="0.25">
      <c r="A158" s="1">
        <v>0.4</v>
      </c>
      <c r="B158" s="7">
        <f t="shared" si="35"/>
        <v>0.34079999999999999</v>
      </c>
      <c r="C158" s="3">
        <f>-(A158+4.66)/27.2114</f>
        <v>-0.18595147621952565</v>
      </c>
      <c r="D158" s="9">
        <v>426.06243799999999</v>
      </c>
      <c r="E158" s="8">
        <v>-1319.72208872891</v>
      </c>
      <c r="F158" s="7">
        <f t="shared" si="36"/>
        <v>-35906.109708957862</v>
      </c>
      <c r="G158" s="8">
        <f>(F158+11/2*$D$65-3*A158-8*$F$153)-(F78 + $J$67 + 4*$D$67-4*'Exp. thermo'!$G$6/96.49+4*'Exp. thermo'!$B$71/96.49)+$D$153-0.0592*$B$72 + $E$3</f>
        <v>0.55871358003823635</v>
      </c>
    </row>
    <row r="159" spans="1:7" x14ac:dyDescent="0.25">
      <c r="A159" s="2">
        <v>0</v>
      </c>
      <c r="B159" s="7">
        <f t="shared" si="35"/>
        <v>-5.9200000000000003E-2</v>
      </c>
      <c r="C159" s="3">
        <f>-(A159+4.66)/27.2114</f>
        <v>-0.17125175477924692</v>
      </c>
      <c r="D159" s="9">
        <v>426.62038200000001</v>
      </c>
      <c r="E159" s="8">
        <v>-1319.82150865565</v>
      </c>
      <c r="F159" s="7">
        <f t="shared" si="36"/>
        <v>-35906.640020512357</v>
      </c>
      <c r="G159" s="8">
        <f>(F159+11/2*$D$65-3*A159-8*$F$153)-(F79 + $J$67 + 4*$D$67-4*'Exp. thermo'!$G$6/96.49+4*'Exp. thermo'!$B$71/96.49)+$D$153-0.0592*$B$72 + $E$3</f>
        <v>1.2643858058658204</v>
      </c>
    </row>
    <row r="162" spans="1:7" x14ac:dyDescent="0.25">
      <c r="A162" s="2" t="s">
        <v>3</v>
      </c>
      <c r="B162" s="2">
        <v>419</v>
      </c>
      <c r="C162" s="5" t="s">
        <v>96</v>
      </c>
      <c r="D162" s="2">
        <v>1.1180000000000001</v>
      </c>
    </row>
    <row r="163" spans="1:7" x14ac:dyDescent="0.25">
      <c r="A163" s="73" t="s">
        <v>328</v>
      </c>
      <c r="B163" s="74"/>
      <c r="C163" s="74"/>
      <c r="D163" s="74"/>
      <c r="E163" s="74"/>
      <c r="F163" s="75"/>
      <c r="G163" s="2" t="s">
        <v>31</v>
      </c>
    </row>
    <row r="164" spans="1:7" x14ac:dyDescent="0.25">
      <c r="A164" s="4" t="s">
        <v>1</v>
      </c>
      <c r="B164" s="4" t="s">
        <v>100</v>
      </c>
      <c r="C164" s="4" t="s">
        <v>0</v>
      </c>
      <c r="D164" s="5" t="s">
        <v>2</v>
      </c>
      <c r="E164" s="5" t="s">
        <v>4</v>
      </c>
      <c r="F164" s="4" t="s">
        <v>5</v>
      </c>
      <c r="G164" s="6" t="s">
        <v>7</v>
      </c>
    </row>
    <row r="165" spans="1:7" x14ac:dyDescent="0.25">
      <c r="A165" s="7">
        <f>-C165*27.2114-4.66</f>
        <v>0.32828162818639939</v>
      </c>
      <c r="B165" s="7">
        <f>A165-0.0592*$B$17</f>
        <v>0.26908162818639936</v>
      </c>
      <c r="C165" s="1">
        <v>-0.18331587599999999</v>
      </c>
      <c r="D165" s="9">
        <v>419</v>
      </c>
      <c r="E165" s="8">
        <v>-1293.8703815679401</v>
      </c>
      <c r="F165" s="7">
        <f>(E165-(D165-$B$162)*C165)*27.2114</f>
        <v>-35208.024500997846</v>
      </c>
      <c r="G165" s="42"/>
    </row>
    <row r="166" spans="1:7" x14ac:dyDescent="0.25">
      <c r="A166" s="2">
        <v>0.8</v>
      </c>
      <c r="B166" s="7">
        <f t="shared" ref="B166:B168" si="37">A166-0.0592*$B$17</f>
        <v>0.74080000000000001</v>
      </c>
      <c r="C166" s="3">
        <f>-(A166+4.66)/27.2114</f>
        <v>-0.20065119765980433</v>
      </c>
      <c r="D166" s="9">
        <v>418.56659200000001</v>
      </c>
      <c r="E166" s="8">
        <v>-1293.7872110650601</v>
      </c>
      <c r="F166" s="7">
        <f t="shared" ref="F166:F168" si="38">(E166-(D166-$B$162)*C166)*27.2114</f>
        <v>-35208.127722855781</v>
      </c>
      <c r="G166" s="8">
        <f>(F166+$D$65/2-1*A166)-(F77+$J$68)+$E$4+$D$162-0.0592*$B$72</f>
        <v>-0.33734417468041555</v>
      </c>
    </row>
    <row r="167" spans="1:7" x14ac:dyDescent="0.25">
      <c r="A167" s="1">
        <v>0.4</v>
      </c>
      <c r="B167" s="7">
        <f t="shared" si="37"/>
        <v>0.34079999999999999</v>
      </c>
      <c r="C167" s="3">
        <f>-(A167+4.66)/27.2114</f>
        <v>-0.18595147621952565</v>
      </c>
      <c r="D167" s="9">
        <v>418.935091</v>
      </c>
      <c r="E167" s="8">
        <v>-1293.8583998225499</v>
      </c>
      <c r="F167" s="7">
        <f t="shared" si="38"/>
        <v>-35208.026900471334</v>
      </c>
      <c r="G167" s="8">
        <f t="shared" ref="G167:G168" si="39">(F167+$D$65/2-1*A167)-(F78+$J$68)+$E$4+$D$162-0.0592*$B$72</f>
        <v>4.8140774212138249E-2</v>
      </c>
    </row>
    <row r="168" spans="1:7" x14ac:dyDescent="0.25">
      <c r="A168" s="2">
        <v>0</v>
      </c>
      <c r="B168" s="7">
        <f t="shared" si="37"/>
        <v>-5.9200000000000003E-2</v>
      </c>
      <c r="C168" s="3">
        <f>-(A168+4.66)/27.2114</f>
        <v>-0.17125175477924692</v>
      </c>
      <c r="D168" s="9">
        <v>419.357889</v>
      </c>
      <c r="E168" s="8">
        <v>-1293.9337696290299</v>
      </c>
      <c r="F168" s="7">
        <f t="shared" si="38"/>
        <v>-35208.08161614339</v>
      </c>
      <c r="G168" s="8">
        <f t="shared" si="39"/>
        <v>0.429408882483026</v>
      </c>
    </row>
    <row r="171" spans="1:7" x14ac:dyDescent="0.25">
      <c r="A171" s="2" t="s">
        <v>3</v>
      </c>
      <c r="B171" s="2">
        <v>437</v>
      </c>
      <c r="C171" s="5" t="s">
        <v>96</v>
      </c>
      <c r="D171" s="2">
        <v>0.27</v>
      </c>
    </row>
    <row r="172" spans="1:7" x14ac:dyDescent="0.25">
      <c r="A172" s="73" t="s">
        <v>374</v>
      </c>
      <c r="B172" s="74"/>
      <c r="C172" s="74"/>
      <c r="D172" s="74"/>
      <c r="E172" s="74"/>
      <c r="F172" s="75"/>
      <c r="G172" s="2" t="s">
        <v>31</v>
      </c>
    </row>
    <row r="173" spans="1:7" x14ac:dyDescent="0.25">
      <c r="A173" s="4" t="s">
        <v>1</v>
      </c>
      <c r="B173" s="4" t="s">
        <v>100</v>
      </c>
      <c r="C173" s="4" t="s">
        <v>0</v>
      </c>
      <c r="D173" s="5" t="s">
        <v>2</v>
      </c>
      <c r="E173" s="5" t="s">
        <v>4</v>
      </c>
      <c r="F173" s="4" t="s">
        <v>5</v>
      </c>
      <c r="G173" s="6" t="s">
        <v>7</v>
      </c>
    </row>
    <row r="174" spans="1:7" x14ac:dyDescent="0.25">
      <c r="A174" s="7">
        <f>-C174*27.2114-4.66</f>
        <v>0.54856441471099959</v>
      </c>
      <c r="B174" s="7">
        <f>A174-0.0592*$B$17</f>
        <v>0.48936441471099956</v>
      </c>
      <c r="C174" s="1">
        <v>-0.19141111499999999</v>
      </c>
      <c r="D174" s="9">
        <v>437</v>
      </c>
      <c r="E174" s="8">
        <v>-1337.17159053055</v>
      </c>
      <c r="F174" s="7">
        <f>(E174-(D174-$B$171)*C174)*27.2114</f>
        <v>-36386.311018563014</v>
      </c>
      <c r="G174" s="42"/>
    </row>
    <row r="175" spans="1:7" x14ac:dyDescent="0.25">
      <c r="A175" s="2">
        <v>0.8</v>
      </c>
      <c r="B175" s="7">
        <f t="shared" ref="B175:B177" si="40">A175-0.0592*$B$17</f>
        <v>0.74080000000000001</v>
      </c>
      <c r="C175" s="3">
        <f>-(A175+4.66)/27.2114</f>
        <v>-0.20065119765980433</v>
      </c>
      <c r="D175" s="9">
        <v>436.787643</v>
      </c>
      <c r="E175" s="8">
        <v>-1337.1299650338799</v>
      </c>
      <c r="F175" s="7">
        <f t="shared" ref="F175:F177" si="41">(E175-(D175-$B$171)*C175)*27.2114</f>
        <v>-36386.33779974292</v>
      </c>
      <c r="G175" s="8">
        <f>(F175+$D$65/2-1*A175)-(F77+$J$69)+$E$5+$D$171-0.0592*$B$72</f>
        <v>5.1065728691721379E-2</v>
      </c>
    </row>
    <row r="176" spans="1:7" x14ac:dyDescent="0.25">
      <c r="A176" s="1">
        <v>0.4</v>
      </c>
      <c r="B176" s="7">
        <f t="shared" si="40"/>
        <v>0.34079999999999999</v>
      </c>
      <c r="C176" s="3">
        <f>-(A176+4.66)/27.2114</f>
        <v>-0.18595147621952565</v>
      </c>
      <c r="D176" s="9">
        <v>437.11993799999999</v>
      </c>
      <c r="E176" s="8">
        <v>-1337.1942250996001</v>
      </c>
      <c r="F176" s="7">
        <f t="shared" si="41"/>
        <v>-36386.320050595255</v>
      </c>
      <c r="G176" s="8">
        <f t="shared" ref="G176:G177" si="42">(F176+$D$65/2-1*A176)-(F78+$J$69)+$E$5+$D$171-0.0592*$B$72</f>
        <v>0.35347744080118187</v>
      </c>
    </row>
    <row r="177" spans="1:7" x14ac:dyDescent="0.25">
      <c r="A177" s="2">
        <v>0</v>
      </c>
      <c r="B177" s="7">
        <f t="shared" si="40"/>
        <v>-5.9200000000000003E-2</v>
      </c>
      <c r="C177" s="3">
        <f>-(A177+4.66)/27.2114</f>
        <v>-0.17125175477924692</v>
      </c>
      <c r="D177" s="9">
        <v>437.47886799999998</v>
      </c>
      <c r="E177" s="8">
        <v>-1337.25835211003</v>
      </c>
      <c r="F177" s="7">
        <f t="shared" si="41"/>
        <v>-36386.440397726874</v>
      </c>
      <c r="G177" s="8">
        <f t="shared" si="42"/>
        <v>0.6691140895103691</v>
      </c>
    </row>
  </sheetData>
  <mergeCells count="21">
    <mergeCell ref="B7:E7"/>
    <mergeCell ref="B62:E62"/>
    <mergeCell ref="C70:D70"/>
    <mergeCell ref="A74:F74"/>
    <mergeCell ref="A54:F54"/>
    <mergeCell ref="A27:F27"/>
    <mergeCell ref="A36:F36"/>
    <mergeCell ref="A45:F45"/>
    <mergeCell ref="A19:F19"/>
    <mergeCell ref="A82:F82"/>
    <mergeCell ref="A91:F91"/>
    <mergeCell ref="A100:F100"/>
    <mergeCell ref="A109:F109"/>
    <mergeCell ref="C15:D15"/>
    <mergeCell ref="A172:F172"/>
    <mergeCell ref="A163:F163"/>
    <mergeCell ref="A118:F118"/>
    <mergeCell ref="A127:F127"/>
    <mergeCell ref="A136:F136"/>
    <mergeCell ref="A145:F145"/>
    <mergeCell ref="A154:F154"/>
  </mergeCells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12BEB-9D51-4240-BAED-4375517F2DC6}">
  <dimension ref="A1:H18"/>
  <sheetViews>
    <sheetView workbookViewId="0">
      <selection activeCell="K5" sqref="K5"/>
    </sheetView>
  </sheetViews>
  <sheetFormatPr defaultRowHeight="15" x14ac:dyDescent="0.25"/>
  <cols>
    <col min="1" max="1" width="15.85546875" customWidth="1"/>
    <col min="2" max="8" width="12.7109375" bestFit="1" customWidth="1"/>
  </cols>
  <sheetData>
    <row r="1" spans="1:8" x14ac:dyDescent="0.25">
      <c r="A1" s="43" t="s">
        <v>115</v>
      </c>
      <c r="B1" s="43" t="s">
        <v>52</v>
      </c>
      <c r="C1" s="43" t="s">
        <v>375</v>
      </c>
      <c r="D1" s="43" t="s">
        <v>80</v>
      </c>
      <c r="E1" s="43" t="s">
        <v>98</v>
      </c>
      <c r="F1" s="43" t="s">
        <v>376</v>
      </c>
      <c r="G1" s="43" t="s">
        <v>379</v>
      </c>
      <c r="H1" s="43" t="s">
        <v>271</v>
      </c>
    </row>
    <row r="2" spans="1:8" x14ac:dyDescent="0.25">
      <c r="A2" s="43" t="s">
        <v>18</v>
      </c>
      <c r="B2" s="43">
        <f>'Exp. thermo'!B25</f>
        <v>6.35</v>
      </c>
      <c r="C2" s="43">
        <f>'Exp. thermo'!B26</f>
        <v>10.3</v>
      </c>
      <c r="D2" s="43">
        <f>'Exp. thermo'!B29</f>
        <v>4.76</v>
      </c>
      <c r="E2" s="43">
        <f>'Exp. thermo'!B30</f>
        <v>3.83</v>
      </c>
      <c r="F2" s="43">
        <f>'Exp. thermo'!B32</f>
        <v>1.26</v>
      </c>
      <c r="G2" s="43">
        <v>-6.3</v>
      </c>
      <c r="H2" s="15">
        <v>14</v>
      </c>
    </row>
    <row r="3" spans="1:8" x14ac:dyDescent="0.25">
      <c r="A3" s="43" t="s">
        <v>402</v>
      </c>
      <c r="B3" s="43" t="s">
        <v>52</v>
      </c>
      <c r="C3" s="43" t="s">
        <v>375</v>
      </c>
      <c r="D3" s="43" t="s">
        <v>80</v>
      </c>
      <c r="E3" s="43" t="s">
        <v>98</v>
      </c>
      <c r="F3" s="43" t="s">
        <v>376</v>
      </c>
      <c r="G3" s="43" t="s">
        <v>379</v>
      </c>
      <c r="H3" s="43" t="s">
        <v>271</v>
      </c>
    </row>
    <row r="4" spans="1:8" x14ac:dyDescent="0.25">
      <c r="A4" s="43">
        <v>0.8</v>
      </c>
      <c r="B4">
        <f>'Pt(111)'!G161</f>
        <v>-0.62380345361949907</v>
      </c>
      <c r="C4">
        <f>'Pt(111)'!G170</f>
        <v>-1.0504233471647233</v>
      </c>
      <c r="D4" s="43">
        <f>'Pt(111)'!G204</f>
        <v>-0.91307453029404773</v>
      </c>
      <c r="E4" s="43">
        <f>'Pt(111)'!G213</f>
        <v>-0.86627112303388643</v>
      </c>
      <c r="F4" s="43">
        <f>'Pt(111)'!G231</f>
        <v>-0.50898678551353338</v>
      </c>
      <c r="G4" s="43">
        <f>'Pt(111)'!G303</f>
        <v>-0.56656066258088689</v>
      </c>
      <c r="H4" cm="1">
        <f t="array" ref="H4:H6">'Pt(111)'!G393:G395</f>
        <v>-0.75717052441301202</v>
      </c>
    </row>
    <row r="5" spans="1:8" x14ac:dyDescent="0.25">
      <c r="A5" s="43">
        <v>0.4</v>
      </c>
      <c r="B5">
        <f>'Pt(111)'!G162</f>
        <v>-0.19741813561765054</v>
      </c>
      <c r="C5">
        <f>'Pt(111)'!G171</f>
        <v>-0.470585416019275</v>
      </c>
      <c r="D5" s="43">
        <f>'Pt(111)'!G205</f>
        <v>-0.46446518273698079</v>
      </c>
      <c r="E5" s="43">
        <f>'Pt(111)'!G214</f>
        <v>-0.42692017312795727</v>
      </c>
      <c r="F5" s="43">
        <f>'Pt(111)'!G232</f>
        <v>-0.10588224041608452</v>
      </c>
      <c r="G5" s="43">
        <f>'Pt(111)'!G304</f>
        <v>-0.14342384574061726</v>
      </c>
      <c r="H5">
        <v>-0.37804509030807676</v>
      </c>
    </row>
    <row r="6" spans="1:8" x14ac:dyDescent="0.25">
      <c r="A6" s="43">
        <v>0</v>
      </c>
      <c r="B6">
        <f>'Pt(111)'!G163</f>
        <v>0.29740880214606835</v>
      </c>
      <c r="C6">
        <f>'Pt(111)'!G172</f>
        <v>0.17902916667753815</v>
      </c>
      <c r="D6" s="43">
        <f>'Pt(111)'!G206</f>
        <v>6.0779094626545849E-2</v>
      </c>
      <c r="E6" s="43">
        <f>'Pt(111)'!G215</f>
        <v>9.8318588361205883E-2</v>
      </c>
      <c r="F6" s="43">
        <f>'Pt(111)'!G233</f>
        <v>0.40821850784372254</v>
      </c>
      <c r="G6" s="43">
        <f>'Pt(111)'!G305</f>
        <v>0.34576267080032264</v>
      </c>
      <c r="H6">
        <v>-1.4871386732337122E-2</v>
      </c>
    </row>
    <row r="7" spans="1:8" x14ac:dyDescent="0.25">
      <c r="A7" s="43" t="s">
        <v>403</v>
      </c>
      <c r="B7" s="43" t="s">
        <v>52</v>
      </c>
      <c r="C7" s="43" t="s">
        <v>375</v>
      </c>
      <c r="D7" s="43" t="s">
        <v>80</v>
      </c>
      <c r="E7" s="43" t="s">
        <v>98</v>
      </c>
      <c r="F7" s="43" t="s">
        <v>376</v>
      </c>
      <c r="G7" s="43" t="s">
        <v>379</v>
      </c>
      <c r="H7" s="43" t="s">
        <v>271</v>
      </c>
    </row>
    <row r="8" spans="1:8" x14ac:dyDescent="0.25">
      <c r="A8" s="43">
        <v>0.8</v>
      </c>
      <c r="B8">
        <f>'Pt(111)'!R161</f>
        <v>-0.48990841542896846</v>
      </c>
      <c r="C8">
        <f>'Pt(111)'!R170</f>
        <v>-0.94956695868222529</v>
      </c>
      <c r="D8">
        <f>'Pt(111)'!R204</f>
        <v>-0.8384840594630214</v>
      </c>
      <c r="E8">
        <f>'Pt(111)'!R213</f>
        <v>-0.71667120329796674</v>
      </c>
      <c r="F8">
        <f>'Pt(111)'!R231</f>
        <v>-0.45540320752521335</v>
      </c>
      <c r="G8">
        <f>'Pt(111)'!R303</f>
        <v>-0.5629707604349824</v>
      </c>
      <c r="H8">
        <f>'Pt(111)'!R393</f>
        <v>-0.69921560707130848</v>
      </c>
    </row>
    <row r="9" spans="1:8" x14ac:dyDescent="0.25">
      <c r="A9" s="43">
        <v>0.4</v>
      </c>
      <c r="B9">
        <f>'Pt(111)'!R162</f>
        <v>-6.0124647204671477E-2</v>
      </c>
      <c r="C9">
        <f>'Pt(111)'!R171</f>
        <v>-0.3195025382656233</v>
      </c>
      <c r="D9">
        <f>'Pt(111)'!R205</f>
        <v>-0.37290695029916154</v>
      </c>
      <c r="E9">
        <f>'Pt(111)'!R214</f>
        <v>-0.27090239516686054</v>
      </c>
      <c r="F9">
        <f>'Pt(111)'!R232</f>
        <v>-4.6257243201088261E-2</v>
      </c>
      <c r="G9">
        <f>'Pt(111)'!R304</f>
        <v>-0.14489162835176103</v>
      </c>
      <c r="H9">
        <f>'Pt(111)'!R394</f>
        <v>-0.30853866942321329</v>
      </c>
    </row>
    <row r="10" spans="1:8" x14ac:dyDescent="0.25">
      <c r="A10" s="43">
        <v>0</v>
      </c>
      <c r="B10">
        <f>'Pt(111)'!R163</f>
        <v>0.38586735217771451</v>
      </c>
      <c r="C10">
        <f>'Pt(111)'!R172</f>
        <v>0.31693081127832629</v>
      </c>
      <c r="D10">
        <f>'Pt(111)'!R206</f>
        <v>0.10077359273017006</v>
      </c>
      <c r="E10">
        <f>'Pt(111)'!R215</f>
        <v>0.1945369438850939</v>
      </c>
      <c r="F10">
        <f>'Pt(111)'!R233</f>
        <v>0.39247008971828218</v>
      </c>
      <c r="G10">
        <f>'Pt(111)'!R305</f>
        <v>0.28661007000831884</v>
      </c>
      <c r="H10">
        <f>'Pt(111)'!R395</f>
        <v>8.5233433702016193E-2</v>
      </c>
    </row>
    <row r="11" spans="1:8" x14ac:dyDescent="0.25">
      <c r="A11" s="43" t="s">
        <v>404</v>
      </c>
      <c r="B11" s="43" t="s">
        <v>52</v>
      </c>
      <c r="C11" s="43" t="s">
        <v>375</v>
      </c>
      <c r="D11" s="43" t="s">
        <v>80</v>
      </c>
      <c r="E11" s="43" t="s">
        <v>98</v>
      </c>
      <c r="F11" s="43" t="s">
        <v>376</v>
      </c>
      <c r="G11" s="43" t="s">
        <v>379</v>
      </c>
      <c r="H11" s="43" t="s">
        <v>271</v>
      </c>
    </row>
    <row r="12" spans="1:8" x14ac:dyDescent="0.25">
      <c r="A12" s="43">
        <v>0.8</v>
      </c>
      <c r="B12">
        <f>'Pt(111)'!Z161</f>
        <v>-0.4376209412998523</v>
      </c>
      <c r="C12">
        <f>'Pt(111)'!Z170</f>
        <v>-0.89350809009101728</v>
      </c>
      <c r="D12">
        <f>'Pt(111)'!Z204</f>
        <v>-0.81866047902114136</v>
      </c>
      <c r="E12">
        <f>'Pt(111)'!Z213</f>
        <v>-0.65912332373257598</v>
      </c>
      <c r="F12">
        <f>'Pt(111)'!Z231</f>
        <v>-0.42580025317189107</v>
      </c>
      <c r="G12">
        <f>'Pt(111)'!Z303</f>
        <v>-0.56191249872441407</v>
      </c>
      <c r="H12">
        <f>'Pt(111)'!Z393</f>
        <v>-0.67864900192340283</v>
      </c>
    </row>
    <row r="13" spans="1:8" x14ac:dyDescent="0.25">
      <c r="A13" s="43">
        <v>0.4</v>
      </c>
      <c r="B13">
        <f>'Pt(111)'!Z162</f>
        <v>-8.9552506665004916E-3</v>
      </c>
      <c r="C13">
        <f>'Pt(111)'!Z171</f>
        <v>-0.23861297705207035</v>
      </c>
      <c r="D13">
        <f>'Pt(111)'!Z205</f>
        <v>-0.36371683727740223</v>
      </c>
      <c r="E13">
        <f>'Pt(111)'!Z214</f>
        <v>-0.21660077821282542</v>
      </c>
      <c r="F13">
        <f>'Pt(111)'!Z232</f>
        <v>-2.9002910727703113E-2</v>
      </c>
      <c r="G13">
        <f>'Pt(111)'!Z304</f>
        <v>-0.1466218645911431</v>
      </c>
      <c r="H13">
        <f>'Pt(111)'!Z394</f>
        <v>-0.28600737467910076</v>
      </c>
    </row>
    <row r="14" spans="1:8" x14ac:dyDescent="0.25">
      <c r="A14" s="43">
        <v>0</v>
      </c>
      <c r="B14">
        <f>'Pt(111)'!Z163</f>
        <v>0.42802060907937078</v>
      </c>
      <c r="C14">
        <f>'Pt(111)'!Z172</f>
        <v>0.41488890443815835</v>
      </c>
      <c r="D14">
        <f>'Pt(111)'!Z206</f>
        <v>9.3266962492257299E-2</v>
      </c>
      <c r="E14">
        <f>'Pt(111)'!Z215</f>
        <v>0.23670666172408161</v>
      </c>
      <c r="F14">
        <f>'Pt(111)'!Z233</f>
        <v>0.39545578656501784</v>
      </c>
      <c r="G14">
        <f>'Pt(111)'!Z305</f>
        <v>0.27546436658652962</v>
      </c>
      <c r="H14">
        <f>'Pt(111)'!Z395</f>
        <v>0.1087330818323986</v>
      </c>
    </row>
    <row r="15" spans="1:8" x14ac:dyDescent="0.25">
      <c r="A15" s="43" t="s">
        <v>137</v>
      </c>
      <c r="B15" s="43" t="s">
        <v>52</v>
      </c>
      <c r="C15" s="43" t="s">
        <v>375</v>
      </c>
      <c r="D15" s="43" t="s">
        <v>80</v>
      </c>
      <c r="E15" s="43" t="s">
        <v>98</v>
      </c>
      <c r="F15" s="43" t="s">
        <v>376</v>
      </c>
      <c r="G15" s="43" t="s">
        <v>379</v>
      </c>
      <c r="H15" s="43" t="s">
        <v>271</v>
      </c>
    </row>
    <row r="16" spans="1:8" x14ac:dyDescent="0.25">
      <c r="A16" s="43">
        <v>0.8</v>
      </c>
      <c r="B16" s="43">
        <f>'Pt(111)'!G82</f>
        <v>0.32550182964866936</v>
      </c>
      <c r="C16" s="43">
        <f>'Pt(111)'!G91</f>
        <v>-0.1428991251016363</v>
      </c>
      <c r="D16" s="43">
        <f>'Pt(111)'!G42</f>
        <v>-0.22235738685964521</v>
      </c>
      <c r="E16" s="43">
        <f>'Pt(111)'!G52</f>
        <v>-0.14112375049244949</v>
      </c>
      <c r="F16" s="43">
        <f>'Pt(111)'!G62</f>
        <v>0.28951327446673714</v>
      </c>
      <c r="G16" s="43">
        <f>'Pt(111)'!G117</f>
        <v>-0.12065729986003135</v>
      </c>
      <c r="H16">
        <f>'Pt(111)'!G125</f>
        <v>-0.42162910517923446</v>
      </c>
    </row>
    <row r="17" spans="1:8" x14ac:dyDescent="0.25">
      <c r="A17" s="43">
        <v>0.4</v>
      </c>
      <c r="B17" s="43">
        <f>'Pt(111)'!G83</f>
        <v>0.73433127024425149</v>
      </c>
      <c r="C17" s="43">
        <f>'Pt(111)'!G92</f>
        <v>0.41909705327974156</v>
      </c>
      <c r="D17" s="43">
        <f>'Pt(111)'!G43</f>
        <v>0.21105914782122795</v>
      </c>
      <c r="E17" s="43">
        <f>'Pt(111)'!G53</f>
        <v>0.34366247091583568</v>
      </c>
      <c r="F17" s="43">
        <f>'Pt(111)'!G63</f>
        <v>0.66646592724253606</v>
      </c>
      <c r="G17" s="43">
        <f>'Pt(111)'!G118</f>
        <v>0.28798311889462636</v>
      </c>
      <c r="H17">
        <f>'Pt(111)'!G126</f>
        <v>-4.3544335299301018E-2</v>
      </c>
    </row>
    <row r="18" spans="1:8" x14ac:dyDescent="0.25">
      <c r="A18" s="43">
        <v>0</v>
      </c>
      <c r="B18" s="43">
        <f>'Pt(111)'!G84</f>
        <v>1.1650002053948583</v>
      </c>
      <c r="C18" s="43">
        <f>'Pt(111)'!G93</f>
        <v>0.99935287515084703</v>
      </c>
      <c r="D18" s="43">
        <f>'Pt(111)'!G44</f>
        <v>0.66973679643154693</v>
      </c>
      <c r="E18" s="43">
        <f>'Pt(111)'!G54</f>
        <v>0.77951566998871635</v>
      </c>
      <c r="F18" s="43">
        <f>'Pt(111)'!G64</f>
        <v>1.0921904544299486</v>
      </c>
      <c r="G18" s="43">
        <f>'Pt(111)'!G119</f>
        <v>0.72614305279043034</v>
      </c>
      <c r="H18">
        <f>'Pt(111)'!G127</f>
        <v>0.3276456291556693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7F0E2-6A69-4D40-B74D-F18278A327CE}">
  <dimension ref="A1:AC48"/>
  <sheetViews>
    <sheetView zoomScaleNormal="100" workbookViewId="0">
      <selection activeCell="A5" sqref="A5"/>
    </sheetView>
  </sheetViews>
  <sheetFormatPr defaultRowHeight="15" x14ac:dyDescent="0.25"/>
  <cols>
    <col min="1" max="5" width="12.7109375" bestFit="1" customWidth="1"/>
    <col min="6" max="6" width="11.140625" customWidth="1"/>
    <col min="7" max="7" width="12.7109375" bestFit="1" customWidth="1"/>
    <col min="8" max="8" width="11.7109375" customWidth="1"/>
    <col min="9" max="9" width="12.28515625" customWidth="1"/>
    <col min="10" max="10" width="11.42578125" customWidth="1"/>
    <col min="11" max="11" width="12.7109375" bestFit="1" customWidth="1"/>
    <col min="18" max="18" width="12.7109375" bestFit="1" customWidth="1"/>
    <col min="23" max="23" width="12.7109375" bestFit="1" customWidth="1"/>
    <col min="26" max="27" width="12.7109375" bestFit="1" customWidth="1"/>
    <col min="29" max="29" width="12.7109375" bestFit="1" customWidth="1"/>
  </cols>
  <sheetData>
    <row r="1" spans="1:29" x14ac:dyDescent="0.25">
      <c r="A1" s="43"/>
      <c r="B1" s="43" t="s">
        <v>52</v>
      </c>
      <c r="C1" s="43" t="s">
        <v>375</v>
      </c>
      <c r="D1" s="43" t="s">
        <v>75</v>
      </c>
      <c r="E1" s="43" t="s">
        <v>387</v>
      </c>
      <c r="F1" s="43" t="s">
        <v>386</v>
      </c>
      <c r="G1" s="43" t="s">
        <v>80</v>
      </c>
      <c r="H1" s="43" t="s">
        <v>98</v>
      </c>
      <c r="I1" s="43" t="s">
        <v>234</v>
      </c>
      <c r="J1" s="43" t="s">
        <v>376</v>
      </c>
      <c r="K1" s="43" t="s">
        <v>235</v>
      </c>
      <c r="L1" s="43" t="s">
        <v>244</v>
      </c>
      <c r="M1" s="43" t="s">
        <v>245</v>
      </c>
      <c r="N1" s="43" t="s">
        <v>97</v>
      </c>
      <c r="O1" s="43" t="s">
        <v>197</v>
      </c>
      <c r="P1" s="43" t="s">
        <v>377</v>
      </c>
      <c r="Q1" s="43" t="s">
        <v>378</v>
      </c>
      <c r="R1" s="43" t="s">
        <v>379</v>
      </c>
      <c r="S1" s="43" t="s">
        <v>380</v>
      </c>
      <c r="T1" s="43" t="s">
        <v>207</v>
      </c>
      <c r="U1" s="43" t="s">
        <v>381</v>
      </c>
      <c r="V1" s="43" t="s">
        <v>264</v>
      </c>
      <c r="W1" s="43" t="s">
        <v>382</v>
      </c>
      <c r="X1" s="43" t="s">
        <v>261</v>
      </c>
      <c r="Y1" s="43" t="s">
        <v>383</v>
      </c>
      <c r="Z1" s="43" t="s">
        <v>384</v>
      </c>
      <c r="AA1" s="43" t="s">
        <v>271</v>
      </c>
      <c r="AB1" s="43" t="s">
        <v>275</v>
      </c>
      <c r="AC1" s="43" t="s">
        <v>385</v>
      </c>
    </row>
    <row r="2" spans="1:29" x14ac:dyDescent="0.25">
      <c r="A2" s="43" t="s">
        <v>329</v>
      </c>
      <c r="B2" s="43">
        <v>-1</v>
      </c>
      <c r="C2" s="43">
        <v>-2</v>
      </c>
      <c r="D2" s="43">
        <v>-1</v>
      </c>
      <c r="E2" s="43">
        <v>-1</v>
      </c>
      <c r="F2" s="43">
        <v>-1</v>
      </c>
      <c r="G2" s="43">
        <v>-1</v>
      </c>
      <c r="H2" s="43">
        <v>-1</v>
      </c>
      <c r="I2" s="43">
        <v>-1</v>
      </c>
      <c r="J2" s="43">
        <v>-1</v>
      </c>
      <c r="K2" s="43">
        <v>-1</v>
      </c>
      <c r="L2" s="43">
        <v>-1</v>
      </c>
      <c r="M2" s="43">
        <v>-1</v>
      </c>
      <c r="N2" s="43">
        <v>-1</v>
      </c>
      <c r="O2" s="43">
        <v>-1</v>
      </c>
      <c r="P2" s="43">
        <v>-2</v>
      </c>
      <c r="Q2" s="43">
        <v>-1</v>
      </c>
      <c r="R2" s="43">
        <v>-1</v>
      </c>
      <c r="S2" s="43">
        <v>-1</v>
      </c>
      <c r="T2" s="43">
        <v>-1</v>
      </c>
      <c r="U2" s="43">
        <v>-2</v>
      </c>
      <c r="V2" s="43">
        <v>-1</v>
      </c>
      <c r="W2" s="43">
        <v>-2</v>
      </c>
      <c r="X2" s="43">
        <v>-1</v>
      </c>
      <c r="Y2" s="43">
        <v>-2</v>
      </c>
      <c r="Z2" s="43">
        <v>-3</v>
      </c>
      <c r="AA2" s="43">
        <v>-1</v>
      </c>
      <c r="AB2" s="43">
        <v>-1</v>
      </c>
      <c r="AC2" s="43">
        <v>1</v>
      </c>
    </row>
    <row r="3" spans="1:29" x14ac:dyDescent="0.25">
      <c r="A3" s="43" t="s">
        <v>18</v>
      </c>
      <c r="B3" s="43">
        <f>'Exp. thermo'!B25</f>
        <v>6.35</v>
      </c>
      <c r="C3" s="43">
        <f>'Exp. thermo'!B26</f>
        <v>10.3</v>
      </c>
      <c r="D3" s="43">
        <f>'Exp. thermo'!B27</f>
        <v>-1.38</v>
      </c>
      <c r="E3" s="43">
        <f>'Exp. thermo'!B28</f>
        <v>3.35</v>
      </c>
      <c r="F3" s="43">
        <f>'Exp. thermo'!B28</f>
        <v>3.35</v>
      </c>
      <c r="G3" s="43">
        <f>'Exp. thermo'!B29</f>
        <v>4.76</v>
      </c>
      <c r="H3" s="43">
        <f>'Exp. thermo'!B30</f>
        <v>3.83</v>
      </c>
      <c r="I3" s="15">
        <f>'Exp. thermo'!B31</f>
        <v>2.87</v>
      </c>
      <c r="J3" s="43">
        <f>'Exp. thermo'!B32</f>
        <v>1.26</v>
      </c>
      <c r="K3" s="15">
        <f>'Exp. thermo'!B33</f>
        <v>0.51</v>
      </c>
      <c r="L3" s="15">
        <f>'Exp. thermo'!B34</f>
        <v>2.59</v>
      </c>
      <c r="M3" s="15">
        <f>'Exp. thermo'!B35</f>
        <v>1.34</v>
      </c>
      <c r="N3" s="43">
        <f>'Exp. thermo'!B36</f>
        <v>0.3</v>
      </c>
      <c r="O3" s="15">
        <f>'Exp. thermo'!B37</f>
        <v>1.46</v>
      </c>
      <c r="P3" s="15">
        <f>'Exp. thermo'!B38</f>
        <v>4.4000000000000004</v>
      </c>
      <c r="Q3" s="43">
        <v>3.2</v>
      </c>
      <c r="R3" s="43">
        <v>-6.3</v>
      </c>
      <c r="S3" s="43">
        <v>-9</v>
      </c>
      <c r="T3" s="15">
        <f>'Exp. thermo'!B39</f>
        <v>1.9</v>
      </c>
      <c r="U3" s="15">
        <f>'Exp. thermo'!B40</f>
        <v>7.21</v>
      </c>
      <c r="V3" s="43">
        <v>-2.8</v>
      </c>
      <c r="W3" s="43">
        <f>'Exp. thermo'!B41</f>
        <v>1.92</v>
      </c>
      <c r="X3" s="15">
        <f>'Exp. thermo'!B44</f>
        <v>2.15</v>
      </c>
      <c r="Y3" s="15">
        <f>'Exp. thermo'!B45</f>
        <v>7.09</v>
      </c>
      <c r="Z3" s="15">
        <f>'Exp. thermo'!B46</f>
        <v>12.32</v>
      </c>
      <c r="AA3" s="15">
        <f>'Exp. thermo'!B47</f>
        <v>14</v>
      </c>
      <c r="AB3" s="43">
        <f>'Exp. thermo'!B48</f>
        <v>-10</v>
      </c>
      <c r="AC3" s="15">
        <v>33</v>
      </c>
    </row>
    <row r="4" spans="1:29" x14ac:dyDescent="0.25">
      <c r="A4" s="15" t="s">
        <v>195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</row>
    <row r="5" spans="1:29" x14ac:dyDescent="0.25">
      <c r="A5">
        <f>'Co(111)'!C21</f>
        <v>-0.174250448</v>
      </c>
      <c r="B5">
        <f>'Co(111)'!C29</f>
        <v>-0.17285094000000001</v>
      </c>
      <c r="C5">
        <f>'Co(111)'!C38</f>
        <v>-0.19914272899999999</v>
      </c>
      <c r="D5">
        <f>'Co(111)'!C47</f>
        <v>-0.18453092500000001</v>
      </c>
      <c r="E5">
        <f>'Co(111)'!C56</f>
        <v>-0.18141634800000001</v>
      </c>
      <c r="G5">
        <f>'Co(111)'!C110</f>
        <v>-0.170477503</v>
      </c>
      <c r="K5">
        <f>'Co(111)'!C119</f>
        <v>-0.178575077</v>
      </c>
      <c r="R5">
        <f>'Co(111)'!C83</f>
        <v>-0.173678898</v>
      </c>
      <c r="W5">
        <f>'Co(111)'!C92</f>
        <v>-0.196620815</v>
      </c>
      <c r="Z5">
        <f>'Co(111)'!C101</f>
        <v>-0.20884101299999999</v>
      </c>
      <c r="AA5">
        <f>'Co(111)'!C65</f>
        <v>-0.17569100400000001</v>
      </c>
      <c r="AC5">
        <f>'Co(111)'!C74</f>
        <v>-0.17428849599999999</v>
      </c>
    </row>
    <row r="6" spans="1:29" x14ac:dyDescent="0.25">
      <c r="A6" s="43">
        <v>0.8</v>
      </c>
      <c r="B6">
        <f>'Co(111)'!G30</f>
        <v>-1.3328854201779703</v>
      </c>
      <c r="C6">
        <f>'Co(111)'!G39</f>
        <v>-1.7335118454934195</v>
      </c>
      <c r="D6">
        <f>'Co(111)'!G48</f>
        <v>-0.74225739986658246</v>
      </c>
      <c r="E6">
        <f>'Co(111)'!G57</f>
        <v>-1.3829347100078184</v>
      </c>
      <c r="G6">
        <f>'Co(111)'!G111</f>
        <v>-1.5728652089200905</v>
      </c>
      <c r="K6">
        <f>'Co(111)'!G120</f>
        <v>-1.114752579094993</v>
      </c>
      <c r="R6">
        <f>'Co(111)'!G84</f>
        <v>-1.514222344780108</v>
      </c>
      <c r="W6">
        <f>'Co(111)'!G93</f>
        <v>-1.494385924976654</v>
      </c>
      <c r="Z6">
        <f>'Co(111)'!G102</f>
        <v>-2.5501627755652172</v>
      </c>
      <c r="AA6">
        <f>'Co(111)'!G66</f>
        <v>-1.4020665142716737</v>
      </c>
      <c r="AC6">
        <f>'Co(111)'!G75</f>
        <v>0.21522936711972579</v>
      </c>
    </row>
    <row r="7" spans="1:29" x14ac:dyDescent="0.25">
      <c r="A7" s="43">
        <v>0.4</v>
      </c>
      <c r="B7">
        <f>'Co(111)'!G31</f>
        <v>-0.93793275541500221</v>
      </c>
      <c r="C7">
        <f>'Co(111)'!G40</f>
        <v>-1.1781808951922788</v>
      </c>
      <c r="D7">
        <f>'Co(111)'!G49</f>
        <v>-0.44382992195104404</v>
      </c>
      <c r="E7">
        <f>'Co(111)'!G58</f>
        <v>-1.0598239014767632</v>
      </c>
      <c r="G7">
        <f>'Co(111)'!G112</f>
        <v>-1.1640312429699107</v>
      </c>
      <c r="K7">
        <f>'Co(111)'!G121</f>
        <v>-0.80046466812948891</v>
      </c>
      <c r="R7">
        <f>'Co(111)'!G85</f>
        <v>-1.1259575575713534</v>
      </c>
      <c r="W7">
        <f>'Co(111)'!G94</f>
        <v>-0.90744648600286759</v>
      </c>
      <c r="Z7">
        <f>'Co(111)'!G103</f>
        <v>-1.6819287520261006</v>
      </c>
      <c r="AA7">
        <f>'Co(111)'!G67</f>
        <v>-1.0113099633864024</v>
      </c>
      <c r="AC7">
        <f>'Co(111)'!G76</f>
        <v>-0.19255759667884559</v>
      </c>
    </row>
    <row r="8" spans="1:29" x14ac:dyDescent="0.25">
      <c r="A8" s="43">
        <v>0</v>
      </c>
      <c r="B8">
        <f>'Co(111)'!G32</f>
        <v>-0.52883918332625213</v>
      </c>
      <c r="C8">
        <f>'Co(111)'!G41</f>
        <v>-0.62741272448278984</v>
      </c>
      <c r="D8">
        <f>'Co(111)'!G50</f>
        <v>-0.13571743324072255</v>
      </c>
      <c r="E8">
        <f>'Co(111)'!G59</f>
        <v>-0.7237362164856922</v>
      </c>
      <c r="G8">
        <f>'Co(111)'!G113</f>
        <v>-0.73626423614402214</v>
      </c>
      <c r="K8">
        <f>'Co(111)'!G122</f>
        <v>-0.43961117773890684</v>
      </c>
      <c r="R8">
        <f>'Co(111)'!G86</f>
        <v>-0.72438590081944132</v>
      </c>
      <c r="W8">
        <f>'Co(111)'!G95</f>
        <v>-0.30899054757958244</v>
      </c>
      <c r="Z8">
        <f>'Co(111)'!G104</f>
        <v>-0.80316286403783499</v>
      </c>
      <c r="AA8">
        <f>'Co(111)'!G68</f>
        <v>-0.62149165034959009</v>
      </c>
      <c r="AC8">
        <f>'Co(111)'!G77</f>
        <v>-0.59426377692306409</v>
      </c>
    </row>
    <row r="9" spans="1:29" x14ac:dyDescent="0.25">
      <c r="A9" s="15" t="s">
        <v>194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 spans="1:29" x14ac:dyDescent="0.25">
      <c r="A10">
        <f>'Ni(111)'!C21</f>
        <v>-0.176538521</v>
      </c>
      <c r="B10">
        <f>'Ni(111)'!C29</f>
        <v>-0.17618500200000001</v>
      </c>
      <c r="C10">
        <f>'Ni(111)'!C38</f>
        <v>-0.204224302</v>
      </c>
      <c r="D10">
        <f>'Ni(111)'!C47</f>
        <v>-0.18767656399999999</v>
      </c>
      <c r="E10">
        <f>'Ni(111)'!C56</f>
        <v>-0.184056996</v>
      </c>
      <c r="G10">
        <f>'Ni(111)'!C110</f>
        <v>-0.17361436799999999</v>
      </c>
      <c r="K10">
        <f>'Ni(111)'!C119</f>
        <v>-0.18126112899999999</v>
      </c>
      <c r="R10">
        <f>'Ni(111)'!C83</f>
        <v>-0.17622986600000001</v>
      </c>
      <c r="W10">
        <f>'Ni(111)'!C92</f>
        <v>-0.20166661899999999</v>
      </c>
      <c r="Z10">
        <f>'Ni(111)'!C101</f>
        <v>-0.215479594</v>
      </c>
      <c r="AA10">
        <f>'Ni(111)'!C65</f>
        <v>-0.18030527299999999</v>
      </c>
      <c r="AC10">
        <f>'Ni(111)'!C74</f>
        <v>-0.17692813299999999</v>
      </c>
    </row>
    <row r="11" spans="1:29" x14ac:dyDescent="0.25">
      <c r="A11" s="43">
        <v>0.8</v>
      </c>
      <c r="B11">
        <f>'Ni(111)'!G30</f>
        <v>-1.2037603424919308</v>
      </c>
      <c r="C11">
        <f>'Ni(111)'!G39</f>
        <v>-1.5737686976310425</v>
      </c>
      <c r="D11">
        <f>'Ni(111)'!G48</f>
        <v>-0.66540911590679697</v>
      </c>
      <c r="E11">
        <f>'Ni(111)'!G57</f>
        <v>-1.3220791988025475</v>
      </c>
      <c r="G11">
        <f>'Ni(111)'!G111</f>
        <v>-1.4713112262282513</v>
      </c>
      <c r="K11">
        <f>'Ni(111)'!G120</f>
        <v>-1.0500578562106584</v>
      </c>
      <c r="R11">
        <f>'Ni(111)'!G84</f>
        <v>-1.3693494932742323</v>
      </c>
      <c r="W11">
        <f>'Ni(111)'!G93</f>
        <v>-1.4293355599808131</v>
      </c>
      <c r="Z11">
        <f>'Ni(111)'!G102</f>
        <v>-2.2837236651641311</v>
      </c>
      <c r="AA11">
        <f>'Ni(111)'!G66</f>
        <v>-1.2397467029517415</v>
      </c>
      <c r="AC11">
        <f>'Ni(111)'!G75</f>
        <v>0.20597373208845965</v>
      </c>
    </row>
    <row r="12" spans="1:29" x14ac:dyDescent="0.25">
      <c r="A12" s="43">
        <v>0.4</v>
      </c>
      <c r="B12">
        <f>'Ni(111)'!G31</f>
        <v>-0.81039192748130329</v>
      </c>
      <c r="C12">
        <f>'Ni(111)'!G40</f>
        <v>-1.0274098473121041</v>
      </c>
      <c r="D12">
        <f>'Ni(111)'!G49</f>
        <v>-0.36309818001579647</v>
      </c>
      <c r="E12">
        <f>'Ni(111)'!G58</f>
        <v>-0.99126757595893555</v>
      </c>
      <c r="G12">
        <f>'Ni(111)'!G112</f>
        <v>-1.0604854509322896</v>
      </c>
      <c r="K12">
        <f>'Ni(111)'!G121</f>
        <v>-0.72732115829890787</v>
      </c>
      <c r="R12">
        <f>'Ni(111)'!G85</f>
        <v>-0.97665036982670428</v>
      </c>
      <c r="W12">
        <f>'Ni(111)'!G94</f>
        <v>-0.84674103371855758</v>
      </c>
      <c r="Z12">
        <f>'Ni(111)'!G103</f>
        <v>-1.4286068346947887</v>
      </c>
      <c r="AA12">
        <f>'Ni(111)'!G67</f>
        <v>-0.86484578630224718</v>
      </c>
      <c r="AC12">
        <f>'Ni(111)'!G76</f>
        <v>-0.20089366783970036</v>
      </c>
    </row>
    <row r="13" spans="1:29" x14ac:dyDescent="0.25">
      <c r="A13" s="43">
        <v>0</v>
      </c>
      <c r="B13">
        <f>'Ni(111)'!G32</f>
        <v>-0.40842391916657828</v>
      </c>
      <c r="C13">
        <f>'Ni(111)'!G41</f>
        <v>-0.48370942157200553</v>
      </c>
      <c r="D13">
        <f>'Ni(111)'!G50</f>
        <v>-5.6568478037362591E-2</v>
      </c>
      <c r="E13">
        <f>'Ni(111)'!G59</f>
        <v>-0.65218937957631984</v>
      </c>
      <c r="G13">
        <f>'Ni(111)'!G113</f>
        <v>-0.63504168013180529</v>
      </c>
      <c r="K13">
        <f>'Ni(111)'!G122</f>
        <v>-0.35924010312479177</v>
      </c>
      <c r="R13">
        <f>'Ni(111)'!G86</f>
        <v>-0.57515802002325656</v>
      </c>
      <c r="W13">
        <f>'Ni(111)'!G95</f>
        <v>-0.26049772682074424</v>
      </c>
      <c r="Z13">
        <f>'Ni(111)'!G104</f>
        <v>-0.57256507858545425</v>
      </c>
      <c r="AA13">
        <f>'Ni(111)'!G68</f>
        <v>-0.49939230587951755</v>
      </c>
      <c r="AC13">
        <f>'Ni(111)'!G77</f>
        <v>-0.60360078009427531</v>
      </c>
    </row>
    <row r="14" spans="1:29" x14ac:dyDescent="0.25">
      <c r="A14" s="15" t="s">
        <v>114</v>
      </c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 spans="1:29" x14ac:dyDescent="0.25">
      <c r="A15">
        <f>'Cu(111)'!C109</f>
        <v>-0.167542626</v>
      </c>
      <c r="B15">
        <f>'Cu(111)'!C117</f>
        <v>-0.17087201599999999</v>
      </c>
      <c r="C15">
        <f>'Cu(111)'!C126</f>
        <v>-0.19988555099999999</v>
      </c>
      <c r="D15">
        <f>'Cu(111)'!C135</f>
        <v>-0.181712123</v>
      </c>
      <c r="E15">
        <f>'Cu(111)'!C144</f>
        <v>-0.17653317499999999</v>
      </c>
      <c r="G15">
        <f>'Cu(111)'!C198</f>
        <v>-0.16730488600000001</v>
      </c>
      <c r="K15">
        <f>'Cu(111)'!C207</f>
        <v>-0.17502151399999999</v>
      </c>
      <c r="R15">
        <f>'Cu(111)'!C171</f>
        <v>-0.170166817</v>
      </c>
      <c r="W15">
        <f>'Cu(111)'!C180</f>
        <v>-0.19737357</v>
      </c>
      <c r="Z15">
        <f>'Cu(111)'!C189</f>
        <v>-0.21194858599999999</v>
      </c>
      <c r="AA15">
        <f>'Cu(111)'!C153</f>
        <v>-0.17525167899999999</v>
      </c>
      <c r="AC15">
        <f>'Cu(111)'!C162</f>
        <v>-0.16745506600000001</v>
      </c>
    </row>
    <row r="16" spans="1:29" x14ac:dyDescent="0.25">
      <c r="A16" s="43">
        <v>0.8</v>
      </c>
      <c r="B16">
        <f>'Cu(111)'!G118</f>
        <v>-0.93260519032496991</v>
      </c>
      <c r="C16">
        <f>'Cu(111)'!G127</f>
        <v>-1.1811932528866085</v>
      </c>
      <c r="D16">
        <f>'Cu(111)'!G136</f>
        <v>-0.38844371399562028</v>
      </c>
      <c r="E16">
        <f>'Cu(111)'!G145</f>
        <v>-1.0324195386196542</v>
      </c>
      <c r="G16">
        <f>'Cu(111)'!G199</f>
        <v>-1.2002123143367927</v>
      </c>
      <c r="K16">
        <f>'Cu(111)'!G208</f>
        <v>-0.77654306778233684</v>
      </c>
      <c r="R16">
        <f>'Cu(111)'!G172</f>
        <v>-1.1221734268544241</v>
      </c>
      <c r="W16">
        <f>'Cu(111)'!G181</f>
        <v>-0.96441129259146707</v>
      </c>
      <c r="Z16">
        <f>'Cu(111)'!G190</f>
        <v>-1.7141225707799186</v>
      </c>
      <c r="AA16">
        <f>'Cu(111)'!G154</f>
        <v>-0.98669170691830954</v>
      </c>
      <c r="AC16">
        <f>'Cu(111)'!G163</f>
        <v>0.49192735844687557</v>
      </c>
    </row>
    <row r="17" spans="1:29" x14ac:dyDescent="0.25">
      <c r="A17" s="43">
        <v>0.4</v>
      </c>
      <c r="B17">
        <f>'Cu(111)'!G119</f>
        <v>-0.57670550534981335</v>
      </c>
      <c r="C17">
        <f>'Cu(111)'!G128</f>
        <v>-0.69026072929353466</v>
      </c>
      <c r="D17">
        <f>'Cu(111)'!G137</f>
        <v>-0.12147339263417911</v>
      </c>
      <c r="E17">
        <f>'Cu(111)'!G146</f>
        <v>-0.72411444745325115</v>
      </c>
      <c r="G17">
        <f>'Cu(111)'!G200</f>
        <v>-0.82291698588710194</v>
      </c>
      <c r="K17">
        <f>'Cu(111)'!G209</f>
        <v>-0.49181588004241888</v>
      </c>
      <c r="R17">
        <f>'Cu(111)'!G173</f>
        <v>-0.75714333201874984</v>
      </c>
      <c r="W17">
        <f>'Cu(111)'!G182</f>
        <v>-0.4446536788189408</v>
      </c>
      <c r="Z17">
        <f>'Cu(111)'!G191</f>
        <v>-0.93438395964568388</v>
      </c>
      <c r="AA17">
        <f>'Cu(111)'!G155</f>
        <v>-0.63956774272340267</v>
      </c>
      <c r="AC17">
        <f>'Cu(111)'!G164</f>
        <v>8.5113438495201976E-2</v>
      </c>
    </row>
    <row r="18" spans="1:29" x14ac:dyDescent="0.25">
      <c r="A18" s="43">
        <v>0</v>
      </c>
      <c r="B18">
        <f>'Cu(111)'!G120</f>
        <v>-0.21028083621654703</v>
      </c>
      <c r="C18">
        <f>'Cu(111)'!G129</f>
        <v>-0.19865438930663293</v>
      </c>
      <c r="D18">
        <f>'Cu(111)'!G138</f>
        <v>0.14927951925830762</v>
      </c>
      <c r="E18">
        <f>'Cu(111)'!G147</f>
        <v>-0.40569084041584846</v>
      </c>
      <c r="G18">
        <f>'Cu(111)'!G201</f>
        <v>-0.43063773251674053</v>
      </c>
      <c r="K18">
        <f>'Cu(111)'!G210</f>
        <v>-0.16837124626865796</v>
      </c>
      <c r="R18">
        <f>'Cu(111)'!G174</f>
        <v>-0.38338217579410411</v>
      </c>
      <c r="W18">
        <f>'Cu(111)'!G183</f>
        <v>8.404522591190447E-2</v>
      </c>
      <c r="Z18">
        <f>'Cu(111)'!G192</f>
        <v>-0.15145268365978182</v>
      </c>
      <c r="AA18">
        <f>'Cu(111)'!G156</f>
        <v>-0.30588038398384965</v>
      </c>
      <c r="AC18">
        <f>'Cu(111)'!G165</f>
        <v>-0.31721198234893383</v>
      </c>
    </row>
    <row r="19" spans="1:29" x14ac:dyDescent="0.25">
      <c r="A19" s="15" t="s">
        <v>126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C19" s="43"/>
    </row>
    <row r="20" spans="1:29" x14ac:dyDescent="0.25">
      <c r="A20">
        <f>'Rh(111)'!C76</f>
        <v>-0.17898851499999999</v>
      </c>
      <c r="B20">
        <f>'Rh(111)'!C84</f>
        <v>-0.17852390900000001</v>
      </c>
      <c r="C20">
        <f>'Rh(111)'!C93</f>
        <v>-0.202872214</v>
      </c>
      <c r="D20">
        <f>'Rh(111)'!C102</f>
        <v>-0.188100508</v>
      </c>
      <c r="E20">
        <f>'Rh(111)'!C111</f>
        <v>-0.18487720499999999</v>
      </c>
      <c r="G20">
        <f>'Rh(111)'!C165</f>
        <v>-0.1760977</v>
      </c>
      <c r="K20">
        <f>'Rh(111)'!C174</f>
        <v>-0.18357415699999999</v>
      </c>
      <c r="R20">
        <f>'Rh(111)'!C138</f>
        <v>-0.178689447</v>
      </c>
      <c r="W20">
        <f>'Rh(111)'!C147</f>
        <v>-0.199222497</v>
      </c>
      <c r="Z20">
        <f>'Rh(111)'!C156</f>
        <v>-0.21143907200000001</v>
      </c>
      <c r="AA20">
        <f>'Rh(111)'!C120</f>
        <v>-0.18184361700000001</v>
      </c>
      <c r="AC20">
        <f>'Rh(111)'!C129</f>
        <v>-0.17972602800000001</v>
      </c>
    </row>
    <row r="21" spans="1:29" x14ac:dyDescent="0.25">
      <c r="A21" s="43">
        <v>0.8</v>
      </c>
      <c r="B21">
        <f>'Rh(111)'!G85</f>
        <v>-1.1993208684387153</v>
      </c>
      <c r="C21">
        <f>'Rh(111)'!G94</f>
        <v>-1.6216778145304045</v>
      </c>
      <c r="D21">
        <f>'Rh(111)'!G103</f>
        <v>-0.67288298849399819</v>
      </c>
      <c r="E21">
        <f>'Rh(111)'!G112</f>
        <v>-1.344725004595547</v>
      </c>
      <c r="G21">
        <f>'Rh(111)'!G166</f>
        <v>-1.4689906866003286</v>
      </c>
      <c r="K21">
        <f>'Rh(111)'!G175</f>
        <v>-0.98818063323761995</v>
      </c>
      <c r="R21">
        <f>'Rh(111)'!G139</f>
        <v>-1.3477702020285651</v>
      </c>
      <c r="W21">
        <f>'Rh(111)'!G148</f>
        <v>-1.3414630188251471</v>
      </c>
      <c r="Z21">
        <f>'Rh(111)'!G157</f>
        <v>-2.3268764073342774</v>
      </c>
      <c r="AA21">
        <f>'Rh(111)'!G121</f>
        <v>-1.122762367035159</v>
      </c>
      <c r="AC21">
        <f>'Rh(111)'!G130</f>
        <v>0.32626298922265418</v>
      </c>
    </row>
    <row r="22" spans="1:29" x14ac:dyDescent="0.25">
      <c r="A22" s="43">
        <v>0.4</v>
      </c>
      <c r="B22">
        <f>'Rh(111)'!G86</f>
        <v>-0.80089147785727433</v>
      </c>
      <c r="C22">
        <f>'Rh(111)'!G95</f>
        <v>-1.0724638423112549</v>
      </c>
      <c r="D22">
        <f>'Rh(111)'!G104</f>
        <v>-0.36560767274733319</v>
      </c>
      <c r="E22">
        <f>'Rh(111)'!G113</f>
        <v>-1.0074919690322885</v>
      </c>
      <c r="G22">
        <f>'Rh(111)'!G167</f>
        <v>-1.0514985577062463</v>
      </c>
      <c r="K22">
        <f>'Rh(111)'!G176</f>
        <v>-0.65555757333260223</v>
      </c>
      <c r="R22">
        <f>'Rh(111)'!G140</f>
        <v>-0.95288227246457247</v>
      </c>
      <c r="W22">
        <f>'Rh(111)'!G149</f>
        <v>-0.7497198801190682</v>
      </c>
      <c r="Z22">
        <f>'Rh(111)'!G158</f>
        <v>-1.4613462042377088</v>
      </c>
      <c r="AA22">
        <f>'Rh(111)'!G122</f>
        <v>-0.73752343950806099</v>
      </c>
      <c r="AC22">
        <f>'Rh(111)'!G131</f>
        <v>-8.3726719186175608E-2</v>
      </c>
    </row>
    <row r="23" spans="1:29" x14ac:dyDescent="0.25">
      <c r="A23" s="43">
        <v>0</v>
      </c>
      <c r="B23">
        <f>'Rh(111)'!G87</f>
        <v>-0.39473044784497502</v>
      </c>
      <c r="C23">
        <f>'Rh(111)'!G96</f>
        <v>-0.52725899313968627</v>
      </c>
      <c r="D23">
        <f>'Rh(111)'!G105</f>
        <v>-5.4020460140068671E-2</v>
      </c>
      <c r="E23">
        <f>'Rh(111)'!G114</f>
        <v>-0.66300669439982718</v>
      </c>
      <c r="G23">
        <f>'Rh(111)'!G168</f>
        <v>-0.62198076692921966</v>
      </c>
      <c r="K23">
        <f>'Rh(111)'!G177</f>
        <v>-0.28774229529864342</v>
      </c>
      <c r="R23">
        <f>'Rh(111)'!G141</f>
        <v>-0.54855134839855602</v>
      </c>
      <c r="W23">
        <f>'Rh(111)'!G150</f>
        <v>-0.15685542584628295</v>
      </c>
      <c r="Z23">
        <f>'Rh(111)'!G159</f>
        <v>-0.59864937703758381</v>
      </c>
      <c r="AA23">
        <f>'Rh(111)'!G123</f>
        <v>-0.37166738270794886</v>
      </c>
      <c r="AC23">
        <f>'Rh(111)'!G132</f>
        <v>-0.49014093002618753</v>
      </c>
    </row>
    <row r="24" spans="1:29" x14ac:dyDescent="0.25">
      <c r="A24" s="15" t="s">
        <v>183</v>
      </c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C24" s="43"/>
    </row>
    <row r="25" spans="1:29" x14ac:dyDescent="0.25">
      <c r="A25">
        <f>'Pd(111)'!C21</f>
        <v>-0.17990417</v>
      </c>
      <c r="B25">
        <f>'Pd(111)'!C29</f>
        <v>-0.18340805299999999</v>
      </c>
      <c r="C25">
        <f>'Pd(111)'!C38</f>
        <v>-0.205749459</v>
      </c>
      <c r="D25">
        <f>'Pd(111)'!C47</f>
        <v>-0.19239531300000001</v>
      </c>
      <c r="E25">
        <f>'Pd(111)'!C56</f>
        <v>-0.18696320999999999</v>
      </c>
      <c r="G25">
        <f>'Pd(111)'!C110</f>
        <v>-0.18008189999999999</v>
      </c>
      <c r="K25">
        <f>'Pd(111)'!C119</f>
        <v>-0.18781884800000001</v>
      </c>
      <c r="R25">
        <f>'Pd(111)'!C83</f>
        <v>-0.18242091399999999</v>
      </c>
      <c r="W25">
        <f>'Pd(111)'!C92</f>
        <v>-0.20583330699999999</v>
      </c>
      <c r="Z25">
        <f>'Pd(111)'!C101</f>
        <v>-0.21614612599999999</v>
      </c>
      <c r="AA25">
        <f>'Pd(111)'!C65</f>
        <v>-0.185892483</v>
      </c>
      <c r="AC25">
        <f>'Pd(111)'!C74</f>
        <v>-0.180591739</v>
      </c>
    </row>
    <row r="26" spans="1:29" x14ac:dyDescent="0.25">
      <c r="A26" s="43">
        <v>0.8</v>
      </c>
      <c r="B26">
        <f>'Pd(111)'!G30</f>
        <v>-0.6887349712053783</v>
      </c>
      <c r="C26">
        <f>'Pd(111)'!G39</f>
        <v>-1.00945847959545</v>
      </c>
      <c r="D26">
        <f>'Pd(111)'!G48</f>
        <v>-0.23198447139234435</v>
      </c>
      <c r="E26">
        <f>'Pd(111)'!G57</f>
        <v>-0.96827909003624779</v>
      </c>
      <c r="G26">
        <f>'Pd(111)'!G111</f>
        <v>-0.93499236679973463</v>
      </c>
      <c r="K26">
        <f>'Pd(111)'!G120</f>
        <v>-0.53008151539406922</v>
      </c>
      <c r="R26">
        <f>'Pd(111)'!G84</f>
        <v>-0.98044438581215221</v>
      </c>
      <c r="W26">
        <f>'Pd(111)'!G93</f>
        <v>-0.64993267741541805</v>
      </c>
      <c r="Z26">
        <f>'Pd(111)'!G102</f>
        <v>-1.2789019314591297</v>
      </c>
      <c r="AA26">
        <f>'Pd(111)'!G66</f>
        <v>-0.70933570950805591</v>
      </c>
      <c r="AC26">
        <f>'Pd(111)'!G75</f>
        <v>0.40294569482863885</v>
      </c>
    </row>
    <row r="27" spans="1:29" x14ac:dyDescent="0.25">
      <c r="A27" s="43">
        <v>0.4</v>
      </c>
      <c r="B27">
        <f>'Pd(111)'!G31</f>
        <v>-0.32472593804439576</v>
      </c>
      <c r="C27">
        <f>'Pd(111)'!G40</f>
        <v>-0.48584871335358837</v>
      </c>
      <c r="D27">
        <f>'Pd(111)'!G49</f>
        <v>4.2449255067047997E-2</v>
      </c>
      <c r="E27">
        <f>'Pd(111)'!G58</f>
        <v>-0.63956367203647368</v>
      </c>
      <c r="G27">
        <f>'Pd(111)'!G112</f>
        <v>-0.54181892127427189</v>
      </c>
      <c r="K27">
        <f>'Pd(111)'!G121</f>
        <v>-0.2133277988367826</v>
      </c>
      <c r="R27">
        <f>'Pd(111)'!G85</f>
        <v>-0.60912140055384956</v>
      </c>
      <c r="W27">
        <f>'Pd(111)'!G94</f>
        <v>-0.12305547775198669</v>
      </c>
      <c r="Z27">
        <f>'Pd(111)'!G103</f>
        <v>-0.46653002166612911</v>
      </c>
      <c r="AA27">
        <f>'Pd(111)'!G67</f>
        <v>-0.35805357262947513</v>
      </c>
      <c r="AC27">
        <f>'Pd(111)'!G76</f>
        <v>-5.7326401198515564E-3</v>
      </c>
    </row>
    <row r="28" spans="1:29" x14ac:dyDescent="0.25">
      <c r="A28" s="43">
        <v>0</v>
      </c>
      <c r="B28">
        <f>'Pd(111)'!G32</f>
        <v>3.9718440297035973E-2</v>
      </c>
      <c r="C28">
        <f>'Pd(111)'!G41</f>
        <v>2.5401261191037361E-2</v>
      </c>
      <c r="D28">
        <f>'Pd(111)'!G50</f>
        <v>0.30898487764411453</v>
      </c>
      <c r="E28">
        <f>'Pd(111)'!G59</f>
        <v>-0.30967094398076278</v>
      </c>
      <c r="G28">
        <f>'Pd(111)'!G113</f>
        <v>-0.14291430943750227</v>
      </c>
      <c r="K28">
        <f>'Pd(111)'!G122</f>
        <v>0.12571991399008597</v>
      </c>
      <c r="R28">
        <f>'Pd(111)'!G86</f>
        <v>-0.23432379646343179</v>
      </c>
      <c r="W28">
        <f>'Pd(111)'!G95</f>
        <v>0.39338553757093886</v>
      </c>
      <c r="Z28">
        <f>'Pd(111)'!G104</f>
        <v>0.32182990833052982</v>
      </c>
      <c r="AA28">
        <f>'Pd(111)'!G68</f>
        <v>-4.189435012162579E-2</v>
      </c>
      <c r="AC28">
        <f>'Pd(111)'!G77</f>
        <v>-0.41300025539170016</v>
      </c>
    </row>
    <row r="29" spans="1:29" x14ac:dyDescent="0.25">
      <c r="A29" s="15" t="s">
        <v>184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C29" s="43"/>
    </row>
    <row r="30" spans="1:29" x14ac:dyDescent="0.25">
      <c r="A30">
        <f>'Ag(111)'!C21</f>
        <v>-0.15460795399999999</v>
      </c>
      <c r="B30">
        <f>'Ag(111)'!C29</f>
        <v>-0.16399650299999999</v>
      </c>
      <c r="C30">
        <f>'Ag(111)'!C38</f>
        <v>-0.18690821399999999</v>
      </c>
      <c r="D30">
        <f>'Ag(111)'!C47</f>
        <v>-0.17265233599999999</v>
      </c>
      <c r="E30">
        <f>'Ag(111)'!C56</f>
        <v>-0.16537359400000001</v>
      </c>
      <c r="G30">
        <f>'Ag(111)'!C110</f>
        <v>-0.15989725599999999</v>
      </c>
      <c r="K30">
        <f>'Ag(111)'!C119</f>
        <v>-0.166137483</v>
      </c>
      <c r="R30">
        <f>'Ag(111)'!C83</f>
        <v>-0.16155696999999999</v>
      </c>
      <c r="W30">
        <f>'Ag(111)'!C92</f>
        <v>-0.187317073</v>
      </c>
      <c r="Z30">
        <f>'Ag(111)'!C101</f>
        <v>-0.19852742200000001</v>
      </c>
      <c r="AA30">
        <f>'Ag(111)'!C65</f>
        <v>-0.17049186599999999</v>
      </c>
      <c r="AC30">
        <f>'Ag(111)'!C74</f>
        <v>-0.154947908</v>
      </c>
    </row>
    <row r="31" spans="1:29" x14ac:dyDescent="0.25">
      <c r="A31" s="43">
        <v>0.8</v>
      </c>
      <c r="B31">
        <f>'Ag(111)'!G30</f>
        <v>-0.50290957161914585</v>
      </c>
      <c r="C31">
        <f>'Ag(111)'!G39</f>
        <v>-0.56574783745963142</v>
      </c>
      <c r="D31">
        <f>'Ag(111)'!G48</f>
        <v>-6.3106905193525964E-2</v>
      </c>
      <c r="E31">
        <f>'Ag(111)'!G57</f>
        <v>-0.72850912490180331</v>
      </c>
      <c r="G31">
        <f>'Ag(111)'!G111</f>
        <v>-0.71971329715498644</v>
      </c>
      <c r="K31">
        <f>'Ag(111)'!G120</f>
        <v>-0.31383460567394461</v>
      </c>
      <c r="R31">
        <f>'Ag(111)'!G84</f>
        <v>-0.77749524375889445</v>
      </c>
      <c r="W31">
        <f>'Ag(111)'!G93</f>
        <v>-0.40362412421951033</v>
      </c>
      <c r="Z31">
        <f>'Ag(111)'!G102</f>
        <v>-0.68691943887299767</v>
      </c>
      <c r="AA31">
        <f>'Ag(111)'!G66</f>
        <v>-0.43206401644310827</v>
      </c>
      <c r="AC31">
        <f>'Ag(111)'!G75</f>
        <v>1.0213847661872859</v>
      </c>
    </row>
    <row r="32" spans="1:29" x14ac:dyDescent="0.25">
      <c r="A32" s="43">
        <v>0.4</v>
      </c>
      <c r="B32">
        <f>'Ag(111)'!G31</f>
        <v>-0.21713730912879148</v>
      </c>
      <c r="C32">
        <f>'Ag(111)'!G40</f>
        <v>-0.16214224155918708</v>
      </c>
      <c r="D32">
        <f>'Ag(111)'!G49</f>
        <v>0.12966964621842686</v>
      </c>
      <c r="E32">
        <f>'Ag(111)'!G58</f>
        <v>-0.45770293099708492</v>
      </c>
      <c r="G32">
        <f>'Ag(111)'!G112</f>
        <v>-0.39948500344226989</v>
      </c>
      <c r="K32">
        <f>'Ag(111)'!G121</f>
        <v>-9.6046605432091259E-2</v>
      </c>
      <c r="R32">
        <f>'Ag(111)'!G85</f>
        <v>-0.46301582400104963</v>
      </c>
      <c r="W32">
        <f>'Ag(111)'!G94</f>
        <v>-8.8904644128490473E-3</v>
      </c>
      <c r="Z32">
        <f>'Ag(111)'!G103</f>
        <v>-4.5061390543402302E-2</v>
      </c>
      <c r="AA32">
        <f>'Ag(111)'!G67</f>
        <v>-0.13123632048409339</v>
      </c>
      <c r="AC32">
        <f>'Ag(111)'!G76</f>
        <v>0.60273807252105327</v>
      </c>
    </row>
    <row r="33" spans="1:29" x14ac:dyDescent="0.25">
      <c r="A33" s="43">
        <v>0</v>
      </c>
      <c r="B33">
        <f>'Ag(111)'!G32</f>
        <v>7.5134285941114265E-2</v>
      </c>
      <c r="C33">
        <f>'Ag(111)'!G41</f>
        <v>0.23707758209276</v>
      </c>
      <c r="D33">
        <f>'Ag(111)'!G50</f>
        <v>0.31590116228722814</v>
      </c>
      <c r="E33">
        <f>'Ag(111)'!G59</f>
        <v>-0.18138352019964352</v>
      </c>
      <c r="G33">
        <f>'Ag(111)'!G113</f>
        <v>-6.8929075648076044E-2</v>
      </c>
      <c r="K33">
        <f>'Ag(111)'!G122</f>
        <v>0.14829965861918221</v>
      </c>
      <c r="R33">
        <f>'Ag(111)'!G86</f>
        <v>-0.13964481919305399</v>
      </c>
      <c r="W33">
        <f>'Ag(111)'!G95</f>
        <v>0.3821187115333885</v>
      </c>
      <c r="Z33">
        <f>'Ag(111)'!G104</f>
        <v>0.57005272719631983</v>
      </c>
      <c r="AA33">
        <f>'Ag(111)'!G68</f>
        <v>0.11377617652142513</v>
      </c>
      <c r="AC33">
        <f>'Ag(111)'!G77</f>
        <v>0.19327935772179625</v>
      </c>
    </row>
    <row r="34" spans="1:29" x14ac:dyDescent="0.25">
      <c r="A34" s="15" t="s">
        <v>193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C34" s="43"/>
    </row>
    <row r="35" spans="1:29" x14ac:dyDescent="0.25">
      <c r="A35">
        <f>'Ir(111)'!C21</f>
        <v>-0.191230187</v>
      </c>
      <c r="B35">
        <f>'Ir(111)'!C29</f>
        <v>-0.18739565</v>
      </c>
      <c r="C35">
        <f>'Ir(111)'!C38</f>
        <v>-0.21263244100000001</v>
      </c>
      <c r="D35">
        <f>'Ir(111)'!C47</f>
        <v>-0.197179048</v>
      </c>
      <c r="E35">
        <f>'Ir(111)'!C56</f>
        <v>-0.19420074600000001</v>
      </c>
      <c r="G35">
        <f>'Ir(111)'!C110</f>
        <v>-0.185784166</v>
      </c>
      <c r="K35">
        <f>'Ir(111)'!C119</f>
        <v>-0.192976912</v>
      </c>
      <c r="R35">
        <f>'Ir(111)'!C83</f>
        <v>-0.187859093</v>
      </c>
      <c r="W35">
        <f>'Ir(111)'!C92</f>
        <v>-0.20720375099999999</v>
      </c>
      <c r="Z35">
        <f>'Ir(111)'!C101</f>
        <v>-0.22053640999999999</v>
      </c>
      <c r="AA35">
        <f>'Ir(111)'!C65</f>
        <v>-0.19181007799999999</v>
      </c>
      <c r="AC35">
        <f>'Ir(111)'!C74</f>
        <v>-0.19042703799999999</v>
      </c>
    </row>
    <row r="36" spans="1:29" x14ac:dyDescent="0.25">
      <c r="A36" s="43">
        <v>0.8</v>
      </c>
      <c r="B36">
        <f>'Ir(111)'!G30</f>
        <v>-1.1139421403729592</v>
      </c>
      <c r="C36">
        <f>'Ir(111)'!G39</f>
        <v>-1.6149757774351958</v>
      </c>
      <c r="D36">
        <f>'Ir(111)'!G48</f>
        <v>-0.51913753169750954</v>
      </c>
      <c r="E36">
        <f>'Ir(111)'!G57</f>
        <v>-1.266191352985409</v>
      </c>
      <c r="G36">
        <f>'Ir(111)'!G111</f>
        <v>-1.4143042342897962</v>
      </c>
      <c r="K36">
        <f>'Ir(111)'!G120</f>
        <v>-0.91238143780039349</v>
      </c>
      <c r="R36">
        <f>'Ir(111)'!G84</f>
        <v>-0.94809006794251038</v>
      </c>
      <c r="W36">
        <f>'Ir(111)'!G93</f>
        <v>-1.2389790658017013</v>
      </c>
      <c r="Z36">
        <f>'Ir(111)'!G102</f>
        <v>-2.3690549918862982</v>
      </c>
      <c r="AA36">
        <f>'Ir(111)'!G66</f>
        <v>-1.1173926030517454</v>
      </c>
      <c r="AC36">
        <f>'Ir(111)'!G75</f>
        <v>0.42055400014331101</v>
      </c>
    </row>
    <row r="37" spans="1:29" x14ac:dyDescent="0.25">
      <c r="A37" s="43">
        <v>0.4</v>
      </c>
      <c r="B37">
        <f>'Ir(111)'!G31</f>
        <v>-0.67650668467991082</v>
      </c>
      <c r="C37">
        <f>'Ir(111)'!G40</f>
        <v>-1.0327845244269913</v>
      </c>
      <c r="D37">
        <f>'Ir(111)'!G49</f>
        <v>-0.17359071995119252</v>
      </c>
      <c r="E37">
        <f>'Ir(111)'!G58</f>
        <v>-0.89307911036019771</v>
      </c>
      <c r="G37">
        <f>'Ir(111)'!G112</f>
        <v>-0.95798770936240829</v>
      </c>
      <c r="K37">
        <f>'Ir(111)'!G121</f>
        <v>-0.52852819949159124</v>
      </c>
      <c r="R37">
        <f>'Ir(111)'!G85</f>
        <v>-0.51728300778788983</v>
      </c>
      <c r="W37">
        <f>'Ir(111)'!G94</f>
        <v>-0.5903207827468725</v>
      </c>
      <c r="Z37">
        <f>'Ir(111)'!G103</f>
        <v>-1.453224803018895</v>
      </c>
      <c r="AA37">
        <f>'Ir(111)'!G67</f>
        <v>-0.72250216239470899</v>
      </c>
      <c r="AC37">
        <f>'Ir(111)'!G76</f>
        <v>2.8219042172422631E-2</v>
      </c>
    </row>
    <row r="38" spans="1:29" x14ac:dyDescent="0.25">
      <c r="A38" s="43">
        <v>0</v>
      </c>
      <c r="B38">
        <f>'Ir(111)'!G32</f>
        <v>-0.21650501796989741</v>
      </c>
      <c r="C38">
        <f>'Ir(111)'!G41</f>
        <v>-0.4331823722119072</v>
      </c>
      <c r="D38">
        <f>'Ir(111)'!G50</f>
        <v>0.2011657002691723</v>
      </c>
      <c r="E38">
        <f>'Ir(111)'!G59</f>
        <v>-0.49303460860108594</v>
      </c>
      <c r="G38">
        <f>'Ir(111)'!G113</f>
        <v>-0.47670445447007581</v>
      </c>
      <c r="K38">
        <f>'Ir(111)'!G122</f>
        <v>-8.3048980585333887E-2</v>
      </c>
      <c r="R38">
        <f>'Ir(111)'!G86</f>
        <v>-5.9807578387088139E-2</v>
      </c>
      <c r="W38">
        <f>'Ir(111)'!G95</f>
        <v>8.1825092074708422E-2</v>
      </c>
      <c r="Z38">
        <f>'Ir(111)'!G104</f>
        <v>-0.52253242685743517</v>
      </c>
      <c r="AA38">
        <f>'Ir(111)'!G68</f>
        <v>-0.33741339600809295</v>
      </c>
      <c r="AC38">
        <f>'Ir(111)'!G77</f>
        <v>-0.35390539120882747</v>
      </c>
    </row>
    <row r="39" spans="1:29" x14ac:dyDescent="0.25">
      <c r="A39" s="43" t="s">
        <v>115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 spans="1:29" x14ac:dyDescent="0.25">
      <c r="A40" s="43">
        <f>'Pt(111)'!C151</f>
        <v>-0.19723977700000001</v>
      </c>
      <c r="B40" s="43">
        <f>'Pt(111)'!C160</f>
        <v>-0.194839497</v>
      </c>
      <c r="C40" s="43">
        <f>'Pt(111)'!C169</f>
        <v>-0.218203705</v>
      </c>
      <c r="D40" s="43">
        <f>'Pt(111)'!C178</f>
        <v>-0.20429318399999999</v>
      </c>
      <c r="E40" s="43">
        <f>'Pt(111)'!C187</f>
        <v>-0.19963287099999999</v>
      </c>
      <c r="F40" s="43">
        <f>'Pt(111)'!C194</f>
        <v>-0.201848526</v>
      </c>
      <c r="G40" s="43">
        <f>'Pt(111)'!C203</f>
        <v>-0.19277429900000001</v>
      </c>
      <c r="H40" s="43">
        <f>'Pt(111)'!C212</f>
        <v>-0.193427139</v>
      </c>
      <c r="I40">
        <f>'Pt(111)'!C221</f>
        <v>-0.19533222</v>
      </c>
      <c r="J40" s="43">
        <f>'Pt(111)'!C230</f>
        <v>-0.19803522200000001</v>
      </c>
      <c r="K40">
        <f>'Pt(111)'!C239</f>
        <v>-0.19990781399999999</v>
      </c>
      <c r="L40">
        <f>'Pt(111)'!C248</f>
        <v>-0.195542839</v>
      </c>
      <c r="M40">
        <f>'Pt(111)'!C257</f>
        <v>-0.19907403000000001</v>
      </c>
      <c r="N40" s="43">
        <f>'Pt(111)'!C266</f>
        <v>-0.201875627</v>
      </c>
      <c r="O40">
        <f>'Pt(111)'!C275</f>
        <v>-0.197352733</v>
      </c>
      <c r="P40">
        <f>'Pt(111)'!C284</f>
        <v>-0.22690358899999999</v>
      </c>
      <c r="Q40" s="43">
        <f>'Pt(111)'!C293</f>
        <v>-0.20918331300000001</v>
      </c>
      <c r="R40" s="43">
        <f>'Pt(111)'!C302</f>
        <v>-0.19524592900000001</v>
      </c>
      <c r="S40" s="43">
        <f>'Pt(111)'!C311</f>
        <v>-0.19245524899999999</v>
      </c>
      <c r="T40">
        <f>'Pt(111)'!C329</f>
        <v>-0.204856907</v>
      </c>
      <c r="U40">
        <f>'Pt(111)'!C338</f>
        <v>-0.21251376999999999</v>
      </c>
      <c r="V40">
        <f>'Pt(111)'!C347</f>
        <v>-0.19590289599999999</v>
      </c>
      <c r="W40">
        <f>'Pt(111)'!C356</f>
        <v>-0.21535105299999999</v>
      </c>
      <c r="X40">
        <f>'Pt(111)'!C365</f>
        <v>-0.19889246399999999</v>
      </c>
      <c r="Y40">
        <f>'Pt(111)'!C374</f>
        <v>-0.202499708</v>
      </c>
      <c r="Z40">
        <f>'Pt(111)'!C383</f>
        <v>-0.22757908399999999</v>
      </c>
      <c r="AA40">
        <f>'Pt(111)'!C392</f>
        <v>-0.19885296399999999</v>
      </c>
      <c r="AB40" s="43">
        <f>'Pt(111)'!C410</f>
        <v>-0.20756297700000001</v>
      </c>
      <c r="AC40">
        <f>'Pt(111)'!C401</f>
        <v>-0.19675456499999999</v>
      </c>
    </row>
    <row r="41" spans="1:29" x14ac:dyDescent="0.25">
      <c r="A41" s="43">
        <v>0.8</v>
      </c>
      <c r="B41">
        <f>'Pt(111)'!G161</f>
        <v>-0.62380345361949907</v>
      </c>
      <c r="C41">
        <f>'Pt(111)'!G170</f>
        <v>-1.0504233471647233</v>
      </c>
      <c r="D41">
        <f>'Pt(111)'!G179</f>
        <v>-7.0176927894695318E-2</v>
      </c>
      <c r="E41">
        <f>'Pt(111)'!G188</f>
        <v>-0.87327589594289279</v>
      </c>
      <c r="F41">
        <f>'Pt(111)'!G195</f>
        <v>-0.89843047236938123</v>
      </c>
      <c r="G41" s="43">
        <f>'Pt(111)'!G204</f>
        <v>-0.91307453029404773</v>
      </c>
      <c r="H41" s="43">
        <f>'Pt(111)'!G213</f>
        <v>-0.86627112303388643</v>
      </c>
      <c r="I41">
        <f>'Pt(111)'!G222</f>
        <v>-0.67740562009826077</v>
      </c>
      <c r="J41" s="43">
        <f>'Pt(111)'!G231</f>
        <v>-0.50898678551353338</v>
      </c>
      <c r="K41">
        <f>'Pt(111)'!G240</f>
        <v>-0.44510634057471715</v>
      </c>
      <c r="L41">
        <f>'Pt(111)'!G249</f>
        <v>-0.6290278490383685</v>
      </c>
      <c r="M41">
        <f>'Pt(111)'!G258</f>
        <v>-0.58818872070576311</v>
      </c>
      <c r="N41" s="43">
        <f>'Pt(111)'!G267</f>
        <v>-0.43771969994459303</v>
      </c>
      <c r="O41">
        <f>'Pt(111)'!G276</f>
        <v>-0.51263752135619933</v>
      </c>
      <c r="P41">
        <f>'Pt(111)'!G285</f>
        <v>-0.54476449029708562</v>
      </c>
      <c r="Q41">
        <f>'Pt(111)'!G294</f>
        <v>0.24248439834732563</v>
      </c>
      <c r="R41">
        <f>'Pt(111)'!G303</f>
        <v>-0.56656066258088689</v>
      </c>
      <c r="S41">
        <f>'Pt(111)'!G312</f>
        <v>-1.0231886347833787</v>
      </c>
      <c r="T41">
        <f>'Pt(111)'!G330</f>
        <v>-1.0554984181427796</v>
      </c>
      <c r="U41">
        <f>'Pt(111)'!G339</f>
        <v>-1.7202017023546479</v>
      </c>
      <c r="V41">
        <f>'Pt(111)'!G348</f>
        <v>6.619717932248026E-2</v>
      </c>
      <c r="W41">
        <f>'Pt(111)'!G357</f>
        <v>-0.47079093183144893</v>
      </c>
      <c r="X41">
        <f>'Pt(111)'!G366</f>
        <v>-0.10691512463637537</v>
      </c>
      <c r="Y41">
        <f>'Pt(111)'!G375</f>
        <v>-0.82602455362800931</v>
      </c>
      <c r="Z41">
        <f>'Pt(111)'!G384</f>
        <v>-1.3531487861151565</v>
      </c>
      <c r="AA41">
        <f>'Pt(111)'!G393</f>
        <v>-0.75717052441301202</v>
      </c>
      <c r="AB41" s="43">
        <f>'Pt(111)'!G411</f>
        <v>0.28784618275840135</v>
      </c>
      <c r="AC41">
        <f>'Pt(111)'!G402</f>
        <v>0.43048949989210816</v>
      </c>
    </row>
    <row r="42" spans="1:29" x14ac:dyDescent="0.25">
      <c r="A42" s="43">
        <v>0.4</v>
      </c>
      <c r="B42">
        <f>'Pt(111)'!G162</f>
        <v>-0.19741813561765054</v>
      </c>
      <c r="C42">
        <f>'Pt(111)'!G171</f>
        <v>-0.470585416019275</v>
      </c>
      <c r="D42">
        <f>'Pt(111)'!G180</f>
        <v>0.26511840817891841</v>
      </c>
      <c r="E42">
        <f>'Pt(111)'!G189</f>
        <v>-0.4903804858965623</v>
      </c>
      <c r="F42">
        <f>'Pt(111)'!G196</f>
        <v>-0.53721247777722869</v>
      </c>
      <c r="G42" s="43">
        <f>'Pt(111)'!G205</f>
        <v>-0.46446518273698079</v>
      </c>
      <c r="H42" s="43">
        <f>'Pt(111)'!G214</f>
        <v>-0.42692017312795727</v>
      </c>
      <c r="I42">
        <f>'Pt(111)'!G223</f>
        <v>-0.25231688031894861</v>
      </c>
      <c r="J42" s="43">
        <f>'Pt(111)'!G232</f>
        <v>-0.10588224041608452</v>
      </c>
      <c r="K42">
        <f>'Pt(111)'!G241</f>
        <v>-5.3788694570108264E-2</v>
      </c>
      <c r="L42">
        <f>'Pt(111)'!G250</f>
        <v>-0.20737498379149888</v>
      </c>
      <c r="M42">
        <f>'Pt(111)'!G259</f>
        <v>-0.19642336592248888</v>
      </c>
      <c r="N42" s="43">
        <f>'Pt(111)'!G268</f>
        <v>-6.8103859815620837E-2</v>
      </c>
      <c r="O42">
        <f>'Pt(111)'!G277</f>
        <v>-0.10991876639073672</v>
      </c>
      <c r="P42">
        <f>'Pt(111)'!G286</f>
        <v>-6.4148121623576693E-2</v>
      </c>
      <c r="Q42">
        <f>'Pt(111)'!G295</f>
        <v>0.47801201876532284</v>
      </c>
      <c r="R42">
        <f>'Pt(111)'!G304</f>
        <v>-0.14342384574061726</v>
      </c>
      <c r="S42">
        <f>'Pt(111)'!G313</f>
        <v>-0.57221017874742397</v>
      </c>
      <c r="T42">
        <f>'Pt(111)'!G331</f>
        <v>-0.74352443466265017</v>
      </c>
      <c r="U42">
        <f>'Pt(111)'!G340</f>
        <v>-1.073935745359454</v>
      </c>
      <c r="V42">
        <f>'Pt(111)'!G349</f>
        <v>0.47813988666806839</v>
      </c>
      <c r="W42">
        <f>'Pt(111)'!G358</f>
        <v>0.14842027880497313</v>
      </c>
      <c r="X42">
        <f>'Pt(111)'!G367</f>
        <v>0.27800955318997239</v>
      </c>
      <c r="Y42">
        <f>'Pt(111)'!G376</f>
        <v>-8.3193736811587149E-2</v>
      </c>
      <c r="Z42">
        <f>'Pt(111)'!G385</f>
        <v>-0.46235267375286115</v>
      </c>
      <c r="AA42">
        <f>'Pt(111)'!G394</f>
        <v>-0.37804509030807676</v>
      </c>
      <c r="AB42" s="43">
        <f>'Pt(111)'!G412</f>
        <v>0.57697530407476538</v>
      </c>
      <c r="AC42">
        <f>'Pt(111)'!G403</f>
        <v>3.8539959029410958E-2</v>
      </c>
    </row>
    <row r="43" spans="1:29" x14ac:dyDescent="0.25">
      <c r="A43" s="43">
        <v>0</v>
      </c>
      <c r="B43">
        <f>'Pt(111)'!G163</f>
        <v>0.29740880214606835</v>
      </c>
      <c r="C43">
        <f>'Pt(111)'!G172</f>
        <v>0.17902916667753815</v>
      </c>
      <c r="D43">
        <f>'Pt(111)'!G181</f>
        <v>0.67835921303975244</v>
      </c>
      <c r="E43">
        <f>'Pt(111)'!G190</f>
        <v>-3.0329033271950745E-2</v>
      </c>
      <c r="F43">
        <f>'Pt(111)'!G197</f>
        <v>-0.11827314484837098</v>
      </c>
      <c r="G43" s="43">
        <f>'Pt(111)'!G206</f>
        <v>6.0779094626545849E-2</v>
      </c>
      <c r="H43" s="43">
        <f>'Pt(111)'!G215</f>
        <v>9.8318588361205883E-2</v>
      </c>
      <c r="I43">
        <f>'Pt(111)'!G224</f>
        <v>0.26813513869742633</v>
      </c>
      <c r="J43" s="43">
        <f>'Pt(111)'!G233</f>
        <v>0.40821850784372254</v>
      </c>
      <c r="K43">
        <f>'Pt(111)'!G242</f>
        <v>0.45795985369229508</v>
      </c>
      <c r="L43">
        <f>'Pt(111)'!G251</f>
        <v>0.30350984267296321</v>
      </c>
      <c r="M43">
        <f>'Pt(111)'!G260</f>
        <v>0.29394243919643798</v>
      </c>
      <c r="N43" s="43">
        <f>'Pt(111)'!G269</f>
        <v>0.4024499321788409</v>
      </c>
      <c r="O43">
        <f>'Pt(111)'!G278</f>
        <v>0.37520622035898776</v>
      </c>
      <c r="P43">
        <f>'Pt(111)'!G287</f>
        <v>0.51889030200881137</v>
      </c>
      <c r="Q43">
        <f>'Pt(111)'!G296</f>
        <v>0.71015212439047171</v>
      </c>
      <c r="R43">
        <f>'Pt(111)'!G305</f>
        <v>0.34576267080032264</v>
      </c>
      <c r="S43">
        <f>'Pt(111)'!G314</f>
        <v>-4.6884650023072023E-2</v>
      </c>
      <c r="T43">
        <f>'Pt(111)'!G332</f>
        <v>-0.39018498259898554</v>
      </c>
      <c r="U43">
        <f>'Pt(111)'!G341</f>
        <v>-0.37700222261174088</v>
      </c>
      <c r="V43">
        <f>'Pt(111)'!G350</f>
        <v>0.94234699210850525</v>
      </c>
      <c r="W43">
        <f>'Pt(111)'!G359</f>
        <v>0.8366398774595144</v>
      </c>
      <c r="X43">
        <f>'Pt(111)'!G368</f>
        <v>0.73531181200558882</v>
      </c>
      <c r="Y43">
        <f>'Pt(111)'!G377</f>
        <v>0.70237768049403126</v>
      </c>
      <c r="Z43">
        <f>'Pt(111)'!G386</f>
        <v>0.48168620893866843</v>
      </c>
      <c r="AA43">
        <f>'Pt(111)'!G395</f>
        <v>-1.4871386732337122E-2</v>
      </c>
      <c r="AB43" s="43">
        <f>'Pt(111)'!G413</f>
        <v>0.91275306156039537</v>
      </c>
      <c r="AC43">
        <f>'Pt(111)'!G404</f>
        <v>-0.33466131564741952</v>
      </c>
    </row>
    <row r="44" spans="1:29" x14ac:dyDescent="0.25">
      <c r="A44" s="15" t="s">
        <v>145</v>
      </c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C44" s="43"/>
    </row>
    <row r="45" spans="1:29" x14ac:dyDescent="0.25">
      <c r="A45">
        <f>'Au(111)'!C76</f>
        <v>-0.18165793199999999</v>
      </c>
      <c r="B45">
        <f>'Au(111)'!C84</f>
        <v>-0.18793137700000001</v>
      </c>
      <c r="C45">
        <f>'Au(111)'!C93</f>
        <v>-0.21010932299999999</v>
      </c>
      <c r="D45">
        <f>'Au(111)'!C102</f>
        <v>-0.19846935199999999</v>
      </c>
      <c r="E45">
        <f>'Au(111)'!C111</f>
        <v>-0.18826995099999999</v>
      </c>
      <c r="G45">
        <f>'Au(111)'!C165</f>
        <v>-0.18331587599999999</v>
      </c>
      <c r="K45">
        <f>'Au(111)'!C174</f>
        <v>-0.19141111499999999</v>
      </c>
      <c r="R45">
        <f>'Au(111)'!C138</f>
        <v>-0.186341391</v>
      </c>
      <c r="W45">
        <f>'Au(111)'!C147</f>
        <v>-0.211249832</v>
      </c>
      <c r="Z45">
        <f>'Au(111)'!C156</f>
        <v>-0.220817231</v>
      </c>
      <c r="AA45">
        <f>'Au(111)'!C120</f>
        <v>-0.190448072</v>
      </c>
      <c r="AC45">
        <f>'Au(111)'!C129</f>
        <v>-0.180895631</v>
      </c>
    </row>
    <row r="46" spans="1:29" x14ac:dyDescent="0.25">
      <c r="A46" s="43">
        <v>0.8</v>
      </c>
      <c r="B46">
        <f>'Au(111)'!G85</f>
        <v>-8.7817301473894993E-2</v>
      </c>
      <c r="C46">
        <f>'Au(111)'!G94</f>
        <v>-0.21699791678054969</v>
      </c>
      <c r="D46">
        <f>'Au(111)'!G103</f>
        <v>0.27602661108366061</v>
      </c>
      <c r="E46">
        <f>'Au(111)'!G112</f>
        <v>-0.48603127731949192</v>
      </c>
      <c r="G46">
        <f>'Au(111)'!G166</f>
        <v>-0.33734417468041555</v>
      </c>
      <c r="K46">
        <f>'Au(111)'!G175</f>
        <v>5.1065728691721379E-2</v>
      </c>
      <c r="R46">
        <f>'Au(111)'!G139</f>
        <v>-0.25607028449937935</v>
      </c>
      <c r="W46">
        <f>'Au(111)'!G148</f>
        <v>0.16648290848768352</v>
      </c>
      <c r="Z46">
        <f>'Au(111)'!G157</f>
        <v>-0.19452366953155642</v>
      </c>
      <c r="AA46">
        <f>'Au(111)'!G121</f>
        <v>-0.25509509807506259</v>
      </c>
      <c r="AC46">
        <f>'Au(111)'!G130</f>
        <v>0.94646431870688685</v>
      </c>
    </row>
    <row r="47" spans="1:29" x14ac:dyDescent="0.25">
      <c r="A47" s="43">
        <v>0.4</v>
      </c>
      <c r="B47">
        <f>'Au(111)'!G86</f>
        <v>0.25353573143142238</v>
      </c>
      <c r="C47">
        <f>'Au(111)'!G95</f>
        <v>0.26893368930961226</v>
      </c>
      <c r="D47">
        <f>'Au(111)'!G104</f>
        <v>0.50096455693536757</v>
      </c>
      <c r="E47">
        <f>'Au(111)'!G113</f>
        <v>-0.14887301352755733</v>
      </c>
      <c r="G47">
        <f>'Au(111)'!G167</f>
        <v>4.8140774212138249E-2</v>
      </c>
      <c r="K47">
        <f>'Au(111)'!G176</f>
        <v>0.35347744080118187</v>
      </c>
      <c r="R47">
        <f>'Au(111)'!G140</f>
        <v>0.1036898775282898</v>
      </c>
      <c r="W47">
        <f>'Au(111)'!G149</f>
        <v>0.62862558863360007</v>
      </c>
      <c r="Z47">
        <f>'Au(111)'!G158</f>
        <v>0.55871358003823635</v>
      </c>
      <c r="AA47">
        <f>'Au(111)'!G122</f>
        <v>6.3909787806378127E-2</v>
      </c>
      <c r="AC47">
        <f>'Au(111)'!G131</f>
        <v>0.55295511812192855</v>
      </c>
    </row>
    <row r="48" spans="1:29" x14ac:dyDescent="0.25">
      <c r="A48" s="43">
        <v>0</v>
      </c>
      <c r="B48">
        <f>'Au(111)'!G87</f>
        <v>0.5794873456593832</v>
      </c>
      <c r="C48">
        <f>'Au(111)'!G96</f>
        <v>0.73165115810899517</v>
      </c>
      <c r="D48">
        <f>'Au(111)'!G105</f>
        <v>0.69853560808231907</v>
      </c>
      <c r="E48">
        <f>'Au(111)'!G114</f>
        <v>0.18084331143145116</v>
      </c>
      <c r="G48">
        <f>'Au(111)'!G168</f>
        <v>0.429408882483026</v>
      </c>
      <c r="K48">
        <f>'Au(111)'!G177</f>
        <v>0.6691140895103691</v>
      </c>
      <c r="R48">
        <f>'Au(111)'!G141</f>
        <v>0.44774643959774402</v>
      </c>
      <c r="W48">
        <f>'Au(111)'!G150</f>
        <v>1.057405438452566</v>
      </c>
      <c r="Z48">
        <f>'Au(111)'!G159</f>
        <v>1.2643858058658204</v>
      </c>
      <c r="AA48">
        <f>'Au(111)'!G123</f>
        <v>0.32249560149449241</v>
      </c>
      <c r="AC48">
        <f>'Au(111)'!G132</f>
        <v>0.16215899488207652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4DA7-DE04-4F8E-A264-A9526CCC8D26}">
  <dimension ref="A1:AC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3" sqref="D23"/>
    </sheetView>
  </sheetViews>
  <sheetFormatPr defaultRowHeight="15" x14ac:dyDescent="0.25"/>
  <cols>
    <col min="1" max="1" width="12.85546875" customWidth="1"/>
    <col min="2" max="28" width="11.5703125" customWidth="1"/>
  </cols>
  <sheetData>
    <row r="1" spans="1:29" x14ac:dyDescent="0.25">
      <c r="A1" s="43"/>
      <c r="B1" s="43" t="s">
        <v>52</v>
      </c>
      <c r="C1" s="43" t="s">
        <v>375</v>
      </c>
      <c r="D1" s="43" t="s">
        <v>75</v>
      </c>
      <c r="E1" s="43" t="s">
        <v>387</v>
      </c>
      <c r="F1" s="43" t="s">
        <v>386</v>
      </c>
      <c r="G1" s="43" t="s">
        <v>80</v>
      </c>
      <c r="H1" s="43" t="s">
        <v>98</v>
      </c>
      <c r="I1" s="43" t="s">
        <v>234</v>
      </c>
      <c r="J1" s="43" t="s">
        <v>376</v>
      </c>
      <c r="K1" s="43" t="s">
        <v>235</v>
      </c>
      <c r="L1" s="43" t="s">
        <v>244</v>
      </c>
      <c r="M1" s="43" t="s">
        <v>245</v>
      </c>
      <c r="N1" s="43" t="s">
        <v>97</v>
      </c>
      <c r="O1" s="43" t="s">
        <v>197</v>
      </c>
      <c r="P1" s="43" t="s">
        <v>377</v>
      </c>
      <c r="Q1" s="43" t="s">
        <v>378</v>
      </c>
      <c r="R1" s="43" t="s">
        <v>379</v>
      </c>
      <c r="S1" s="43" t="s">
        <v>380</v>
      </c>
      <c r="T1" s="43" t="s">
        <v>207</v>
      </c>
      <c r="U1" s="43" t="s">
        <v>381</v>
      </c>
      <c r="V1" s="43" t="s">
        <v>264</v>
      </c>
      <c r="W1" s="43" t="s">
        <v>382</v>
      </c>
      <c r="X1" s="43" t="s">
        <v>261</v>
      </c>
      <c r="Y1" s="43" t="s">
        <v>383</v>
      </c>
      <c r="Z1" s="43" t="s">
        <v>384</v>
      </c>
      <c r="AA1" s="43" t="s">
        <v>271</v>
      </c>
      <c r="AB1" s="43" t="s">
        <v>275</v>
      </c>
      <c r="AC1" s="43" t="s">
        <v>385</v>
      </c>
    </row>
    <row r="2" spans="1:29" x14ac:dyDescent="0.25">
      <c r="A2" s="43" t="s">
        <v>334</v>
      </c>
      <c r="B2" s="43">
        <v>-1</v>
      </c>
      <c r="C2" s="43">
        <v>-2</v>
      </c>
      <c r="D2" s="43">
        <v>-1</v>
      </c>
      <c r="E2" s="43">
        <v>-1</v>
      </c>
      <c r="F2" s="43">
        <v>-1</v>
      </c>
      <c r="G2" s="43">
        <v>-1</v>
      </c>
      <c r="H2" s="43">
        <v>-1</v>
      </c>
      <c r="I2" s="43">
        <v>-1</v>
      </c>
      <c r="J2" s="43">
        <v>-1</v>
      </c>
      <c r="K2" s="43">
        <v>-1</v>
      </c>
      <c r="L2" s="43">
        <v>-1</v>
      </c>
      <c r="M2" s="43">
        <v>-1</v>
      </c>
      <c r="N2" s="43">
        <v>-1</v>
      </c>
      <c r="O2" s="43">
        <v>-1</v>
      </c>
      <c r="P2" s="43">
        <v>-2</v>
      </c>
      <c r="Q2" s="43">
        <v>-1</v>
      </c>
      <c r="R2" s="43">
        <v>-1</v>
      </c>
      <c r="S2" s="43">
        <v>-1</v>
      </c>
      <c r="T2" s="43">
        <v>-1</v>
      </c>
      <c r="U2" s="43">
        <v>-2</v>
      </c>
      <c r="V2" s="43">
        <v>-1</v>
      </c>
      <c r="W2" s="43">
        <v>-2</v>
      </c>
      <c r="X2" s="43">
        <v>-1</v>
      </c>
      <c r="Y2" s="43">
        <v>-2</v>
      </c>
      <c r="Z2" s="43">
        <v>-3</v>
      </c>
      <c r="AA2" s="43">
        <v>-1</v>
      </c>
      <c r="AB2" s="43">
        <v>-1</v>
      </c>
      <c r="AC2" s="43"/>
    </row>
    <row r="3" spans="1:29" x14ac:dyDescent="0.25">
      <c r="A3" s="43" t="s">
        <v>18</v>
      </c>
      <c r="B3" s="43">
        <f>'Exp. thermo'!B25</f>
        <v>6.35</v>
      </c>
      <c r="C3" s="43">
        <f>'Exp. thermo'!B26</f>
        <v>10.3</v>
      </c>
      <c r="D3" s="43">
        <f>'Exp. thermo'!B27</f>
        <v>-1.38</v>
      </c>
      <c r="E3" s="43">
        <f>'Exp. thermo'!B28</f>
        <v>3.35</v>
      </c>
      <c r="F3" s="43">
        <f>'Exp. thermo'!B28</f>
        <v>3.35</v>
      </c>
      <c r="G3" s="43">
        <f>'Exp. thermo'!B29</f>
        <v>4.76</v>
      </c>
      <c r="H3" s="43">
        <f>'Exp. thermo'!B30</f>
        <v>3.83</v>
      </c>
      <c r="I3" s="15">
        <f>'Exp. thermo'!B31</f>
        <v>2.87</v>
      </c>
      <c r="J3" s="43">
        <f>'Exp. thermo'!B32</f>
        <v>1.26</v>
      </c>
      <c r="K3" s="15">
        <f>'Exp. thermo'!B33</f>
        <v>0.51</v>
      </c>
      <c r="L3" s="15">
        <f>'Exp. thermo'!B34</f>
        <v>2.59</v>
      </c>
      <c r="M3" s="15">
        <f>'Exp. thermo'!B35</f>
        <v>1.34</v>
      </c>
      <c r="N3" s="43">
        <f>'Exp. thermo'!B36</f>
        <v>0.3</v>
      </c>
      <c r="O3" s="15">
        <f>'Exp. thermo'!B37</f>
        <v>1.46</v>
      </c>
      <c r="P3" s="15">
        <f>'Exp. thermo'!B38</f>
        <v>4.4000000000000004</v>
      </c>
      <c r="Q3" s="43">
        <v>3.2</v>
      </c>
      <c r="R3" s="43">
        <v>-6.3</v>
      </c>
      <c r="S3" s="43">
        <v>-9</v>
      </c>
      <c r="T3" s="15">
        <f>'Exp. thermo'!B39</f>
        <v>1.9</v>
      </c>
      <c r="U3" s="15">
        <f>'Exp. thermo'!B40</f>
        <v>7.21</v>
      </c>
      <c r="V3" s="43">
        <v>-2.8</v>
      </c>
      <c r="W3" s="43">
        <f>'Exp. thermo'!B41</f>
        <v>1.92</v>
      </c>
      <c r="X3" s="15">
        <f>'Exp. thermo'!B44</f>
        <v>2.15</v>
      </c>
      <c r="Y3" s="15">
        <f>'Exp. thermo'!B45</f>
        <v>7.09</v>
      </c>
      <c r="Z3" s="15">
        <f>'Exp. thermo'!B46</f>
        <v>12.32</v>
      </c>
      <c r="AA3" s="15">
        <f>'Exp. thermo'!B47</f>
        <v>14</v>
      </c>
      <c r="AB3" s="43">
        <f>'Exp. thermo'!B48</f>
        <v>-10</v>
      </c>
      <c r="AC3" s="15"/>
    </row>
    <row r="4" spans="1:29" x14ac:dyDescent="0.25">
      <c r="A4" s="65" t="s">
        <v>335</v>
      </c>
    </row>
    <row r="5" spans="1:29" x14ac:dyDescent="0.25">
      <c r="A5" s="15" t="s">
        <v>336</v>
      </c>
      <c r="B5" s="15">
        <v>-0.40263500000000002</v>
      </c>
      <c r="C5" s="15">
        <v>6.6183000000000006E-2</v>
      </c>
      <c r="D5" s="15">
        <v>-2.7455E-2</v>
      </c>
      <c r="E5" s="15">
        <v>-7.1631E-2</v>
      </c>
      <c r="F5" s="15">
        <v>3.9197000000000003E-2</v>
      </c>
      <c r="G5" s="15">
        <v>-0.50919999999999999</v>
      </c>
      <c r="H5" s="15">
        <v>-0.57289199999999996</v>
      </c>
      <c r="I5" s="15">
        <v>-0.37509900000000002</v>
      </c>
      <c r="J5" s="15">
        <v>-0.37772600000000001</v>
      </c>
      <c r="K5" s="15">
        <v>-0.32623400000000002</v>
      </c>
      <c r="L5" s="15">
        <v>-0.42489300000000002</v>
      </c>
      <c r="M5" s="15">
        <v>-0.31868600000000002</v>
      </c>
      <c r="N5" s="15">
        <v>-0.157225</v>
      </c>
      <c r="O5" s="15">
        <v>-0.58106599999999997</v>
      </c>
      <c r="P5" s="15">
        <v>-1.5870000000000001E-3</v>
      </c>
      <c r="Q5" s="15">
        <v>0</v>
      </c>
      <c r="R5" s="15">
        <v>0</v>
      </c>
      <c r="S5" s="15">
        <v>0</v>
      </c>
      <c r="T5" s="15">
        <v>5.0798000000000003E-2</v>
      </c>
      <c r="U5" s="15">
        <v>0.19197600000000001</v>
      </c>
      <c r="V5" s="15">
        <v>-0.42628100000000002</v>
      </c>
      <c r="W5" s="15">
        <v>-3.5040000000000002E-3</v>
      </c>
      <c r="X5" s="15">
        <v>-0.29516100000000001</v>
      </c>
      <c r="Y5" s="15">
        <v>-0.49930000000000002</v>
      </c>
      <c r="Z5" s="15">
        <v>2.9609E-2</v>
      </c>
      <c r="AA5" s="43">
        <v>-0.12081500000000001</v>
      </c>
      <c r="AB5" s="43">
        <v>3.248E-3</v>
      </c>
      <c r="AC5" s="43"/>
    </row>
    <row r="6" spans="1:29" x14ac:dyDescent="0.25">
      <c r="A6" s="66" t="s">
        <v>337</v>
      </c>
      <c r="AA6" s="43"/>
      <c r="AB6" s="43"/>
      <c r="AC6" s="43"/>
    </row>
    <row r="7" spans="1:29" x14ac:dyDescent="0.25">
      <c r="A7" s="43" t="s">
        <v>331</v>
      </c>
      <c r="B7" s="64">
        <v>-264.16884748578798</v>
      </c>
      <c r="C7" s="64">
        <v>-263.497079527913</v>
      </c>
      <c r="D7" s="64">
        <v>-280.10013458515999</v>
      </c>
      <c r="E7" s="64">
        <v>-204.957055233674</v>
      </c>
      <c r="F7" s="64">
        <v>-204.957055233674</v>
      </c>
      <c r="G7" s="64">
        <v>-228.24695266322999</v>
      </c>
      <c r="H7" s="64">
        <v>-303.42265546764202</v>
      </c>
      <c r="I7" s="64">
        <v>-687.67774049463196</v>
      </c>
      <c r="J7" s="64">
        <v>-1147.1115222194001</v>
      </c>
      <c r="K7" s="64">
        <v>-1606.5355025219801</v>
      </c>
      <c r="L7" s="64">
        <v>-327.42964394936598</v>
      </c>
      <c r="M7" s="64">
        <v>-426.62566899825902</v>
      </c>
      <c r="N7" s="64">
        <v>-525.82593030264297</v>
      </c>
      <c r="O7" s="64">
        <v>-377.42656795712901</v>
      </c>
      <c r="P7" s="64">
        <v>-376.76663858550302</v>
      </c>
      <c r="Q7" s="64">
        <v>-99.666683033249001</v>
      </c>
      <c r="R7" s="64">
        <v>-459.96700635485797</v>
      </c>
      <c r="S7" s="64">
        <v>-2573.7695203405901</v>
      </c>
      <c r="T7" s="64">
        <v>-624.11601809523097</v>
      </c>
      <c r="U7" s="64">
        <v>-623.45377105159002</v>
      </c>
      <c r="V7" s="64">
        <v>-699.28138310609097</v>
      </c>
      <c r="W7" s="64">
        <v>-698.56722001587104</v>
      </c>
      <c r="X7" s="64">
        <v>-643.169599223251</v>
      </c>
      <c r="Y7" s="64">
        <v>-642.498768197309</v>
      </c>
      <c r="Z7" s="64">
        <v>-641.82455356648802</v>
      </c>
      <c r="AA7" s="64">
        <v>-75.683579877235005</v>
      </c>
      <c r="AB7" s="64">
        <v>-760.39548621020003</v>
      </c>
      <c r="AC7" s="43">
        <v>-0.49981107352100002</v>
      </c>
    </row>
    <row r="8" spans="1:29" x14ac:dyDescent="0.25">
      <c r="A8" s="43" t="s">
        <v>330</v>
      </c>
      <c r="B8" s="64">
        <v>-264.30765972</v>
      </c>
      <c r="C8" s="64">
        <v>-263.66741285801498</v>
      </c>
      <c r="D8" s="64">
        <v>-280.22856374000003</v>
      </c>
      <c r="E8" s="64">
        <v>-205.05221460000001</v>
      </c>
      <c r="F8" s="64">
        <v>-205.05221460000001</v>
      </c>
      <c r="G8" s="64">
        <v>-228.36833908</v>
      </c>
      <c r="H8" s="64">
        <v>-303.56547593658399</v>
      </c>
      <c r="I8" s="64">
        <v>-687.82106144758097</v>
      </c>
      <c r="J8" s="64">
        <v>-1147.2634659953201</v>
      </c>
      <c r="K8" s="64">
        <v>-1606.69903990435</v>
      </c>
      <c r="L8" s="64">
        <v>-327.566476890498</v>
      </c>
      <c r="M8" s="64">
        <v>-426.77297772898299</v>
      </c>
      <c r="N8" s="64">
        <v>-525.98867556694097</v>
      </c>
      <c r="O8" s="64">
        <v>-377.56782325654501</v>
      </c>
      <c r="P8" s="64">
        <v>-376.94489585806599</v>
      </c>
      <c r="Q8" s="64">
        <v>-99.801037745105006</v>
      </c>
      <c r="R8" s="64">
        <v>-460.10122210267099</v>
      </c>
      <c r="S8" s="64">
        <v>-2573.89793480567</v>
      </c>
      <c r="T8" s="64">
        <v>-624.25063378608002</v>
      </c>
      <c r="U8" s="64">
        <v>-623.61329311670704</v>
      </c>
      <c r="V8" s="64">
        <v>-699.44728744429904</v>
      </c>
      <c r="W8" s="64">
        <v>-698.79072820871397</v>
      </c>
      <c r="X8" s="64">
        <v>-643.33676401878199</v>
      </c>
      <c r="Y8">
        <v>-642.67656110846701</v>
      </c>
      <c r="Z8" s="64">
        <v>-641.96216729717901</v>
      </c>
      <c r="AA8" s="64">
        <v>-75.755761309009003</v>
      </c>
      <c r="AB8" s="64">
        <v>-760.57597984619395</v>
      </c>
      <c r="AC8" s="43"/>
    </row>
    <row r="9" spans="1:29" x14ac:dyDescent="0.25">
      <c r="A9" s="43" t="s">
        <v>332</v>
      </c>
      <c r="B9" s="64"/>
      <c r="C9" s="64">
        <v>-263.53087491000002</v>
      </c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>
        <v>-376.86838615166198</v>
      </c>
      <c r="Q9" s="64"/>
      <c r="R9" s="64"/>
      <c r="S9" s="64"/>
      <c r="T9" s="64"/>
      <c r="U9" s="64">
        <v>-623.50216258919897</v>
      </c>
      <c r="V9" s="64"/>
      <c r="W9" s="64">
        <v>-698.724022357781</v>
      </c>
      <c r="X9" s="64"/>
      <c r="Y9" s="64">
        <v>-642.60341638131194</v>
      </c>
      <c r="Z9" s="64">
        <v>-641.95252371476204</v>
      </c>
      <c r="AA9" s="64"/>
      <c r="AB9" s="64"/>
      <c r="AC9" s="64"/>
    </row>
    <row r="10" spans="1:29" x14ac:dyDescent="0.25">
      <c r="A10" s="43" t="s">
        <v>333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>
        <v>-641.68467761946499</v>
      </c>
      <c r="AA10" s="64"/>
      <c r="AB10" s="64"/>
    </row>
    <row r="11" spans="1:29" x14ac:dyDescent="0.25">
      <c r="A11" s="15" t="s">
        <v>362</v>
      </c>
      <c r="B11" s="64">
        <f>-0.3165957</f>
        <v>-0.31659569999999998</v>
      </c>
      <c r="C11" s="64">
        <f>-0.338424</f>
        <v>-0.338424</v>
      </c>
      <c r="D11" s="64">
        <f>-0.3193471</f>
        <v>-0.31934709999999999</v>
      </c>
      <c r="E11" s="64">
        <f>-0.2930847</f>
        <v>-0.29308469999999998</v>
      </c>
      <c r="F11" s="64">
        <f>-0.2930847</f>
        <v>-0.29308469999999998</v>
      </c>
      <c r="G11" s="64">
        <f>-0.2841365</f>
        <v>-0.28413650000000001</v>
      </c>
      <c r="H11" s="64">
        <f>-0.2794657</f>
        <v>-0.27946569999999998</v>
      </c>
      <c r="I11" s="64">
        <f>-0.2928203</f>
        <v>-0.29282029999999998</v>
      </c>
      <c r="J11" s="64">
        <f>-0.2933268</f>
        <v>-0.2933268</v>
      </c>
      <c r="K11" s="64">
        <f>-0.2919142</f>
        <v>-0.29191420000000001</v>
      </c>
      <c r="L11" s="64">
        <f>-0.3015336</f>
        <v>-0.30153360000000001</v>
      </c>
      <c r="M11" s="64">
        <f>-0.3105272</f>
        <v>-0.3105272</v>
      </c>
      <c r="N11" s="64">
        <f>-0.3277862</f>
        <v>-0.32778620000000003</v>
      </c>
      <c r="O11" s="64">
        <f>-0.2815863</f>
        <v>-0.28158630000000001</v>
      </c>
      <c r="P11" s="64">
        <f>-0.3216372</f>
        <v>-0.32163720000000001</v>
      </c>
      <c r="Q11" s="64">
        <f>-0.4062254</f>
        <v>-0.40622540000000001</v>
      </c>
      <c r="R11" s="64">
        <f>-0.3133602</f>
        <v>-0.31336019999999998</v>
      </c>
      <c r="S11" s="64">
        <f>-0.2876602</f>
        <v>-0.28766019999999998</v>
      </c>
      <c r="T11" s="64">
        <f>-0.2961275</f>
        <v>-0.29612749999999999</v>
      </c>
      <c r="U11" s="64">
        <f>-0.2910376</f>
        <v>-0.29103760000000001</v>
      </c>
      <c r="V11" s="64">
        <f>-0.3063678</f>
        <v>-0.30636780000000002</v>
      </c>
      <c r="W11" s="64">
        <f>-0.327013</f>
        <v>-0.327013</v>
      </c>
      <c r="X11" s="64">
        <f>-0.3049119</f>
        <v>-0.30491190000000001</v>
      </c>
      <c r="Y11" s="64">
        <f>-0.3347863</f>
        <v>-0.33478629999999998</v>
      </c>
      <c r="Z11" s="64">
        <f>-0.3459993</f>
        <v>-0.34599930000000001</v>
      </c>
      <c r="AA11" s="64">
        <f>-0.2938578</f>
        <v>-0.2938578</v>
      </c>
      <c r="AB11" s="64">
        <f>-0.3262065</f>
        <v>-0.32620650000000001</v>
      </c>
    </row>
    <row r="12" spans="1:29" x14ac:dyDescent="0.25">
      <c r="A12" s="15" t="s">
        <v>363</v>
      </c>
      <c r="B12" s="64">
        <f>-0.2824159</f>
        <v>-0.2824159</v>
      </c>
      <c r="C12" s="64">
        <f>-0.3148548</f>
        <v>-0.31485479999999999</v>
      </c>
      <c r="D12" s="64">
        <f>-0.2739349</f>
        <v>-0.27393489999999998</v>
      </c>
      <c r="E12" s="64">
        <f>-0.2441387</f>
        <v>-0.24413869999999999</v>
      </c>
      <c r="F12" s="64">
        <f>-0.2441387</f>
        <v>-0.24413869999999999</v>
      </c>
      <c r="G12" s="64">
        <f>-0.250947</f>
        <v>-0.25094699999999998</v>
      </c>
      <c r="H12" s="64">
        <f>-0.2699958</f>
        <v>-0.26999580000000001</v>
      </c>
      <c r="I12" s="64">
        <f>-0.2622918</f>
        <v>-0.26229180000000002</v>
      </c>
      <c r="J12" s="64">
        <f>-0.2648462</f>
        <v>-0.26484619999999998</v>
      </c>
      <c r="K12" s="64">
        <f>-0.2714586</f>
        <v>-0.27145859999999999</v>
      </c>
      <c r="L12" s="64">
        <f>-0.2653484</f>
        <v>-0.26534839999999998</v>
      </c>
      <c r="M12" s="64">
        <f>-0.2757906</f>
        <v>-0.2757906</v>
      </c>
      <c r="N12" s="64">
        <f>-0.2929337</f>
        <v>-0.29293370000000002</v>
      </c>
      <c r="O12" s="64">
        <f>-0.2630715</f>
        <v>-0.26307150000000001</v>
      </c>
      <c r="P12" s="64">
        <f>-0.3007686</f>
        <v>-0.3007686</v>
      </c>
      <c r="Q12" s="64">
        <f>-0.3419747</f>
        <v>-0.34197470000000002</v>
      </c>
      <c r="R12" s="64">
        <f>-0.2841254</f>
        <v>-0.28412539999999997</v>
      </c>
      <c r="S12" s="64">
        <f>-0.2664539</f>
        <v>-0.26645390000000002</v>
      </c>
      <c r="T12" s="64">
        <f>-0.2592633</f>
        <v>-0.25926329999999997</v>
      </c>
      <c r="U12" s="64">
        <f>-0.2892933</f>
        <v>-0.28929329999999998</v>
      </c>
      <c r="V12" s="64">
        <f>-0.2962832</f>
        <v>-0.29628320000000002</v>
      </c>
      <c r="W12" s="64">
        <f>-0.3255533</f>
        <v>-0.32555329999999999</v>
      </c>
      <c r="X12" s="64">
        <f>-0.2908674</f>
        <v>-0.2908674</v>
      </c>
      <c r="Y12" s="64">
        <f>-0.2997902</f>
        <v>-0.29979020000000001</v>
      </c>
      <c r="Z12" s="64">
        <f>-0.306512</f>
        <v>-0.30651200000000001</v>
      </c>
      <c r="AA12" s="64">
        <f>-0.2372032</f>
        <v>-0.2372032</v>
      </c>
      <c r="AB12" s="64">
        <f>-0.309357</f>
        <v>-0.30935699999999999</v>
      </c>
    </row>
    <row r="13" spans="1:29" x14ac:dyDescent="0.25">
      <c r="A13" s="15" t="s">
        <v>360</v>
      </c>
      <c r="B13" s="64">
        <f>0.001025852</f>
        <v>1.0258520000000001E-3</v>
      </c>
      <c r="C13" s="64">
        <f>-0.03002219</f>
        <v>-3.0022190000000001E-2</v>
      </c>
      <c r="D13" s="64">
        <f>0.01260055</f>
        <v>1.260055E-2</v>
      </c>
      <c r="E13" s="64">
        <f>0.04422048</f>
        <v>4.422048E-2</v>
      </c>
      <c r="F13" s="64">
        <f>0.04422048</f>
        <v>4.422048E-2</v>
      </c>
      <c r="G13" s="64">
        <f>0.01227993</f>
        <v>1.227993E-2</v>
      </c>
      <c r="H13" s="64">
        <f>-0.01185736</f>
        <v>-1.1857360000000001E-2</v>
      </c>
      <c r="I13" s="64">
        <f>-0.01904186</f>
        <v>-1.9041860000000001E-2</v>
      </c>
      <c r="J13" s="64">
        <f>-0.03337889</f>
        <v>-3.3378890000000001E-2</v>
      </c>
      <c r="K13" s="64">
        <f>-0.04696965</f>
        <v>-4.6969650000000002E-2</v>
      </c>
      <c r="L13" s="64">
        <f>-0.008873016</f>
        <v>-8.8730159999999992E-3</v>
      </c>
      <c r="M13" s="64">
        <f>-0.01827993</f>
        <v>-1.827993E-2</v>
      </c>
      <c r="N13" s="64">
        <f>-0.02904546</f>
        <v>-2.9045459999999999E-2</v>
      </c>
      <c r="O13" s="64">
        <f>-0.01520191</f>
        <v>-1.5201910000000001E-2</v>
      </c>
      <c r="P13" s="64">
        <f>-0.05816026</f>
        <v>-5.8160259999999998E-2</v>
      </c>
      <c r="Q13" s="64">
        <f>0.05697034</f>
        <v>5.6970340000000001E-2</v>
      </c>
      <c r="R13" s="64">
        <f>0.008909922</f>
        <v>8.9099220000000007E-3</v>
      </c>
      <c r="S13" s="64">
        <f>0.002995456</f>
        <v>2.9954560000000001E-3</v>
      </c>
      <c r="T13" s="64">
        <f>-0.01388249</f>
        <v>-1.3882490000000001E-2</v>
      </c>
      <c r="U13" s="64">
        <f>-0.030941</f>
        <v>-3.0941E-2</v>
      </c>
      <c r="V13" s="64">
        <f>-0.03753312</f>
        <v>-3.7533120000000003E-2</v>
      </c>
      <c r="W13" s="64">
        <f>-0.06569135</f>
        <v>-6.5691349999999996E-2</v>
      </c>
      <c r="X13" s="64">
        <f>-0.04081112</f>
        <v>-4.0811119999999999E-2</v>
      </c>
      <c r="Y13" s="64">
        <f>-0.06390347</f>
        <v>-6.3903470000000004E-2</v>
      </c>
      <c r="Z13" s="64">
        <f>-0.07249746</f>
        <v>-7.249746E-2</v>
      </c>
      <c r="AA13" s="64">
        <f>0.07977656</f>
        <v>7.9776559999999996E-2</v>
      </c>
      <c r="AB13" s="64">
        <f>-0.05389905</f>
        <v>-5.3899049999999997E-2</v>
      </c>
    </row>
    <row r="14" spans="1:29" x14ac:dyDescent="0.25">
      <c r="A14" s="15" t="s">
        <v>361</v>
      </c>
      <c r="B14" s="64">
        <f>0.001025852</f>
        <v>1.0258520000000001E-3</v>
      </c>
      <c r="C14" s="64">
        <f>0.2494209</f>
        <v>0.2494209</v>
      </c>
      <c r="D14" s="64">
        <f>0.01260055</f>
        <v>1.260055E-2</v>
      </c>
      <c r="E14" s="64">
        <f>0.04422048</f>
        <v>4.422048E-2</v>
      </c>
      <c r="F14" s="64">
        <f>0.04422048</f>
        <v>4.422048E-2</v>
      </c>
      <c r="G14" s="64">
        <f>0.01227993</f>
        <v>1.227993E-2</v>
      </c>
      <c r="H14" s="64">
        <f>-0.01185736</f>
        <v>-1.1857360000000001E-2</v>
      </c>
      <c r="I14" s="64">
        <f>-0.01904186</f>
        <v>-1.9041860000000001E-2</v>
      </c>
      <c r="J14" s="64">
        <f>-0.03337889</f>
        <v>-3.3378890000000001E-2</v>
      </c>
      <c r="K14" s="64">
        <f>-0.04696965</f>
        <v>-4.6969650000000002E-2</v>
      </c>
      <c r="L14" s="64">
        <f>-0.008873016</f>
        <v>-8.8730159999999992E-3</v>
      </c>
      <c r="M14" s="64">
        <f>-0.01827993</f>
        <v>-1.827993E-2</v>
      </c>
      <c r="N14" s="64">
        <f>-0.02904546</f>
        <v>-2.9045459999999999E-2</v>
      </c>
      <c r="O14" s="64">
        <f>-0.01520191</f>
        <v>-1.5201910000000001E-2</v>
      </c>
      <c r="P14" s="64">
        <f>0.1775215</f>
        <v>0.1775215</v>
      </c>
      <c r="Q14" s="64">
        <f>0.05697034</f>
        <v>5.6970340000000001E-2</v>
      </c>
      <c r="R14" s="64">
        <f>0.008909922</f>
        <v>8.9099220000000007E-3</v>
      </c>
      <c r="S14" s="64">
        <f>0.002995456</f>
        <v>2.9954560000000001E-3</v>
      </c>
      <c r="T14" s="64">
        <f>-0.01388249</f>
        <v>-1.3882490000000001E-2</v>
      </c>
      <c r="U14" s="64">
        <f>0.2086663</f>
        <v>0.2086663</v>
      </c>
      <c r="V14" s="64">
        <f>-0.03753312</f>
        <v>-3.7533120000000003E-2</v>
      </c>
      <c r="W14" s="64">
        <f>0.1788237</f>
        <v>0.1788237</v>
      </c>
      <c r="X14" s="64">
        <f>-0.04081112</f>
        <v>-4.0811119999999999E-2</v>
      </c>
      <c r="Y14" s="64">
        <f>0.1842646</f>
        <v>0.1842646</v>
      </c>
      <c r="Z14" s="64">
        <f>0.3506581</f>
        <v>0.35065809999999997</v>
      </c>
      <c r="AA14" s="64">
        <f>0.07977656</f>
        <v>7.9776559999999996E-2</v>
      </c>
      <c r="AB14" s="64">
        <f>-0.05389905</f>
        <v>-5.3899049999999997E-2</v>
      </c>
    </row>
    <row r="15" spans="1:29" x14ac:dyDescent="0.25">
      <c r="A15" s="43" t="s">
        <v>357</v>
      </c>
      <c r="B15" s="64">
        <f>B7-B8</f>
        <v>0.13881223421202549</v>
      </c>
      <c r="C15" s="64">
        <f>C7-C8</f>
        <v>0.17033333010198248</v>
      </c>
      <c r="D15" s="64">
        <f t="shared" ref="D15:G15" si="0">D7-D8</f>
        <v>0.1284291548400347</v>
      </c>
      <c r="E15" s="64">
        <f t="shared" si="0"/>
        <v>9.5159366326015515E-2</v>
      </c>
      <c r="F15" s="64">
        <f t="shared" si="0"/>
        <v>9.5159366326015515E-2</v>
      </c>
      <c r="G15" s="64">
        <f t="shared" si="0"/>
        <v>0.12138641677000805</v>
      </c>
      <c r="H15" s="64">
        <f t="shared" ref="H15:I15" si="1">H7-H8</f>
        <v>0.1428204689419772</v>
      </c>
      <c r="I15" s="64">
        <f t="shared" si="1"/>
        <v>0.14332095294901137</v>
      </c>
      <c r="J15" s="64">
        <f t="shared" ref="J15:K15" si="2">J7-J8</f>
        <v>0.15194377592001729</v>
      </c>
      <c r="K15" s="64">
        <f t="shared" si="2"/>
        <v>0.16353738236989557</v>
      </c>
      <c r="L15" s="64">
        <f t="shared" ref="L15:M15" si="3">L7-L8</f>
        <v>0.13683294113201327</v>
      </c>
      <c r="M15" s="64">
        <f t="shared" si="3"/>
        <v>0.14730873072397799</v>
      </c>
      <c r="N15" s="64">
        <f t="shared" ref="N15:O15" si="4">N7-N8</f>
        <v>0.16274526429799607</v>
      </c>
      <c r="O15" s="64">
        <f t="shared" si="4"/>
        <v>0.14125529941600234</v>
      </c>
      <c r="P15" s="64">
        <f>P7-P8</f>
        <v>0.17825727256297341</v>
      </c>
      <c r="Q15" s="64">
        <f t="shared" ref="Q15:R15" si="5">Q7-Q8</f>
        <v>0.13435471185600534</v>
      </c>
      <c r="R15" s="64">
        <f t="shared" si="5"/>
        <v>0.13421574781301615</v>
      </c>
      <c r="S15" s="64">
        <f t="shared" ref="S15" si="6">S7-S8</f>
        <v>0.1284144650799135</v>
      </c>
      <c r="T15" s="64">
        <f t="shared" ref="T15:V15" si="7">T7-T8</f>
        <v>0.13461569084904568</v>
      </c>
      <c r="U15" s="64">
        <f>U7-U8</f>
        <v>0.15952206511701661</v>
      </c>
      <c r="V15" s="64">
        <f t="shared" si="7"/>
        <v>0.16590433820806538</v>
      </c>
      <c r="W15" s="64">
        <f>W7-W8</f>
        <v>0.22350819284292811</v>
      </c>
      <c r="X15" s="64">
        <f t="shared" ref="X15" si="8">X7-X8</f>
        <v>0.16716479553099362</v>
      </c>
      <c r="Y15" s="64">
        <f>Y7-Y8</f>
        <v>0.17779291115800788</v>
      </c>
      <c r="Z15" s="64">
        <f>Z7-Z8</f>
        <v>0.13761373069098681</v>
      </c>
      <c r="AA15" s="64">
        <f t="shared" ref="AA15:AB15" si="9">AA7-AA8</f>
        <v>7.2181431773998384E-2</v>
      </c>
      <c r="AB15" s="64">
        <f t="shared" si="9"/>
        <v>0.18049363599391199</v>
      </c>
    </row>
    <row r="16" spans="1:29" x14ac:dyDescent="0.25">
      <c r="A16" s="43" t="s">
        <v>364</v>
      </c>
      <c r="B16" s="64">
        <f>B7-B8</f>
        <v>0.13881223421202549</v>
      </c>
      <c r="C16" s="64">
        <f>C8-C9</f>
        <v>-0.13653794801496133</v>
      </c>
      <c r="D16" s="64">
        <f t="shared" ref="D16:O16" si="10">D7-D8</f>
        <v>0.1284291548400347</v>
      </c>
      <c r="E16" s="64">
        <f t="shared" si="10"/>
        <v>9.5159366326015515E-2</v>
      </c>
      <c r="F16" s="64">
        <f t="shared" si="10"/>
        <v>9.5159366326015515E-2</v>
      </c>
      <c r="G16" s="64">
        <f t="shared" si="10"/>
        <v>0.12138641677000805</v>
      </c>
      <c r="H16" s="64">
        <f t="shared" si="10"/>
        <v>0.1428204689419772</v>
      </c>
      <c r="I16" s="64">
        <f t="shared" si="10"/>
        <v>0.14332095294901137</v>
      </c>
      <c r="J16" s="64">
        <f t="shared" si="10"/>
        <v>0.15194377592001729</v>
      </c>
      <c r="K16" s="64">
        <f t="shared" si="10"/>
        <v>0.16353738236989557</v>
      </c>
      <c r="L16" s="64">
        <f t="shared" si="10"/>
        <v>0.13683294113201327</v>
      </c>
      <c r="M16" s="64">
        <f t="shared" si="10"/>
        <v>0.14730873072397799</v>
      </c>
      <c r="N16" s="64">
        <f t="shared" si="10"/>
        <v>0.16274526429799607</v>
      </c>
      <c r="O16" s="64">
        <f t="shared" si="10"/>
        <v>0.14125529941600234</v>
      </c>
      <c r="P16" s="64">
        <f>P8-P9</f>
        <v>-7.6509706404010558E-2</v>
      </c>
      <c r="Q16" s="64">
        <f>Q7-Q8</f>
        <v>0.13435471185600534</v>
      </c>
      <c r="R16" s="64">
        <f>R7-R8</f>
        <v>0.13421574781301615</v>
      </c>
      <c r="S16" s="64">
        <f>S7-S8</f>
        <v>0.1284144650799135</v>
      </c>
      <c r="T16" s="64">
        <f>T7-T8</f>
        <v>0.13461569084904568</v>
      </c>
      <c r="U16" s="64">
        <f>U8-U9</f>
        <v>-0.11113052750806673</v>
      </c>
      <c r="V16" s="64">
        <f>V7-V8</f>
        <v>0.16590433820806538</v>
      </c>
      <c r="W16" s="64">
        <f>W8-W9</f>
        <v>-6.6705850932976318E-2</v>
      </c>
      <c r="X16" s="64">
        <f>X7-X8</f>
        <v>0.16716479553099362</v>
      </c>
      <c r="Y16" s="64">
        <f>Y8-Y9</f>
        <v>-7.3144727155067812E-2</v>
      </c>
      <c r="Z16" s="64">
        <f>Z9-Z10</f>
        <v>-0.26784609529704539</v>
      </c>
      <c r="AA16" s="64">
        <f>AA7-AA8</f>
        <v>7.2181431773998384E-2</v>
      </c>
      <c r="AB16" s="64">
        <f>AB7-AB8</f>
        <v>0.18049363599391199</v>
      </c>
    </row>
    <row r="17" spans="1:28" x14ac:dyDescent="0.25">
      <c r="A17" s="15" t="s">
        <v>359</v>
      </c>
      <c r="B17" s="15">
        <v>-264.85147809415201</v>
      </c>
      <c r="C17" s="68">
        <f>B8</f>
        <v>-264.30765972</v>
      </c>
      <c r="D17" s="15">
        <v>-280.755848885901</v>
      </c>
      <c r="E17" s="15">
        <v>-205.599440896934</v>
      </c>
      <c r="F17" s="15">
        <v>-205.599440896934</v>
      </c>
      <c r="G17" s="15">
        <v>-228.92863365221001</v>
      </c>
      <c r="H17" s="15">
        <v>-304.10424977093101</v>
      </c>
      <c r="I17" s="15">
        <v>-688.35782875478299</v>
      </c>
      <c r="J17" s="15">
        <v>-1147.7896234418299</v>
      </c>
      <c r="K17" s="15">
        <v>-1607.21604067114</v>
      </c>
      <c r="L17" s="15">
        <v>-328.10984756527199</v>
      </c>
      <c r="M17" s="15">
        <v>-427.30506328709703</v>
      </c>
      <c r="N17">
        <v>-526.511768311894</v>
      </c>
      <c r="O17" s="15">
        <v>-378.102529782072</v>
      </c>
      <c r="P17" s="68">
        <f>O8</f>
        <v>-377.56782325654501</v>
      </c>
      <c r="Q17" s="15">
        <v>-100.392856254821</v>
      </c>
      <c r="R17" s="15">
        <v>-460.63570891903299</v>
      </c>
      <c r="S17" s="15">
        <v>-2574.4174385896799</v>
      </c>
      <c r="T17" s="15">
        <v>-624.77631969818003</v>
      </c>
      <c r="U17" s="68">
        <f>T8</f>
        <v>-624.25063378608002</v>
      </c>
      <c r="V17" s="15">
        <v>-699.95241392509797</v>
      </c>
      <c r="W17" s="68">
        <f>V8</f>
        <v>-699.44728744429904</v>
      </c>
      <c r="X17" s="15">
        <v>-643.86606122287299</v>
      </c>
      <c r="Y17" s="68">
        <f>X8</f>
        <v>-643.33676401878199</v>
      </c>
      <c r="Z17" s="68">
        <f>Y9</f>
        <v>-642.60341638131194</v>
      </c>
      <c r="AA17" s="15">
        <v>-76.381620976551005</v>
      </c>
      <c r="AB17" s="15">
        <v>-761.06966692848096</v>
      </c>
    </row>
    <row r="18" spans="1:28" x14ac:dyDescent="0.25">
      <c r="A18" s="15" t="s">
        <v>358</v>
      </c>
      <c r="B18" s="68">
        <f>B7+$AC$7-B17</f>
        <v>0.18281953484301994</v>
      </c>
      <c r="C18" s="68">
        <f>C8+$AC$7-C17</f>
        <v>0.14043578846400351</v>
      </c>
      <c r="D18" s="68">
        <f t="shared" ref="D18:O18" si="11">D7+$AC$7-D17</f>
        <v>0.15590322721999428</v>
      </c>
      <c r="E18" s="68">
        <f t="shared" si="11"/>
        <v>0.14257458973901294</v>
      </c>
      <c r="F18" s="68">
        <f t="shared" si="11"/>
        <v>0.14257458973901294</v>
      </c>
      <c r="G18" s="68">
        <f t="shared" si="11"/>
        <v>0.18186991545903197</v>
      </c>
      <c r="H18" s="68">
        <f t="shared" si="11"/>
        <v>0.1817832297679729</v>
      </c>
      <c r="I18" s="68">
        <f t="shared" si="11"/>
        <v>0.18027718663006453</v>
      </c>
      <c r="J18" s="68">
        <f t="shared" si="11"/>
        <v>0.17829014890889994</v>
      </c>
      <c r="K18" s="68">
        <f t="shared" si="11"/>
        <v>0.18072707563896984</v>
      </c>
      <c r="L18" s="68">
        <f t="shared" si="11"/>
        <v>0.18039254238499325</v>
      </c>
      <c r="M18" s="68">
        <f t="shared" si="11"/>
        <v>0.17958321531699539</v>
      </c>
      <c r="N18" s="68">
        <f t="shared" si="11"/>
        <v>0.18602693573006945</v>
      </c>
      <c r="O18" s="68">
        <f t="shared" si="11"/>
        <v>0.17615075142197156</v>
      </c>
      <c r="P18" s="68">
        <f>P8+$AC$7-P17</f>
        <v>0.12311632495800495</v>
      </c>
      <c r="Q18" s="68">
        <f>Q7+$AC$7-Q17</f>
        <v>0.22636214805099542</v>
      </c>
      <c r="R18" s="68">
        <f>R7+$AC$7-R17</f>
        <v>0.16889149065400488</v>
      </c>
      <c r="S18" s="68">
        <f>S7+$AC$7-S17</f>
        <v>0.14810717556883901</v>
      </c>
      <c r="T18" s="68">
        <f>T7+$AC$7-T17</f>
        <v>0.16049052942810249</v>
      </c>
      <c r="U18" s="68">
        <f>U8+$AC$7-U17</f>
        <v>0.13752959585201552</v>
      </c>
      <c r="V18" s="68">
        <f>V7+$AC$7-V17</f>
        <v>0.17121974548604157</v>
      </c>
      <c r="W18" s="68">
        <f>W8+$AC$7-W17</f>
        <v>0.15674816206410469</v>
      </c>
      <c r="X18" s="68">
        <f>X7+$AC$7-X17</f>
        <v>0.19665092610102874</v>
      </c>
      <c r="Y18" s="68">
        <f>Y8+$AC$7-Y17</f>
        <v>0.16039183679401958</v>
      </c>
      <c r="Z18" s="68">
        <f>Z9+$AC$7-Z17</f>
        <v>0.15108159302894819</v>
      </c>
      <c r="AA18" s="68">
        <f>AA7+$AC$7-AA17</f>
        <v>0.19823002579499871</v>
      </c>
      <c r="AB18" s="68">
        <f>AB7+$AC$7-AB17</f>
        <v>0.17436964475996319</v>
      </c>
    </row>
    <row r="19" spans="1:28" x14ac:dyDescent="0.25">
      <c r="A19" s="15" t="s">
        <v>365</v>
      </c>
      <c r="B19" s="64">
        <f>-0.2636438</f>
        <v>-0.26364379999999998</v>
      </c>
      <c r="C19" s="64">
        <f>B11</f>
        <v>-0.31659569999999998</v>
      </c>
      <c r="D19" s="64">
        <f>-0.2888543</f>
        <v>-0.28885430000000001</v>
      </c>
      <c r="E19" s="64">
        <f>-0.2567614</f>
        <v>-0.25676139999999997</v>
      </c>
      <c r="F19" s="64">
        <f>-0.2567614</f>
        <v>-0.25676139999999997</v>
      </c>
      <c r="G19" s="64">
        <f>-0.2409737</f>
        <v>-0.24097370000000001</v>
      </c>
      <c r="H19" s="64">
        <f>-0.2426845</f>
        <v>-0.2426845</v>
      </c>
      <c r="I19" s="64">
        <f>-0.2547963</f>
        <v>-0.25479629999999998</v>
      </c>
      <c r="J19" s="64">
        <f>-0.2644322</f>
        <v>-0.26443220000000001</v>
      </c>
      <c r="K19" s="64">
        <f>-0.2673743</f>
        <v>-0.26737430000000001</v>
      </c>
      <c r="L19" s="64">
        <f>-0.2562754</f>
        <v>-0.25627539999999999</v>
      </c>
      <c r="M19" s="64">
        <f>-0.2663149</f>
        <v>-0.26631490000000002</v>
      </c>
      <c r="N19" s="64">
        <f>-0.2792804</f>
        <v>-0.27928039999999998</v>
      </c>
      <c r="O19" s="64">
        <f>-0.2466417</f>
        <v>-0.24664169999999999</v>
      </c>
      <c r="P19" s="64">
        <f>O11</f>
        <v>-0.28158630000000001</v>
      </c>
      <c r="Q19" s="64">
        <f>-0.3533151</f>
        <v>-0.35331509999999999</v>
      </c>
      <c r="R19" s="64">
        <f>-0.2951735</f>
        <v>-0.29517349999999998</v>
      </c>
      <c r="S19" s="64">
        <f>-0.2742308</f>
        <v>-0.2742308</v>
      </c>
      <c r="T19" s="64">
        <f>-0.2588187</f>
        <v>-0.25881870000000001</v>
      </c>
      <c r="U19" s="64">
        <f>T11</f>
        <v>-0.29612749999999999</v>
      </c>
      <c r="V19" s="64">
        <f>-0.2984405</f>
        <v>-0.2984405</v>
      </c>
      <c r="W19" s="64">
        <f>V11</f>
        <v>-0.30636780000000002</v>
      </c>
      <c r="X19" s="64">
        <f>-0.2654318</f>
        <v>-0.2654318</v>
      </c>
      <c r="Y19" s="64">
        <f>X11</f>
        <v>-0.30491190000000001</v>
      </c>
      <c r="Z19" s="64">
        <f>Y11</f>
        <v>-0.33478629999999998</v>
      </c>
      <c r="AA19" s="64">
        <f>-0.2654529</f>
        <v>-0.26545289999999999</v>
      </c>
      <c r="AB19" s="64">
        <f>-0.2999425</f>
        <v>-0.2999425</v>
      </c>
    </row>
    <row r="20" spans="1:28" x14ac:dyDescent="0.25">
      <c r="A20" s="15"/>
      <c r="B20" s="67"/>
      <c r="C20" s="67"/>
      <c r="D20" s="67"/>
      <c r="E20" s="67"/>
      <c r="F20" s="67"/>
      <c r="G20" s="67"/>
      <c r="H20" s="67"/>
      <c r="I20" s="67"/>
    </row>
    <row r="21" spans="1:28" x14ac:dyDescent="0.25">
      <c r="A21" s="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BA39-9CEF-46FE-A546-05C4402CD484}">
  <dimension ref="A1:G37"/>
  <sheetViews>
    <sheetView workbookViewId="0">
      <selection activeCell="S5" sqref="S5"/>
    </sheetView>
  </sheetViews>
  <sheetFormatPr defaultRowHeight="15" x14ac:dyDescent="0.25"/>
  <cols>
    <col min="2" max="2" width="14.85546875" customWidth="1"/>
    <col min="3" max="3" width="17.140625" customWidth="1"/>
    <col min="4" max="4" width="18.5703125" customWidth="1"/>
    <col min="5" max="5" width="13.140625" customWidth="1"/>
    <col min="6" max="6" width="11.42578125" customWidth="1"/>
  </cols>
  <sheetData>
    <row r="1" spans="1:6" x14ac:dyDescent="0.25">
      <c r="A1" s="15"/>
      <c r="B1" s="15" t="s">
        <v>349</v>
      </c>
      <c r="C1" s="15" t="s">
        <v>339</v>
      </c>
      <c r="D1" s="15" t="s">
        <v>350</v>
      </c>
      <c r="E1" s="15" t="s">
        <v>341</v>
      </c>
      <c r="F1" s="15" t="s">
        <v>356</v>
      </c>
    </row>
    <row r="2" spans="1:6" x14ac:dyDescent="0.25">
      <c r="A2" s="15" t="s">
        <v>338</v>
      </c>
      <c r="B2" s="15" t="s">
        <v>340</v>
      </c>
      <c r="C2" s="15">
        <v>-6.7009999999999996</v>
      </c>
      <c r="D2" s="15">
        <v>-14.061</v>
      </c>
      <c r="E2" s="15">
        <v>-13.331</v>
      </c>
      <c r="F2" s="64"/>
    </row>
    <row r="3" spans="1:6" x14ac:dyDescent="0.25">
      <c r="A3" s="15" t="s">
        <v>351</v>
      </c>
      <c r="B3" s="15" t="s">
        <v>352</v>
      </c>
      <c r="C3" s="15">
        <v>-6.5780000000000003</v>
      </c>
      <c r="D3" s="15">
        <v>-13.768000000000001</v>
      </c>
      <c r="E3" s="15">
        <v>-13.148999999999999</v>
      </c>
      <c r="F3" s="64">
        <f>acids!E11*27.2114</f>
        <v>-7.9752450055799997</v>
      </c>
    </row>
    <row r="4" spans="1:6" x14ac:dyDescent="0.25">
      <c r="A4" s="15" t="s">
        <v>353</v>
      </c>
      <c r="B4" s="15" t="s">
        <v>340</v>
      </c>
      <c r="C4" s="15">
        <v>-8.3510000000000009</v>
      </c>
      <c r="D4" s="15">
        <v>-14.776999999999999</v>
      </c>
      <c r="E4" s="15">
        <v>-14.715</v>
      </c>
      <c r="F4" s="64"/>
    </row>
    <row r="5" spans="1:6" x14ac:dyDescent="0.25">
      <c r="A5" s="15" t="s">
        <v>353</v>
      </c>
      <c r="B5" s="15" t="s">
        <v>352</v>
      </c>
      <c r="C5" s="15">
        <v>-8.2940000000000005</v>
      </c>
      <c r="D5" s="15">
        <v>-14.677</v>
      </c>
      <c r="E5" s="15">
        <v>-14.612</v>
      </c>
      <c r="F5" s="64">
        <f>acids!C11*27.2114</f>
        <v>-9.2089908335999997</v>
      </c>
    </row>
    <row r="6" spans="1:6" x14ac:dyDescent="0.25">
      <c r="A6" s="15" t="s">
        <v>354</v>
      </c>
      <c r="B6" s="15" t="s">
        <v>340</v>
      </c>
      <c r="C6" s="15">
        <v>-8.3170000000000002</v>
      </c>
      <c r="D6" s="15">
        <v>-14.787000000000001</v>
      </c>
      <c r="E6" s="15">
        <v>-14.676</v>
      </c>
      <c r="F6" s="64"/>
    </row>
    <row r="7" spans="1:6" x14ac:dyDescent="0.25">
      <c r="A7" s="15" t="s">
        <v>354</v>
      </c>
      <c r="B7" s="15" t="s">
        <v>352</v>
      </c>
      <c r="C7" s="15">
        <v>-8.3279999999999994</v>
      </c>
      <c r="D7" s="15">
        <v>-14.763999999999999</v>
      </c>
      <c r="E7" s="15">
        <v>-14.678000000000001</v>
      </c>
      <c r="F7" s="64"/>
    </row>
    <row r="8" spans="1:6" x14ac:dyDescent="0.25">
      <c r="A8" s="15" t="s">
        <v>348</v>
      </c>
      <c r="B8" s="15" t="s">
        <v>340</v>
      </c>
      <c r="C8" s="15">
        <v>-1.071</v>
      </c>
      <c r="D8" s="15">
        <v>-6.944</v>
      </c>
      <c r="E8" s="15">
        <v>-6.6849999999999996</v>
      </c>
      <c r="F8" s="64"/>
    </row>
    <row r="9" spans="1:6" x14ac:dyDescent="0.25">
      <c r="A9" s="15" t="s">
        <v>342</v>
      </c>
      <c r="B9" s="15" t="s">
        <v>340</v>
      </c>
      <c r="C9" s="15">
        <v>1.2210000000000001</v>
      </c>
      <c r="D9" s="15">
        <v>-4.516</v>
      </c>
      <c r="E9" s="15">
        <v>-4.0579999999999998</v>
      </c>
      <c r="F9" s="64">
        <f>acids!E14*27.2114</f>
        <v>1.2033011694719999</v>
      </c>
    </row>
    <row r="10" spans="1:6" x14ac:dyDescent="0.25">
      <c r="A10" t="s">
        <v>343</v>
      </c>
      <c r="B10" s="15" t="s">
        <v>340</v>
      </c>
      <c r="C10" s="15">
        <v>5.3999999999999999E-2</v>
      </c>
      <c r="D10" s="15">
        <v>-5.7830000000000004</v>
      </c>
      <c r="E10" s="15">
        <v>-5.6369999999999996</v>
      </c>
      <c r="F10" s="64">
        <f>acids!B14*27.2114</f>
        <v>2.7914869112800004E-2</v>
      </c>
    </row>
    <row r="11" spans="1:6" x14ac:dyDescent="0.25">
      <c r="A11" s="15" t="s">
        <v>344</v>
      </c>
      <c r="B11" s="15" t="s">
        <v>340</v>
      </c>
      <c r="C11" s="15">
        <v>2.5779999999999998</v>
      </c>
      <c r="D11" s="15">
        <v>-2.8420000000000001</v>
      </c>
      <c r="E11" s="15">
        <v>-2.831</v>
      </c>
      <c r="F11" s="64"/>
    </row>
    <row r="12" spans="1:6" x14ac:dyDescent="0.25">
      <c r="A12" s="15" t="s">
        <v>344</v>
      </c>
      <c r="B12" s="15" t="s">
        <v>352</v>
      </c>
      <c r="C12" s="15">
        <v>2.2029999999999998</v>
      </c>
      <c r="D12" s="15">
        <v>-2.9630000000000001</v>
      </c>
      <c r="E12" s="15">
        <v>-2.9510000000000001</v>
      </c>
      <c r="F12" s="64"/>
    </row>
    <row r="13" spans="1:6" x14ac:dyDescent="0.25">
      <c r="A13" s="15" t="s">
        <v>346</v>
      </c>
      <c r="B13" s="15" t="s">
        <v>340</v>
      </c>
      <c r="C13" s="15">
        <v>0.33300000000000002</v>
      </c>
      <c r="D13" s="15">
        <v>-6.3879999999999999</v>
      </c>
      <c r="E13" s="15">
        <v>-6.0620000000000003</v>
      </c>
      <c r="F13" s="64"/>
    </row>
    <row r="14" spans="1:6" x14ac:dyDescent="0.25">
      <c r="A14" s="15" t="s">
        <v>346</v>
      </c>
      <c r="B14" s="15" t="s">
        <v>352</v>
      </c>
      <c r="C14" s="15">
        <v>0.33900000000000002</v>
      </c>
      <c r="D14" s="15">
        <v>-6.2430000000000003</v>
      </c>
      <c r="E14" s="15">
        <v>-5.984</v>
      </c>
      <c r="F14" s="64">
        <f>acids!D14*27.2114</f>
        <v>0.34287860627</v>
      </c>
    </row>
    <row r="15" spans="1:6" x14ac:dyDescent="0.25">
      <c r="A15" s="15" t="s">
        <v>347</v>
      </c>
      <c r="B15" s="15" t="s">
        <v>345</v>
      </c>
      <c r="C15" s="15">
        <v>4.8810000000000002</v>
      </c>
      <c r="D15" s="15">
        <v>-0.76400000000000001</v>
      </c>
      <c r="E15" s="15">
        <v>-0.54</v>
      </c>
      <c r="F15" s="64"/>
    </row>
    <row r="16" spans="1:6" x14ac:dyDescent="0.25">
      <c r="A16" s="15" t="s">
        <v>74</v>
      </c>
      <c r="B16" s="15" t="s">
        <v>345</v>
      </c>
      <c r="C16" s="15">
        <v>7.008</v>
      </c>
      <c r="D16" s="15">
        <v>1.4490000000000001</v>
      </c>
      <c r="E16" s="15">
        <v>1.7</v>
      </c>
      <c r="F16" s="64">
        <f>acids!C14*27.2114</f>
        <v>6.78709187826</v>
      </c>
    </row>
    <row r="17" spans="1:7" x14ac:dyDescent="0.25">
      <c r="A17" s="15" t="s">
        <v>215</v>
      </c>
      <c r="B17" s="15" t="s">
        <v>345</v>
      </c>
      <c r="C17" s="15">
        <v>5.7666000000000004</v>
      </c>
      <c r="D17" s="15">
        <v>1.9415</v>
      </c>
      <c r="E17" s="15">
        <v>2.2334999999999998</v>
      </c>
      <c r="F17" s="64"/>
    </row>
    <row r="18" spans="1:7" x14ac:dyDescent="0.25">
      <c r="A18" s="15" t="s">
        <v>215</v>
      </c>
      <c r="B18" s="15" t="s">
        <v>352</v>
      </c>
      <c r="C18" s="15">
        <v>5.694</v>
      </c>
      <c r="D18" s="15">
        <v>2.0746000000000002</v>
      </c>
      <c r="E18" s="15">
        <v>2.3597999999999999</v>
      </c>
      <c r="F18" s="64"/>
    </row>
    <row r="19" spans="1:7" x14ac:dyDescent="0.25">
      <c r="B19" s="15"/>
      <c r="C19" s="15"/>
      <c r="D19" s="15"/>
      <c r="E19" s="15"/>
      <c r="F19" s="64"/>
    </row>
    <row r="20" spans="1:7" x14ac:dyDescent="0.25">
      <c r="A20" s="15"/>
      <c r="B20" s="15" t="s">
        <v>355</v>
      </c>
      <c r="C20" s="15" t="s">
        <v>339</v>
      </c>
      <c r="D20" s="15" t="s">
        <v>350</v>
      </c>
      <c r="E20" s="15" t="s">
        <v>341</v>
      </c>
      <c r="F20" s="64"/>
    </row>
    <row r="21" spans="1:7" x14ac:dyDescent="0.25">
      <c r="A21" s="15" t="s">
        <v>338</v>
      </c>
      <c r="B21" s="15" t="s">
        <v>340</v>
      </c>
      <c r="C21" s="15">
        <v>-5.3178999999999998</v>
      </c>
      <c r="D21" s="15">
        <v>0.1181</v>
      </c>
      <c r="E21" s="15">
        <v>0.72760000000000002</v>
      </c>
      <c r="F21" s="64"/>
    </row>
    <row r="22" spans="1:7" x14ac:dyDescent="0.25">
      <c r="A22" s="15" t="s">
        <v>351</v>
      </c>
      <c r="B22" s="15" t="s">
        <v>352</v>
      </c>
      <c r="C22" s="15">
        <v>-5.1547000000000001</v>
      </c>
      <c r="D22" s="15">
        <v>0.38890000000000002</v>
      </c>
      <c r="E22" s="15">
        <v>0.81579999999999997</v>
      </c>
      <c r="F22" s="64">
        <f>acids!E12*27.2114</f>
        <v>-6.6433558211800001</v>
      </c>
    </row>
    <row r="23" spans="1:7" x14ac:dyDescent="0.25">
      <c r="A23" s="15" t="s">
        <v>353</v>
      </c>
      <c r="B23" s="15" t="s">
        <v>340</v>
      </c>
      <c r="C23" s="15">
        <v>-5.7533000000000003</v>
      </c>
      <c r="D23" s="15">
        <v>0.30480000000000002</v>
      </c>
      <c r="E23" s="15">
        <v>1.603</v>
      </c>
      <c r="F23" s="64"/>
    </row>
    <row r="24" spans="1:7" x14ac:dyDescent="0.25">
      <c r="A24" s="15" t="s">
        <v>353</v>
      </c>
      <c r="B24" s="15" t="s">
        <v>352</v>
      </c>
      <c r="C24" s="15">
        <v>-5.5148999999999999</v>
      </c>
      <c r="D24" s="15">
        <v>0.75349999999999995</v>
      </c>
      <c r="E24" s="15">
        <v>1.5179</v>
      </c>
      <c r="F24" s="64">
        <f>acids!C12*27.2114</f>
        <v>-8.56763990472</v>
      </c>
      <c r="G24" s="67"/>
    </row>
    <row r="25" spans="1:7" x14ac:dyDescent="0.25">
      <c r="A25" s="15" t="s">
        <v>354</v>
      </c>
      <c r="B25" s="15" t="s">
        <v>340</v>
      </c>
      <c r="C25" s="15">
        <v>-4.1970999999999998</v>
      </c>
      <c r="D25" s="15">
        <v>0.43509999999999999</v>
      </c>
      <c r="E25" s="15">
        <v>0.65769999999999995</v>
      </c>
      <c r="F25" s="64"/>
    </row>
    <row r="26" spans="1:7" x14ac:dyDescent="0.25">
      <c r="A26" s="15" t="s">
        <v>354</v>
      </c>
      <c r="B26" s="15" t="s">
        <v>352</v>
      </c>
      <c r="C26" s="15">
        <v>-3.9241999999999999</v>
      </c>
      <c r="D26" s="15">
        <v>0.60570000000000002</v>
      </c>
      <c r="E26" s="15">
        <v>0.7671</v>
      </c>
      <c r="F26" s="64"/>
    </row>
    <row r="27" spans="1:7" x14ac:dyDescent="0.25">
      <c r="A27" s="15" t="s">
        <v>348</v>
      </c>
      <c r="B27" s="15" t="s">
        <v>340</v>
      </c>
      <c r="C27" s="15">
        <v>3.375</v>
      </c>
      <c r="D27" s="15">
        <v>5.7042999999999999</v>
      </c>
      <c r="E27" s="15">
        <v>5.6909999999999998</v>
      </c>
      <c r="F27" s="64"/>
    </row>
    <row r="28" spans="1:7" x14ac:dyDescent="0.25">
      <c r="A28" s="15" t="s">
        <v>342</v>
      </c>
      <c r="B28" s="15" t="s">
        <v>340</v>
      </c>
      <c r="C28" s="15">
        <v>3.9889000000000001</v>
      </c>
      <c r="D28" s="15">
        <v>8.2946000000000009</v>
      </c>
      <c r="E28" s="15">
        <v>8.2667999999999999</v>
      </c>
      <c r="F28" s="64"/>
    </row>
    <row r="29" spans="1:7" x14ac:dyDescent="0.25">
      <c r="A29" t="s">
        <v>343</v>
      </c>
      <c r="B29" s="15" t="s">
        <v>340</v>
      </c>
      <c r="C29" s="15">
        <v>3.9878</v>
      </c>
      <c r="D29" s="15">
        <v>6.2034000000000002</v>
      </c>
      <c r="E29" s="15">
        <v>6.1835000000000004</v>
      </c>
      <c r="F29" s="64"/>
    </row>
    <row r="30" spans="1:7" x14ac:dyDescent="0.25">
      <c r="A30" s="15" t="s">
        <v>344</v>
      </c>
      <c r="B30" s="15" t="s">
        <v>340</v>
      </c>
      <c r="C30" s="15">
        <v>7.6395999999999997</v>
      </c>
      <c r="D30" s="15">
        <v>11.399699999999999</v>
      </c>
      <c r="E30" s="15">
        <v>11.352</v>
      </c>
      <c r="F30" s="64"/>
    </row>
    <row r="31" spans="1:7" x14ac:dyDescent="0.25">
      <c r="A31" s="15" t="s">
        <v>344</v>
      </c>
      <c r="B31" s="15" t="s">
        <v>352</v>
      </c>
      <c r="C31" s="15">
        <v>3.6903999999999999</v>
      </c>
      <c r="D31" s="15">
        <v>4.8619000000000003</v>
      </c>
      <c r="E31" s="15">
        <v>4.8605</v>
      </c>
      <c r="F31" s="64"/>
    </row>
    <row r="32" spans="1:7" x14ac:dyDescent="0.25">
      <c r="A32" s="15" t="s">
        <v>346</v>
      </c>
      <c r="B32" s="15" t="s">
        <v>340</v>
      </c>
      <c r="C32" s="15">
        <v>3.6520000000000001</v>
      </c>
      <c r="D32" s="15">
        <v>7.5519999999999996</v>
      </c>
      <c r="E32" s="15">
        <v>7.5735000000000001</v>
      </c>
      <c r="F32" s="64"/>
    </row>
    <row r="33" spans="1:6" x14ac:dyDescent="0.25">
      <c r="A33" s="15" t="s">
        <v>346</v>
      </c>
      <c r="B33" s="15" t="s">
        <v>352</v>
      </c>
      <c r="C33" s="15">
        <v>3.7012999999999998</v>
      </c>
      <c r="D33" s="15">
        <v>6.0267999999999997</v>
      </c>
      <c r="E33" s="15">
        <v>6.0453000000000001</v>
      </c>
      <c r="F33" s="64"/>
    </row>
    <row r="34" spans="1:6" x14ac:dyDescent="0.25">
      <c r="A34" s="15" t="s">
        <v>347</v>
      </c>
      <c r="B34" s="15" t="s">
        <v>345</v>
      </c>
      <c r="C34" s="15">
        <v>7.9794999999999998</v>
      </c>
      <c r="D34" s="15">
        <v>10.006399999999999</v>
      </c>
      <c r="E34" s="15">
        <v>10.028499999999999</v>
      </c>
      <c r="F34" s="64"/>
    </row>
    <row r="35" spans="1:6" x14ac:dyDescent="0.25">
      <c r="A35" s="15" t="s">
        <v>74</v>
      </c>
      <c r="B35" s="15" t="s">
        <v>345</v>
      </c>
      <c r="C35" s="15">
        <v>8.6470000000000002</v>
      </c>
      <c r="D35" s="15">
        <v>10.7752</v>
      </c>
      <c r="E35" s="15">
        <v>10.795299999999999</v>
      </c>
      <c r="F35" s="64"/>
    </row>
    <row r="36" spans="1:6" x14ac:dyDescent="0.25">
      <c r="A36" s="15" t="s">
        <v>215</v>
      </c>
      <c r="B36" s="15" t="s">
        <v>345</v>
      </c>
      <c r="C36" s="15">
        <v>8.2760999999999996</v>
      </c>
      <c r="D36" s="15">
        <v>10.372999999999999</v>
      </c>
      <c r="E36" s="15">
        <v>10.475300000000001</v>
      </c>
      <c r="F36" s="64"/>
    </row>
    <row r="37" spans="1:6" x14ac:dyDescent="0.25">
      <c r="A37" s="15" t="s">
        <v>215</v>
      </c>
      <c r="B37" s="15" t="s">
        <v>352</v>
      </c>
      <c r="C37" s="15">
        <v>7.4581</v>
      </c>
      <c r="D37" s="15">
        <v>8.9323999999999995</v>
      </c>
      <c r="E37" s="15">
        <v>8.9446999999999992</v>
      </c>
      <c r="F37" s="6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Exp. thermo</vt:lpstr>
      <vt:lpstr>Metal bulks</vt:lpstr>
      <vt:lpstr>Co(111)</vt:lpstr>
      <vt:lpstr>Ni(111)</vt:lpstr>
      <vt:lpstr>Cu(111)</vt:lpstr>
      <vt:lpstr>Rh(111)</vt:lpstr>
      <vt:lpstr>Pd(111)</vt:lpstr>
      <vt:lpstr>Ag(111)</vt:lpstr>
      <vt:lpstr>Ir(111)</vt:lpstr>
      <vt:lpstr>Pt(111)</vt:lpstr>
      <vt:lpstr>Au(111)</vt:lpstr>
      <vt:lpstr>rpbe-pbed3</vt:lpstr>
      <vt:lpstr>all_pbed3</vt:lpstr>
      <vt:lpstr>acids</vt:lpstr>
      <vt:lpstr>HOMO-benchmark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Tran, Hoang</dc:creator>
  <cp:lastModifiedBy>Hoang Tran</cp:lastModifiedBy>
  <dcterms:created xsi:type="dcterms:W3CDTF">2023-09-25T21:53:06Z</dcterms:created>
  <dcterms:modified xsi:type="dcterms:W3CDTF">2025-08-08T18:18:07Z</dcterms:modified>
</cp:coreProperties>
</file>