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essling2003allochems" sheetId="1" r:id="rId4"/>
    <sheet state="visible" name="kiessling2008corals" sheetId="2" r:id="rId5"/>
    <sheet state="visible" name="carb_shelf_area" sheetId="3" r:id="rId6"/>
    <sheet state="visible" name="platform_area_hr" sheetId="4" r:id="rId7"/>
    <sheet state="visible" name="shallow_carb_kiess2000" sheetId="5" r:id="rId8"/>
    <sheet state="visible" name="bown2005_nannofoss" sheetId="6" r:id="rId9"/>
  </sheets>
  <definedNames/>
  <calcPr/>
</workbook>
</file>

<file path=xl/sharedStrings.xml><?xml version="1.0" encoding="utf-8"?>
<sst xmlns="http://schemas.openxmlformats.org/spreadsheetml/2006/main" count="118" uniqueCount="74">
  <si>
    <t>sequence_name</t>
  </si>
  <si>
    <t>start_age</t>
  </si>
  <si>
    <t>end_age</t>
  </si>
  <si>
    <t>width</t>
  </si>
  <si>
    <t>microbial</t>
  </si>
  <si>
    <t>oolitic</t>
  </si>
  <si>
    <t>foram</t>
  </si>
  <si>
    <t>algal</t>
  </si>
  <si>
    <t>reefal</t>
  </si>
  <si>
    <t>other</t>
  </si>
  <si>
    <t>total</t>
  </si>
  <si>
    <t>late Early Cambrian</t>
  </si>
  <si>
    <t>Mid Cambrian</t>
  </si>
  <si>
    <t>Tremadoc</t>
  </si>
  <si>
    <t>Arenig</t>
  </si>
  <si>
    <t>Caredoc</t>
  </si>
  <si>
    <t xml:space="preserve">Llandovery </t>
  </si>
  <si>
    <t>Wenlock</t>
  </si>
  <si>
    <t>Lochkovian</t>
  </si>
  <si>
    <t>Emsian</t>
  </si>
  <si>
    <t>Fransnian</t>
  </si>
  <si>
    <t>Tournasian</t>
  </si>
  <si>
    <t>Visean</t>
  </si>
  <si>
    <t>Moscovian-Kasimovian</t>
  </si>
  <si>
    <t>Asselian</t>
  </si>
  <si>
    <t>Guadalupian</t>
  </si>
  <si>
    <t>Ladinian</t>
  </si>
  <si>
    <t>Norian</t>
  </si>
  <si>
    <t>Pliensbachian-Toarcian</t>
  </si>
  <si>
    <t>Bajocian-Bathonian</t>
  </si>
  <si>
    <t>Kimmeridgian</t>
  </si>
  <si>
    <t>Tithonian-Berriasian</t>
  </si>
  <si>
    <t>Barremian</t>
  </si>
  <si>
    <t>Albian-Cenomanian</t>
  </si>
  <si>
    <t>Turonian</t>
  </si>
  <si>
    <t>Campanian</t>
  </si>
  <si>
    <t>Ypresian</t>
  </si>
  <si>
    <t>Lubetian</t>
  </si>
  <si>
    <t>Rupelian</t>
  </si>
  <si>
    <t>Aquitanian</t>
  </si>
  <si>
    <t>Mid Miocene</t>
  </si>
  <si>
    <t>Messinian</t>
  </si>
  <si>
    <t>midpoint_age_ma</t>
  </si>
  <si>
    <t>number_reef_sites</t>
  </si>
  <si>
    <t>Period</t>
  </si>
  <si>
    <t>Start</t>
  </si>
  <si>
    <t>End</t>
  </si>
  <si>
    <t>platform_area_km2</t>
  </si>
  <si>
    <t>max_carb_accumulation</t>
  </si>
  <si>
    <t>cambrian</t>
  </si>
  <si>
    <t>ordovician</t>
  </si>
  <si>
    <t>silurian</t>
  </si>
  <si>
    <t>devonian</t>
  </si>
  <si>
    <t>carboniferous</t>
  </si>
  <si>
    <t>permian</t>
  </si>
  <si>
    <t>triassic</t>
  </si>
  <si>
    <t>jurassic</t>
  </si>
  <si>
    <t>cretaceous</t>
  </si>
  <si>
    <t>paleogene</t>
  </si>
  <si>
    <t>neogene</t>
  </si>
  <si>
    <t>right_lim</t>
  </si>
  <si>
    <t>NaN</t>
  </si>
  <si>
    <t>age</t>
  </si>
  <si>
    <t>area</t>
  </si>
  <si>
    <t>height</t>
  </si>
  <si>
    <t>minarea</t>
  </si>
  <si>
    <t>marea</t>
  </si>
  <si>
    <t>mage</t>
  </si>
  <si>
    <t>species_richness</t>
  </si>
  <si>
    <t>base_age</t>
  </si>
  <si>
    <t>total_height</t>
  </si>
  <si>
    <t>total_width</t>
  </si>
  <si>
    <t>max_species</t>
  </si>
  <si>
    <t xml:space="preserve">duration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</si>
</sst>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2" xfId="0" applyAlignment="1" applyBorder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2" numFmtId="2" xfId="0" applyAlignment="1" applyFont="1" applyNumberFormat="1">
      <alignment horizontal="left" readingOrder="0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11</v>
      </c>
      <c r="B2" s="4">
        <v>544.0</v>
      </c>
      <c r="C2" s="4">
        <v>511.0</v>
      </c>
      <c r="D2" s="4">
        <v>3.6861</v>
      </c>
      <c r="E2" s="5">
        <f>2.5647/$D$2</f>
        <v>0.6957760234</v>
      </c>
      <c r="F2" s="5">
        <f>0.9394/$D$2</f>
        <v>0.2548492987</v>
      </c>
      <c r="G2" s="4">
        <v>0.0</v>
      </c>
      <c r="H2" s="4">
        <v>0.0</v>
      </c>
      <c r="I2" s="4">
        <v>0.0</v>
      </c>
      <c r="J2" s="5">
        <f>0.1729/$D$2</f>
        <v>0.04690594395</v>
      </c>
      <c r="K2" s="5">
        <f t="shared" ref="K2:K32" si="1">SUM(E2:J2)</f>
        <v>0.9975312661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3" t="s">
        <v>12</v>
      </c>
      <c r="B3" s="5">
        <f t="shared" ref="B3:B32" si="2">C2</f>
        <v>511</v>
      </c>
      <c r="C3" s="4">
        <v>497.0</v>
      </c>
      <c r="D3" s="4">
        <v>3.6861</v>
      </c>
      <c r="E3" s="5">
        <f>2.276/$D$2</f>
        <v>0.6174547625</v>
      </c>
      <c r="F3" s="5">
        <f> 1.3018/$D$2</f>
        <v>0.3531645913</v>
      </c>
      <c r="G3" s="4">
        <v>0.0</v>
      </c>
      <c r="H3" s="4">
        <v>0.0</v>
      </c>
      <c r="I3" s="4">
        <v>0.0</v>
      </c>
      <c r="J3" s="5">
        <f>1-(E3+F3)</f>
        <v>0.02938064621</v>
      </c>
      <c r="K3" s="5">
        <f t="shared" si="1"/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 t="s">
        <v>13</v>
      </c>
      <c r="B4" s="5">
        <f t="shared" si="2"/>
        <v>497</v>
      </c>
      <c r="C4" s="4">
        <v>482.0</v>
      </c>
      <c r="D4" s="4">
        <v>3.6861</v>
      </c>
      <c r="E4" s="5">
        <f>2.1896/$D$2</f>
        <v>0.594015355</v>
      </c>
      <c r="F4" s="5">
        <f>1.2886/$D$2</f>
        <v>0.3495835707</v>
      </c>
      <c r="G4" s="4">
        <v>0.0</v>
      </c>
      <c r="H4" s="4">
        <v>0.0</v>
      </c>
      <c r="I4" s="4">
        <v>0.0</v>
      </c>
      <c r="J4" s="5">
        <f>0.186/$D$2</f>
        <v>0.0504598356</v>
      </c>
      <c r="K4" s="5">
        <f t="shared" si="1"/>
        <v>0.9940587613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3" t="s">
        <v>14</v>
      </c>
      <c r="B5" s="5">
        <f t="shared" si="2"/>
        <v>482</v>
      </c>
      <c r="C5" s="4">
        <v>464.0</v>
      </c>
      <c r="D5" s="4">
        <v>3.6861</v>
      </c>
      <c r="E5" s="5">
        <f>1.5338/$D$2</f>
        <v>0.4161037411</v>
      </c>
      <c r="F5" s="5">
        <f>1.031/$D$2</f>
        <v>0.2796994113</v>
      </c>
      <c r="G5" s="4">
        <v>0.0</v>
      </c>
      <c r="H5" s="5">
        <f>0.3226/$D$2</f>
        <v>0.08751797293</v>
      </c>
      <c r="I5" s="4">
        <v>0.0</v>
      </c>
      <c r="J5" s="5">
        <f>0.7702/$D$2</f>
        <v>0.2089471257</v>
      </c>
      <c r="K5" s="5">
        <f t="shared" si="1"/>
        <v>0.992268251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3" t="s">
        <v>15</v>
      </c>
      <c r="B6" s="5">
        <f t="shared" si="2"/>
        <v>464</v>
      </c>
      <c r="C6" s="4">
        <v>443.0</v>
      </c>
      <c r="D6" s="4">
        <v>3.6861</v>
      </c>
      <c r="E6" s="5">
        <f t="shared" ref="E6:E8" si="3">1.2118/$D$2</f>
        <v>0.3287485418</v>
      </c>
      <c r="F6" s="5">
        <f>0.2624/$D$2</f>
        <v>0.07118634872</v>
      </c>
      <c r="G6" s="4">
        <v>0.0</v>
      </c>
      <c r="H6" s="5">
        <f>0.7132/$D$2</f>
        <v>0.1934836277</v>
      </c>
      <c r="I6" s="5">
        <f>0.1407/$D$2</f>
        <v>0.03817042403</v>
      </c>
      <c r="J6" s="5">
        <f>1.3361/$D$2</f>
        <v>0.362469819</v>
      </c>
      <c r="K6" s="5">
        <f t="shared" si="1"/>
        <v>0.9940587613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3" t="s">
        <v>16</v>
      </c>
      <c r="B7" s="5">
        <f t="shared" si="2"/>
        <v>443</v>
      </c>
      <c r="C7" s="4">
        <v>428.0</v>
      </c>
      <c r="D7" s="4">
        <v>3.6861</v>
      </c>
      <c r="E7" s="5">
        <f t="shared" si="3"/>
        <v>0.3287485418</v>
      </c>
      <c r="F7" s="5">
        <f>0.618/$D$2</f>
        <v>0.1676568731</v>
      </c>
      <c r="G7" s="4">
        <v>0.0</v>
      </c>
      <c r="H7" s="5">
        <f t="shared" ref="H7:H13" si="4">0/$D$2</f>
        <v>0</v>
      </c>
      <c r="I7" s="5">
        <f> 0.3094/$D$2</f>
        <v>0.08393695233</v>
      </c>
      <c r="J7" s="5">
        <f>1.5249/$D$2</f>
        <v>0.4136892651</v>
      </c>
      <c r="K7" s="5">
        <f t="shared" si="1"/>
        <v>0.9940316323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3" t="s">
        <v>17</v>
      </c>
      <c r="B8" s="5">
        <f t="shared" si="2"/>
        <v>428</v>
      </c>
      <c r="C8" s="4">
        <v>418.0</v>
      </c>
      <c r="D8" s="4">
        <v>3.6861</v>
      </c>
      <c r="E8" s="5">
        <f t="shared" si="3"/>
        <v>0.3287485418</v>
      </c>
      <c r="F8" s="5">
        <f>0.3287/$D$2</f>
        <v>0.0891728385</v>
      </c>
      <c r="G8" s="4">
        <v>0.0</v>
      </c>
      <c r="H8" s="5">
        <f t="shared" si="4"/>
        <v>0</v>
      </c>
      <c r="I8" s="5">
        <f> 0.6376/$D$2</f>
        <v>0.1729741461</v>
      </c>
      <c r="J8" s="5">
        <f>1.4745/$D$2</f>
        <v>0.4000162774</v>
      </c>
      <c r="K8" s="5">
        <f t="shared" si="1"/>
        <v>0.9909118038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3" t="s">
        <v>18</v>
      </c>
      <c r="B9" s="5">
        <f t="shared" si="2"/>
        <v>418</v>
      </c>
      <c r="C9" s="4">
        <v>409.0</v>
      </c>
      <c r="D9" s="4">
        <v>3.6861</v>
      </c>
      <c r="E9" s="5">
        <f t="shared" ref="E9:E10" si="5">1.0181/$D$2</f>
        <v>0.2761997775</v>
      </c>
      <c r="F9" s="5">
        <f>0.1745/$D$2</f>
        <v>0.04734000705</v>
      </c>
      <c r="G9" s="4">
        <v>0.0</v>
      </c>
      <c r="H9" s="5">
        <f t="shared" si="4"/>
        <v>0</v>
      </c>
      <c r="I9" s="5">
        <f>0.3326/$D$2</f>
        <v>0.09023086731</v>
      </c>
      <c r="J9" s="5">
        <f>2.1321/$D$2</f>
        <v>0.5784162123</v>
      </c>
      <c r="K9" s="5">
        <f t="shared" si="1"/>
        <v>0.9921868642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3" t="s">
        <v>19</v>
      </c>
      <c r="B10" s="5">
        <f t="shared" si="2"/>
        <v>409</v>
      </c>
      <c r="C10" s="4">
        <v>388.0</v>
      </c>
      <c r="D10" s="4">
        <v>3.6861</v>
      </c>
      <c r="E10" s="5">
        <f t="shared" si="5"/>
        <v>0.2761997775</v>
      </c>
      <c r="F10" s="5">
        <f>0.1651/$D$2</f>
        <v>0.04478988633</v>
      </c>
      <c r="G10" s="4">
        <v>0.0</v>
      </c>
      <c r="H10" s="5">
        <f t="shared" si="4"/>
        <v>0</v>
      </c>
      <c r="I10" s="5">
        <f>0.6437/$D$2</f>
        <v>0.1746290117</v>
      </c>
      <c r="J10" s="5">
        <f t="shared" ref="J10:J32" si="6">1-sum(E10:I10)</f>
        <v>0.5043813244</v>
      </c>
      <c r="K10" s="5">
        <f t="shared" si="1"/>
        <v>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3" t="s">
        <v>20</v>
      </c>
      <c r="B11" s="5">
        <f t="shared" si="2"/>
        <v>388</v>
      </c>
      <c r="C11" s="4">
        <v>370.0</v>
      </c>
      <c r="D11" s="4">
        <v>3.6861</v>
      </c>
      <c r="E11" s="5">
        <f t="shared" ref="E11:E12" si="7">1.2975/$D$2</f>
        <v>0.3519980467</v>
      </c>
      <c r="F11" s="5">
        <f>0.3434/$D$2</f>
        <v>0.09316079325</v>
      </c>
      <c r="G11" s="5">
        <f>0.1217/$D$2</f>
        <v>0.03301592469</v>
      </c>
      <c r="H11" s="5">
        <f t="shared" si="4"/>
        <v>0</v>
      </c>
      <c r="I11" s="5">
        <f>1.2589/$D$2</f>
        <v>0.3415262744</v>
      </c>
      <c r="J11" s="5">
        <f t="shared" si="6"/>
        <v>0.180298961</v>
      </c>
      <c r="K11" s="5">
        <f t="shared" si="1"/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3" t="s">
        <v>21</v>
      </c>
      <c r="B12" s="5">
        <f t="shared" si="2"/>
        <v>370</v>
      </c>
      <c r="C12" s="4">
        <v>341.0</v>
      </c>
      <c r="D12" s="4">
        <v>3.6861</v>
      </c>
      <c r="E12" s="5">
        <f t="shared" si="7"/>
        <v>0.3519980467</v>
      </c>
      <c r="F12" s="5">
        <f>1.2621/$D$2</f>
        <v>0.3423944006</v>
      </c>
      <c r="G12" s="5">
        <f>0.2384/$D$2</f>
        <v>0.06467540219</v>
      </c>
      <c r="H12" s="5">
        <f t="shared" si="4"/>
        <v>0</v>
      </c>
      <c r="I12" s="5">
        <f>0/$D$2</f>
        <v>0</v>
      </c>
      <c r="J12" s="5">
        <f t="shared" si="6"/>
        <v>0.2409321505</v>
      </c>
      <c r="K12" s="5">
        <f t="shared" si="1"/>
        <v>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 t="s">
        <v>22</v>
      </c>
      <c r="B13" s="5">
        <f t="shared" si="2"/>
        <v>341</v>
      </c>
      <c r="C13" s="4">
        <v>323.0</v>
      </c>
      <c r="D13" s="4">
        <v>3.6861</v>
      </c>
      <c r="E13" s="5">
        <f>1.2734/$D$2</f>
        <v>0.3454599712</v>
      </c>
      <c r="F13" s="5">
        <f>1.1557/$D$2</f>
        <v>0.3135292043</v>
      </c>
      <c r="G13" s="5">
        <f>0.4714/$D$2</f>
        <v>0.1278858414</v>
      </c>
      <c r="H13" s="5">
        <f t="shared" si="4"/>
        <v>0</v>
      </c>
      <c r="I13" s="5">
        <f>0.2346/$D$2</f>
        <v>0.06364450232</v>
      </c>
      <c r="J13" s="5">
        <f t="shared" si="6"/>
        <v>0.1494804807</v>
      </c>
      <c r="K13" s="5">
        <f t="shared" si="1"/>
        <v>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 t="s">
        <v>23</v>
      </c>
      <c r="B14" s="5">
        <f t="shared" si="2"/>
        <v>323</v>
      </c>
      <c r="C14" s="4">
        <v>296.0</v>
      </c>
      <c r="D14" s="4">
        <v>3.6861</v>
      </c>
      <c r="E14" s="5">
        <f t="shared" ref="E14:E15" si="8">0.6488/$D$2</f>
        <v>0.1760125878</v>
      </c>
      <c r="F14" s="5">
        <f>0.3059/$D$2</f>
        <v>0.0829874393</v>
      </c>
      <c r="G14" s="5">
        <f>0.9359/$D$2</f>
        <v>0.2538997857</v>
      </c>
      <c r="H14" s="5">
        <f>0.8278/$D$2</f>
        <v>0.2245733974</v>
      </c>
      <c r="I14" s="5">
        <f t="shared" ref="I14:I15" si="9">0.1557/$D$2</f>
        <v>0.04223976561</v>
      </c>
      <c r="J14" s="5">
        <f t="shared" si="6"/>
        <v>0.2202870242</v>
      </c>
      <c r="K14" s="5">
        <f t="shared" si="1"/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 t="s">
        <v>24</v>
      </c>
      <c r="B15" s="5">
        <f t="shared" si="2"/>
        <v>296</v>
      </c>
      <c r="C15" s="4">
        <v>288.0</v>
      </c>
      <c r="D15" s="4">
        <v>3.6861</v>
      </c>
      <c r="E15" s="5">
        <f t="shared" si="8"/>
        <v>0.1760125878</v>
      </c>
      <c r="F15" s="5">
        <f>0.0958/$D$2</f>
        <v>0.02598952823</v>
      </c>
      <c r="G15" s="5">
        <f>0.7578/$D$2</f>
        <v>0.2055831366</v>
      </c>
      <c r="H15" s="5">
        <f>1.0603/$D$2</f>
        <v>0.2876481919</v>
      </c>
      <c r="I15" s="5">
        <f t="shared" si="9"/>
        <v>0.04223976561</v>
      </c>
      <c r="J15" s="5">
        <f t="shared" si="6"/>
        <v>0.2625267898</v>
      </c>
      <c r="K15" s="5">
        <f t="shared" si="1"/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 t="s">
        <v>25</v>
      </c>
      <c r="B16" s="5">
        <f t="shared" si="2"/>
        <v>288</v>
      </c>
      <c r="C16" s="4">
        <v>251.0</v>
      </c>
      <c r="D16" s="4">
        <v>3.6861</v>
      </c>
      <c r="E16" s="5">
        <f>0.9692/$D$2</f>
        <v>0.262933724</v>
      </c>
      <c r="F16" s="5">
        <f>0.3995/$D$2</f>
        <v>0.1083801308</v>
      </c>
      <c r="G16" s="5">
        <f>0.5269/$D$2</f>
        <v>0.1429424053</v>
      </c>
      <c r="H16" s="5">
        <f>0.153/$D$2</f>
        <v>0.04150728412</v>
      </c>
      <c r="I16" s="5">
        <f>0.6358/$D$2</f>
        <v>0.1724858251</v>
      </c>
      <c r="J16" s="5">
        <f t="shared" si="6"/>
        <v>0.2717506307</v>
      </c>
      <c r="K16" s="5">
        <f t="shared" si="1"/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3" t="s">
        <v>26</v>
      </c>
      <c r="B17" s="5">
        <f t="shared" si="2"/>
        <v>251</v>
      </c>
      <c r="C17" s="4">
        <v>225.0</v>
      </c>
      <c r="D17" s="4">
        <v>3.6861</v>
      </c>
      <c r="E17" s="5">
        <f>1.1174/$D$2</f>
        <v>0.3031388188</v>
      </c>
      <c r="F17" s="5">
        <f>0.5093/$D$2</f>
        <v>0.1381677111</v>
      </c>
      <c r="G17" s="5">
        <f>0.3701/$D$2</f>
        <v>0.1004042213</v>
      </c>
      <c r="H17" s="5">
        <f>0.4023/$D$2</f>
        <v>0.1091397412</v>
      </c>
      <c r="I17" s="5">
        <f>0.2248 /$D$2</f>
        <v>0.06098586582</v>
      </c>
      <c r="J17" s="5">
        <f t="shared" si="6"/>
        <v>0.2881636418</v>
      </c>
      <c r="K17" s="5">
        <f t="shared" si="1"/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3" t="s">
        <v>27</v>
      </c>
      <c r="B18" s="5">
        <f t="shared" si="2"/>
        <v>225</v>
      </c>
      <c r="C18" s="4">
        <v>198.0</v>
      </c>
      <c r="D18" s="4">
        <v>3.6861</v>
      </c>
      <c r="E18" s="5">
        <f>0.7544/$D$2</f>
        <v>0.2046607526</v>
      </c>
      <c r="F18" s="5">
        <f>0.7035/$D$2</f>
        <v>0.1908521201</v>
      </c>
      <c r="G18" s="5">
        <f>0.4896/$D$2</f>
        <v>0.1328233092</v>
      </c>
      <c r="H18" s="5">
        <f>0.281/$D$2</f>
        <v>0.07623233228</v>
      </c>
      <c r="I18" s="5">
        <f>0.5639/$D$2</f>
        <v>0.1529801145</v>
      </c>
      <c r="J18" s="5">
        <f t="shared" si="6"/>
        <v>0.2424513714</v>
      </c>
      <c r="K18" s="5">
        <f t="shared" si="1"/>
        <v>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3" t="s">
        <v>28</v>
      </c>
      <c r="B19" s="5">
        <f t="shared" si="2"/>
        <v>198</v>
      </c>
      <c r="C19" s="4">
        <v>177.0</v>
      </c>
      <c r="D19" s="4">
        <v>3.6861</v>
      </c>
      <c r="E19" s="5">
        <f>0.5627/$D$2</f>
        <v>0.1526545672</v>
      </c>
      <c r="F19" s="5">
        <f>0.8952 /$D$2</f>
        <v>0.2428583055</v>
      </c>
      <c r="G19" s="5">
        <f>0.9026/$D$2</f>
        <v>0.2448658474</v>
      </c>
      <c r="H19" s="5">
        <f>0.5717/$D$2</f>
        <v>0.1550961721</v>
      </c>
      <c r="I19" s="5">
        <f>0/$D$2</f>
        <v>0</v>
      </c>
      <c r="J19" s="5">
        <f t="shared" si="6"/>
        <v>0.2045251078</v>
      </c>
      <c r="K19" s="5">
        <f t="shared" si="1"/>
        <v>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3" t="s">
        <v>29</v>
      </c>
      <c r="B20" s="5">
        <f t="shared" si="2"/>
        <v>177</v>
      </c>
      <c r="C20" s="4">
        <v>163.0</v>
      </c>
      <c r="D20" s="4">
        <v>3.6861</v>
      </c>
      <c r="E20" s="5">
        <f>0.6294/$D$2</f>
        <v>0.1707495727</v>
      </c>
      <c r="F20" s="5">
        <f>0.8985/$D$2</f>
        <v>0.2437535607</v>
      </c>
      <c r="G20" s="5">
        <f>0.6847/$D$2</f>
        <v>0.1857518787</v>
      </c>
      <c r="H20" s="5">
        <f>0.5545/$D$2</f>
        <v>0.1504299938</v>
      </c>
      <c r="I20" s="5">
        <f>0.2361/$D$2</f>
        <v>0.06405143648</v>
      </c>
      <c r="J20" s="5">
        <f t="shared" si="6"/>
        <v>0.1852635577</v>
      </c>
      <c r="K20" s="5">
        <f t="shared" si="1"/>
        <v>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3" t="s">
        <v>30</v>
      </c>
      <c r="B21" s="5">
        <f t="shared" si="2"/>
        <v>163</v>
      </c>
      <c r="C21" s="4">
        <v>145.0</v>
      </c>
      <c r="D21" s="4">
        <v>3.6861</v>
      </c>
      <c r="E21" s="5">
        <f>0.9492/$D$2</f>
        <v>0.2575079352</v>
      </c>
      <c r="F21" s="5">
        <f>0.6086/$D$2</f>
        <v>0.1651067524</v>
      </c>
      <c r="G21" s="5">
        <f>0.5819/$D$2</f>
        <v>0.1578633244</v>
      </c>
      <c r="H21" s="5">
        <f>0.3126/$D$2</f>
        <v>0.08480507854</v>
      </c>
      <c r="I21" s="5">
        <f>0.9773/$D$2</f>
        <v>0.2651311684</v>
      </c>
      <c r="J21" s="5">
        <f t="shared" si="6"/>
        <v>0.06958574103</v>
      </c>
      <c r="K21" s="5">
        <f t="shared" si="1"/>
        <v>1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3" t="s">
        <v>31</v>
      </c>
      <c r="B22" s="5">
        <f t="shared" si="2"/>
        <v>145</v>
      </c>
      <c r="C22" s="4">
        <v>135.0</v>
      </c>
      <c r="D22" s="4">
        <v>3.6861</v>
      </c>
      <c r="E22" s="5">
        <f>0.4968 /$D$2</f>
        <v>0.1347765931</v>
      </c>
      <c r="F22" s="5">
        <f>0.387/$D$2</f>
        <v>0.1049890128</v>
      </c>
      <c r="G22" s="5">
        <f>0.7263/$D$2</f>
        <v>0.1970375193</v>
      </c>
      <c r="H22" s="5">
        <f>0.9185/$D$2</f>
        <v>0.2491793494</v>
      </c>
      <c r="I22" s="5">
        <f>0.1897/$D$2</f>
        <v>0.05146360652</v>
      </c>
      <c r="J22" s="5">
        <f t="shared" si="6"/>
        <v>0.2625539188</v>
      </c>
      <c r="K22" s="5">
        <f t="shared" si="1"/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3" t="s">
        <v>32</v>
      </c>
      <c r="B23" s="5">
        <f t="shared" si="2"/>
        <v>135</v>
      </c>
      <c r="C23" s="4">
        <v>117.0</v>
      </c>
      <c r="D23" s="4">
        <v>3.6861</v>
      </c>
      <c r="E23" s="5">
        <f>0.6019/$D$2</f>
        <v>0.1632891132</v>
      </c>
      <c r="F23" s="5">
        <f>0.2575/$D$2</f>
        <v>0.06985703047</v>
      </c>
      <c r="G23" s="5">
        <f>0.7694/$D$2</f>
        <v>0.2087300941</v>
      </c>
      <c r="H23" s="5">
        <f>0.8995/$D$2</f>
        <v>0.2440248501</v>
      </c>
      <c r="I23" s="5">
        <f>0.3697/$D$2</f>
        <v>0.1002957055</v>
      </c>
      <c r="J23" s="5">
        <f t="shared" si="6"/>
        <v>0.2138032066</v>
      </c>
      <c r="K23" s="5">
        <f t="shared" si="1"/>
        <v>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3" t="s">
        <v>33</v>
      </c>
      <c r="B24" s="5">
        <f t="shared" si="2"/>
        <v>117</v>
      </c>
      <c r="C24" s="4">
        <v>94.0</v>
      </c>
      <c r="D24" s="4">
        <v>3.6861</v>
      </c>
      <c r="E24" s="5">
        <f>0.6662/$D$2</f>
        <v>0.1807330241</v>
      </c>
      <c r="F24" s="5">
        <f>0.0658/$D$2</f>
        <v>0.01785084507</v>
      </c>
      <c r="G24" s="5">
        <f>1.1851/$D$2</f>
        <v>0.3215051138</v>
      </c>
      <c r="H24" s="5">
        <f>0.624/$D$2</f>
        <v>0.1692846098</v>
      </c>
      <c r="I24" s="5">
        <f>0.2676/$D$2</f>
        <v>0.0725970538</v>
      </c>
      <c r="J24" s="5">
        <f t="shared" si="6"/>
        <v>0.2380293535</v>
      </c>
      <c r="K24" s="5">
        <f t="shared" si="1"/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3" t="s">
        <v>34</v>
      </c>
      <c r="B25" s="5">
        <f t="shared" si="2"/>
        <v>94</v>
      </c>
      <c r="C25" s="4">
        <v>81.0</v>
      </c>
      <c r="D25" s="4">
        <v>3.6861</v>
      </c>
      <c r="E25" s="5">
        <f>0.3856/$D$2</f>
        <v>0.1046092076</v>
      </c>
      <c r="F25" s="5">
        <f>0.132/$D$2</f>
        <v>0.03581020591</v>
      </c>
      <c r="G25" s="5">
        <f>0.9691/$D$2</f>
        <v>0.262906595</v>
      </c>
      <c r="H25" s="5">
        <f>0.7119/$D$2</f>
        <v>0.1931309514</v>
      </c>
      <c r="I25" s="5">
        <f>0.2186/$D$2</f>
        <v>0.0593038713</v>
      </c>
      <c r="J25" s="5">
        <f t="shared" si="6"/>
        <v>0.3442391688</v>
      </c>
      <c r="K25" s="5">
        <f t="shared" si="1"/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3" t="s">
        <v>35</v>
      </c>
      <c r="B26" s="5">
        <f t="shared" si="2"/>
        <v>81</v>
      </c>
      <c r="C26" s="4">
        <v>58.0</v>
      </c>
      <c r="D26" s="4">
        <v>3.6861</v>
      </c>
      <c r="E26" s="5">
        <f>0.2542/$D$2</f>
        <v>0.06896177532</v>
      </c>
      <c r="F26" s="5">
        <f>0.1462/$D$2</f>
        <v>0.03966251594</v>
      </c>
      <c r="G26" s="5">
        <f>1.3806/$D$2</f>
        <v>0.3745421991</v>
      </c>
      <c r="H26" s="5">
        <f>0.7017/$D$2</f>
        <v>0.1903637991</v>
      </c>
      <c r="I26" s="5">
        <f t="shared" ref="I26:I29" si="10">0/$D$2</f>
        <v>0</v>
      </c>
      <c r="J26" s="5">
        <f t="shared" si="6"/>
        <v>0.3264697105</v>
      </c>
      <c r="K26" s="5">
        <f t="shared" si="1"/>
        <v>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3" t="s">
        <v>36</v>
      </c>
      <c r="B27" s="5">
        <f t="shared" si="2"/>
        <v>58</v>
      </c>
      <c r="C27" s="4">
        <v>49.0</v>
      </c>
      <c r="D27" s="4">
        <v>3.6861</v>
      </c>
      <c r="E27" s="5">
        <f t="shared" ref="E27:E30" si="11">0.2138/$D$2</f>
        <v>0.05800168199</v>
      </c>
      <c r="F27" s="5">
        <f t="shared" ref="F27:F32" si="12">0/$D$2</f>
        <v>0</v>
      </c>
      <c r="G27" s="5">
        <f>1.3776/$D$2</f>
        <v>0.3737283308</v>
      </c>
      <c r="H27" s="5">
        <f>0.8692/$D$2</f>
        <v>0.2358047801</v>
      </c>
      <c r="I27" s="5">
        <f t="shared" si="10"/>
        <v>0</v>
      </c>
      <c r="J27" s="5">
        <f t="shared" si="6"/>
        <v>0.3324652071</v>
      </c>
      <c r="K27" s="5">
        <f t="shared" si="1"/>
        <v>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3" t="s">
        <v>37</v>
      </c>
      <c r="B28" s="5">
        <f t="shared" si="2"/>
        <v>49</v>
      </c>
      <c r="C28" s="4">
        <v>37.0</v>
      </c>
      <c r="D28" s="4">
        <v>3.6861</v>
      </c>
      <c r="E28" s="5">
        <f t="shared" si="11"/>
        <v>0.05800168199</v>
      </c>
      <c r="F28" s="5">
        <f t="shared" si="12"/>
        <v>0</v>
      </c>
      <c r="G28" s="5">
        <f>1.7022/$D$2</f>
        <v>0.4617888826</v>
      </c>
      <c r="H28" s="5">
        <f>0.7589/$D$2</f>
        <v>0.205881555</v>
      </c>
      <c r="I28" s="5">
        <f t="shared" si="10"/>
        <v>0</v>
      </c>
      <c r="J28" s="5">
        <f t="shared" si="6"/>
        <v>0.2743278804</v>
      </c>
      <c r="K28" s="5">
        <f t="shared" si="1"/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3" t="s">
        <v>38</v>
      </c>
      <c r="B29" s="5">
        <f t="shared" si="2"/>
        <v>37</v>
      </c>
      <c r="C29" s="4">
        <v>29.0</v>
      </c>
      <c r="D29" s="4">
        <v>3.6861</v>
      </c>
      <c r="E29" s="5">
        <f t="shared" si="11"/>
        <v>0.05800168199</v>
      </c>
      <c r="F29" s="5">
        <f t="shared" si="12"/>
        <v>0</v>
      </c>
      <c r="G29" s="5">
        <f>1.2877/$D$2</f>
        <v>0.3493394102</v>
      </c>
      <c r="H29" s="5">
        <f>0.6771/$D$2</f>
        <v>0.1836900789</v>
      </c>
      <c r="I29" s="5">
        <f t="shared" si="10"/>
        <v>0</v>
      </c>
      <c r="J29" s="5">
        <f t="shared" si="6"/>
        <v>0.4089688288</v>
      </c>
      <c r="K29" s="5">
        <f t="shared" si="1"/>
        <v>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3" t="s">
        <v>39</v>
      </c>
      <c r="B30" s="5">
        <f t="shared" si="2"/>
        <v>29</v>
      </c>
      <c r="C30" s="4">
        <v>20.0</v>
      </c>
      <c r="D30" s="4">
        <v>3.6861</v>
      </c>
      <c r="E30" s="5">
        <f t="shared" si="11"/>
        <v>0.05800168199</v>
      </c>
      <c r="F30" s="5">
        <f t="shared" si="12"/>
        <v>0</v>
      </c>
      <c r="G30" s="5">
        <f>1.1994/$D$2</f>
        <v>0.3253845528</v>
      </c>
      <c r="H30" s="5">
        <f>0.5483/$D$2</f>
        <v>0.1487479992</v>
      </c>
      <c r="I30" s="5">
        <f>0.3038/$D$2</f>
        <v>0.08241773148</v>
      </c>
      <c r="J30" s="5">
        <f t="shared" si="6"/>
        <v>0.3854480345</v>
      </c>
      <c r="K30" s="5">
        <f t="shared" si="1"/>
        <v>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3" t="s">
        <v>40</v>
      </c>
      <c r="B31" s="5">
        <f t="shared" si="2"/>
        <v>20</v>
      </c>
      <c r="C31" s="4">
        <v>11.0</v>
      </c>
      <c r="D31" s="4">
        <v>3.6861</v>
      </c>
      <c r="E31" s="5">
        <f>0.3424/$D$2</f>
        <v>0.09288950381</v>
      </c>
      <c r="F31" s="5">
        <f t="shared" si="12"/>
        <v>0</v>
      </c>
      <c r="G31" s="5">
        <f>0.9093/$D$2</f>
        <v>0.2466834866</v>
      </c>
      <c r="H31" s="5">
        <f>0.7189/$D$2</f>
        <v>0.1950299775</v>
      </c>
      <c r="I31" s="5">
        <f>0.7235/$D$2</f>
        <v>0.1962779089</v>
      </c>
      <c r="J31" s="5">
        <f t="shared" si="6"/>
        <v>0.2691191232</v>
      </c>
      <c r="K31" s="5">
        <f t="shared" si="1"/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" t="s">
        <v>41</v>
      </c>
      <c r="B32" s="5">
        <f t="shared" si="2"/>
        <v>11</v>
      </c>
      <c r="C32" s="4">
        <v>2.0</v>
      </c>
      <c r="D32" s="4">
        <v>3.6861</v>
      </c>
      <c r="E32" s="5">
        <f>0.1898/$D$2</f>
        <v>0.05149073547</v>
      </c>
      <c r="F32" s="5">
        <f t="shared" si="12"/>
        <v>0</v>
      </c>
      <c r="G32" s="5">
        <f>0.9006/$D$2</f>
        <v>0.2443232685</v>
      </c>
      <c r="H32" s="5">
        <f>0.9033/$D$2</f>
        <v>0.24505575</v>
      </c>
      <c r="I32" s="5">
        <f>0.5917/$D$2</f>
        <v>0.1605219609</v>
      </c>
      <c r="J32" s="5">
        <f t="shared" si="6"/>
        <v>0.2986082852</v>
      </c>
      <c r="K32" s="5">
        <f t="shared" si="1"/>
        <v>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2.63"/>
  </cols>
  <sheetData>
    <row r="1">
      <c r="A1" s="1" t="s">
        <v>42</v>
      </c>
      <c r="B1" s="6" t="s">
        <v>43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6">
        <v>536.0</v>
      </c>
      <c r="B2" s="6">
        <v>7.26141078838176</v>
      </c>
      <c r="C2" s="7"/>
    </row>
    <row r="3">
      <c r="A3" s="4">
        <v>521.5</v>
      </c>
      <c r="B3" s="6">
        <v>81.9502074688796</v>
      </c>
      <c r="C3" s="7"/>
    </row>
    <row r="4">
      <c r="A4" s="4">
        <v>507.0</v>
      </c>
      <c r="B4" s="6">
        <v>17.6348547717842</v>
      </c>
      <c r="C4" s="7"/>
    </row>
    <row r="5">
      <c r="A5" s="4">
        <v>495.5</v>
      </c>
      <c r="B5" s="6">
        <v>40.4564315352696</v>
      </c>
      <c r="C5" s="7"/>
    </row>
    <row r="6">
      <c r="A6" s="4">
        <v>484.5</v>
      </c>
      <c r="B6" s="6">
        <v>28.0082987551867</v>
      </c>
      <c r="C6" s="7"/>
    </row>
    <row r="7">
      <c r="A7" s="4">
        <v>472.5</v>
      </c>
      <c r="B7" s="6">
        <v>21.7842323651452</v>
      </c>
      <c r="C7" s="7"/>
    </row>
    <row r="8">
      <c r="A8" s="4">
        <v>463.3</v>
      </c>
      <c r="B8" s="6">
        <v>22.8215767634854</v>
      </c>
      <c r="C8" s="7"/>
    </row>
    <row r="9">
      <c r="A9" s="4">
        <v>455.0</v>
      </c>
      <c r="B9" s="6">
        <v>42.5311203319502</v>
      </c>
      <c r="C9" s="7"/>
    </row>
    <row r="10">
      <c r="A10" s="4">
        <v>446.6</v>
      </c>
      <c r="B10" s="6">
        <v>62.2406639004149</v>
      </c>
      <c r="C10" s="7"/>
    </row>
    <row r="11">
      <c r="A11" s="4">
        <v>436.0</v>
      </c>
      <c r="B11" s="6">
        <v>80.9128630705394</v>
      </c>
      <c r="C11" s="7"/>
    </row>
    <row r="12">
      <c r="A12" s="4">
        <v>423.2</v>
      </c>
      <c r="B12" s="6">
        <v>160.788381742738</v>
      </c>
      <c r="C12" s="7"/>
    </row>
    <row r="13">
      <c r="A13" s="4">
        <v>413.6</v>
      </c>
      <c r="B13" s="6">
        <v>38.3817427385892</v>
      </c>
      <c r="C13" s="7"/>
    </row>
    <row r="14">
      <c r="A14" s="4">
        <v>400.5</v>
      </c>
      <c r="B14" s="6">
        <v>18.6721991701244</v>
      </c>
      <c r="C14" s="7"/>
    </row>
    <row r="15">
      <c r="A15" s="4">
        <v>387.8</v>
      </c>
      <c r="B15" s="6">
        <v>163.900414937759</v>
      </c>
      <c r="C15" s="7"/>
    </row>
    <row r="16">
      <c r="A16" s="4">
        <v>379.9</v>
      </c>
      <c r="B16" s="6">
        <v>143.153526970954</v>
      </c>
      <c r="C16" s="7"/>
    </row>
    <row r="17">
      <c r="A17" s="4">
        <v>368.4</v>
      </c>
      <c r="B17" s="6">
        <v>37.3443983402489</v>
      </c>
      <c r="C17" s="7"/>
    </row>
    <row r="18">
      <c r="A18" s="4">
        <v>355.1</v>
      </c>
      <c r="B18" s="6">
        <v>24.8962655601659</v>
      </c>
      <c r="C18" s="7"/>
    </row>
    <row r="19">
      <c r="A19" s="4">
        <v>342.8</v>
      </c>
      <c r="B19" s="6">
        <v>33.1950207468879</v>
      </c>
      <c r="C19" s="7"/>
    </row>
    <row r="20">
      <c r="A20" s="4">
        <v>327.1</v>
      </c>
      <c r="B20" s="6">
        <v>47.7178423236514</v>
      </c>
      <c r="C20" s="7"/>
    </row>
    <row r="21">
      <c r="A21" s="6">
        <v>312.3</v>
      </c>
      <c r="B21" s="6">
        <v>53.9419087136929</v>
      </c>
      <c r="C21" s="7"/>
    </row>
    <row r="22">
      <c r="A22" s="4">
        <v>302.8</v>
      </c>
      <c r="B22" s="6">
        <v>43.5684647302904</v>
      </c>
      <c r="C22" s="7"/>
    </row>
    <row r="23">
      <c r="A23" s="4">
        <v>291.7</v>
      </c>
      <c r="B23" s="6">
        <v>91.2863070539419</v>
      </c>
      <c r="C23" s="7"/>
    </row>
    <row r="24">
      <c r="A24" s="4">
        <v>277.5</v>
      </c>
      <c r="B24" s="6">
        <v>30.0829875518672</v>
      </c>
      <c r="C24" s="7"/>
    </row>
    <row r="25">
      <c r="A25" s="4">
        <v>265.5</v>
      </c>
      <c r="B25" s="6">
        <v>65.3526970954356</v>
      </c>
      <c r="C25" s="7"/>
    </row>
    <row r="26">
      <c r="A26" s="4">
        <v>255.7</v>
      </c>
      <c r="B26" s="6">
        <v>46.6804979253112</v>
      </c>
      <c r="C26" s="7"/>
    </row>
    <row r="27">
      <c r="A27" s="4">
        <v>248.0</v>
      </c>
      <c r="B27" s="6">
        <v>14.5228215767634</v>
      </c>
      <c r="C27" s="7"/>
    </row>
    <row r="28">
      <c r="A28" s="4">
        <v>236.5</v>
      </c>
      <c r="B28" s="6">
        <v>56.0165975103734</v>
      </c>
      <c r="C28" s="7"/>
    </row>
    <row r="29">
      <c r="A29" s="4">
        <v>222.3</v>
      </c>
      <c r="B29" s="6">
        <v>30.0829875518672</v>
      </c>
      <c r="C29" s="7"/>
    </row>
    <row r="30">
      <c r="A30" s="4">
        <v>208.1</v>
      </c>
      <c r="B30" s="6">
        <v>125.51867219917</v>
      </c>
      <c r="C30" s="7"/>
    </row>
    <row r="31">
      <c r="A31" s="4">
        <v>194.6</v>
      </c>
      <c r="B31" s="6">
        <v>19.7095435684647</v>
      </c>
      <c r="C31" s="7"/>
    </row>
    <row r="32">
      <c r="A32" s="4">
        <v>186.3</v>
      </c>
      <c r="B32" s="6">
        <v>29.045643153527</v>
      </c>
      <c r="C32" s="7"/>
    </row>
    <row r="33">
      <c r="A33" s="4">
        <v>177.3</v>
      </c>
      <c r="B33" s="6">
        <v>12.448132780083</v>
      </c>
      <c r="C33" s="7"/>
    </row>
    <row r="34">
      <c r="A34" s="4">
        <v>168.2</v>
      </c>
      <c r="B34" s="6">
        <v>39.4190871369294</v>
      </c>
      <c r="C34" s="7"/>
    </row>
    <row r="35">
      <c r="A35" s="4">
        <v>157.8</v>
      </c>
      <c r="B35" s="6">
        <v>215.767634854771</v>
      </c>
      <c r="C35" s="7"/>
    </row>
    <row r="36">
      <c r="A36" s="6">
        <v>148.2</v>
      </c>
      <c r="B36" s="6">
        <v>40.4564315352696</v>
      </c>
    </row>
    <row r="37">
      <c r="A37" s="6">
        <v>141.0</v>
      </c>
      <c r="B37" s="6">
        <v>30.0829875518672</v>
      </c>
    </row>
    <row r="38">
      <c r="A38" s="6">
        <v>130.7</v>
      </c>
      <c r="B38" s="6">
        <v>31.1203319502074</v>
      </c>
    </row>
    <row r="39">
      <c r="A39" s="6">
        <v>118.5</v>
      </c>
      <c r="B39" s="6">
        <v>40.4564315352696</v>
      </c>
    </row>
    <row r="40">
      <c r="A40" s="6">
        <v>105.8</v>
      </c>
      <c r="B40" s="6">
        <v>77.8008298755186</v>
      </c>
    </row>
    <row r="41">
      <c r="A41" s="6">
        <v>96.6</v>
      </c>
      <c r="B41" s="6">
        <v>28.0082987551867</v>
      </c>
    </row>
    <row r="42">
      <c r="A42" s="6">
        <v>88.5</v>
      </c>
      <c r="B42" s="6">
        <v>70.5394190871369</v>
      </c>
    </row>
    <row r="43">
      <c r="A43" s="6">
        <v>77.1</v>
      </c>
      <c r="B43" s="6">
        <v>25.9336099585062</v>
      </c>
    </row>
    <row r="44">
      <c r="A44" s="6">
        <v>68.1</v>
      </c>
      <c r="B44" s="6">
        <v>35.2697095435684</v>
      </c>
    </row>
    <row r="45">
      <c r="A45" s="6">
        <v>60.7</v>
      </c>
      <c r="B45" s="6">
        <v>51.8672199170124</v>
      </c>
    </row>
    <row r="46">
      <c r="A46" s="6">
        <v>48.1</v>
      </c>
      <c r="B46" s="6">
        <v>23.8589211618257</v>
      </c>
    </row>
    <row r="47">
      <c r="A47" s="6">
        <v>37.2</v>
      </c>
      <c r="B47" s="6">
        <v>24.8962655601659</v>
      </c>
    </row>
    <row r="48">
      <c r="A48" s="6">
        <v>28.5</v>
      </c>
      <c r="B48" s="6">
        <v>66.3900414937759</v>
      </c>
    </row>
    <row r="49">
      <c r="A49" s="6">
        <v>17.3</v>
      </c>
      <c r="B49" s="6">
        <v>260.373443983402</v>
      </c>
    </row>
    <row r="50">
      <c r="A50" s="6">
        <v>5.8</v>
      </c>
      <c r="B50" s="6">
        <v>197.095435684647</v>
      </c>
    </row>
    <row r="51">
      <c r="A51" s="7"/>
      <c r="B51" s="7"/>
    </row>
    <row r="52">
      <c r="A52" s="7"/>
      <c r="B5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44</v>
      </c>
      <c r="B1" s="8" t="s">
        <v>45</v>
      </c>
      <c r="C1" s="8" t="s">
        <v>46</v>
      </c>
      <c r="D1" s="8" t="s">
        <v>47</v>
      </c>
      <c r="E1" s="8" t="s">
        <v>48</v>
      </c>
    </row>
    <row r="2">
      <c r="A2" s="8" t="s">
        <v>49</v>
      </c>
      <c r="B2" s="8">
        <v>541.0</v>
      </c>
      <c r="C2" s="8">
        <v>485.5</v>
      </c>
      <c r="D2" s="9">
        <v>8500000.0</v>
      </c>
      <c r="E2" s="8">
        <v>125.0</v>
      </c>
    </row>
    <row r="3">
      <c r="A3" s="8" t="s">
        <v>50</v>
      </c>
      <c r="B3" s="9">
        <f t="shared" ref="B3:B7" si="1">C2</f>
        <v>485.5</v>
      </c>
      <c r="C3" s="8">
        <v>443.8</v>
      </c>
      <c r="D3" s="9">
        <v>1.3E7</v>
      </c>
      <c r="E3" s="8">
        <v>73.0</v>
      </c>
    </row>
    <row r="4">
      <c r="A4" s="8" t="s">
        <v>51</v>
      </c>
      <c r="B4" s="9">
        <f t="shared" si="1"/>
        <v>443.8</v>
      </c>
      <c r="C4" s="8">
        <v>419.2</v>
      </c>
      <c r="D4" s="9">
        <v>1.1E7</v>
      </c>
      <c r="E4" s="8">
        <v>121.0</v>
      </c>
    </row>
    <row r="5">
      <c r="A5" s="8" t="s">
        <v>52</v>
      </c>
      <c r="B5" s="9">
        <f t="shared" si="1"/>
        <v>419.2</v>
      </c>
      <c r="C5" s="8">
        <v>358.9</v>
      </c>
      <c r="D5" s="9">
        <v>9800000.0</v>
      </c>
      <c r="E5" s="8">
        <v>20.0</v>
      </c>
    </row>
    <row r="6">
      <c r="A6" s="8" t="s">
        <v>53</v>
      </c>
      <c r="B6" s="9">
        <f t="shared" si="1"/>
        <v>358.9</v>
      </c>
      <c r="C6" s="8">
        <v>298.9</v>
      </c>
      <c r="D6" s="9">
        <v>7500000.0</v>
      </c>
      <c r="E6" s="8">
        <v>75.0</v>
      </c>
    </row>
    <row r="7">
      <c r="A7" s="8" t="s">
        <v>54</v>
      </c>
      <c r="B7" s="9">
        <f t="shared" si="1"/>
        <v>298.9</v>
      </c>
      <c r="C7" s="8">
        <v>251.9</v>
      </c>
      <c r="D7" s="9">
        <v>6200000.0</v>
      </c>
      <c r="E7" s="8">
        <v>140.0</v>
      </c>
    </row>
    <row r="8">
      <c r="A8" s="8" t="s">
        <v>55</v>
      </c>
      <c r="B8" s="8">
        <v>251.9</v>
      </c>
      <c r="C8" s="8">
        <v>201.3</v>
      </c>
      <c r="D8" s="9">
        <v>7000000.0</v>
      </c>
      <c r="E8" s="8">
        <v>230.0</v>
      </c>
    </row>
    <row r="9">
      <c r="A9" s="8" t="s">
        <v>56</v>
      </c>
      <c r="B9" s="9">
        <f t="shared" ref="B9:B12" si="2">C8</f>
        <v>201.3</v>
      </c>
      <c r="C9" s="8">
        <v>145.0</v>
      </c>
      <c r="D9" s="9">
        <v>8900000.0</v>
      </c>
      <c r="E9" s="8">
        <v>167.0</v>
      </c>
    </row>
    <row r="10">
      <c r="A10" s="8" t="s">
        <v>57</v>
      </c>
      <c r="B10" s="9">
        <f t="shared" si="2"/>
        <v>145</v>
      </c>
      <c r="C10" s="8">
        <v>66.0</v>
      </c>
      <c r="D10" s="9">
        <v>1.1E7</v>
      </c>
      <c r="E10" s="8">
        <v>186.0</v>
      </c>
    </row>
    <row r="11">
      <c r="A11" s="8" t="s">
        <v>58</v>
      </c>
      <c r="B11" s="9">
        <f t="shared" si="2"/>
        <v>66</v>
      </c>
      <c r="C11" s="8">
        <v>23.0</v>
      </c>
      <c r="D11" s="9">
        <v>1.2E7</v>
      </c>
      <c r="E11" s="8">
        <v>140.0</v>
      </c>
    </row>
    <row r="12">
      <c r="A12" s="8" t="s">
        <v>59</v>
      </c>
      <c r="B12" s="9">
        <f t="shared" si="2"/>
        <v>23</v>
      </c>
      <c r="C12" s="8">
        <v>0.0</v>
      </c>
      <c r="D12" s="9">
        <v>9700000.0</v>
      </c>
      <c r="E12" s="8">
        <v>177.0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H1" s="8" t="s">
        <v>60</v>
      </c>
    </row>
    <row r="2">
      <c r="A2" s="3" t="s">
        <v>11</v>
      </c>
      <c r="B2" s="4">
        <v>544.0</v>
      </c>
      <c r="C2" s="4">
        <v>511.0</v>
      </c>
      <c r="D2" s="9">
        <v>3450343.3991060723</v>
      </c>
      <c r="F2" s="8">
        <v>0.633</v>
      </c>
      <c r="H2" s="9">
        <f>15*10^6</f>
        <v>15000000</v>
      </c>
      <c r="I2" s="8">
        <v>2.7519</v>
      </c>
    </row>
    <row r="3">
      <c r="A3" s="3" t="s">
        <v>12</v>
      </c>
      <c r="B3" s="5">
        <f t="shared" ref="B3:B32" si="1">C2</f>
        <v>511</v>
      </c>
      <c r="C3" s="4">
        <v>497.0</v>
      </c>
      <c r="D3" s="9">
        <v>9913877.684508884</v>
      </c>
      <c r="F3" s="8">
        <v>1.8188</v>
      </c>
      <c r="G3" s="9">
        <f t="shared" ref="G3:G32" si="2">F3-F2</f>
        <v>1.1858</v>
      </c>
    </row>
    <row r="4">
      <c r="A4" s="3" t="s">
        <v>13</v>
      </c>
      <c r="B4" s="5">
        <f t="shared" si="1"/>
        <v>497</v>
      </c>
      <c r="C4" s="4">
        <v>482.0</v>
      </c>
      <c r="D4" s="9">
        <v>7700316.145208765</v>
      </c>
      <c r="F4" s="8">
        <v>1.4127</v>
      </c>
      <c r="G4" s="9">
        <f t="shared" si="2"/>
        <v>-0.4061</v>
      </c>
    </row>
    <row r="5">
      <c r="A5" s="3" t="s">
        <v>14</v>
      </c>
      <c r="B5" s="5">
        <f t="shared" si="1"/>
        <v>482</v>
      </c>
      <c r="C5" s="4">
        <v>464.0</v>
      </c>
      <c r="D5" s="9">
        <v>1.2722119263054617E7</v>
      </c>
      <c r="F5" s="8">
        <v>2.334</v>
      </c>
      <c r="G5" s="9">
        <f t="shared" si="2"/>
        <v>0.9213</v>
      </c>
    </row>
    <row r="6">
      <c r="A6" s="3" t="s">
        <v>15</v>
      </c>
      <c r="B6" s="5">
        <f t="shared" si="1"/>
        <v>464</v>
      </c>
      <c r="C6" s="4">
        <v>443.0</v>
      </c>
      <c r="D6" s="9">
        <v>1.1161561103237763E7</v>
      </c>
      <c r="F6" s="8">
        <v>2.0477</v>
      </c>
      <c r="G6" s="9">
        <f t="shared" si="2"/>
        <v>-0.2863</v>
      </c>
    </row>
    <row r="7">
      <c r="A7" s="3" t="s">
        <v>16</v>
      </c>
      <c r="B7" s="5">
        <f t="shared" si="1"/>
        <v>443</v>
      </c>
      <c r="C7" s="4">
        <v>428.0</v>
      </c>
      <c r="D7" s="9">
        <v>1.4274501253679276E7</v>
      </c>
      <c r="F7" s="8">
        <v>2.6188</v>
      </c>
      <c r="G7" s="9">
        <f t="shared" si="2"/>
        <v>0.5711</v>
      </c>
    </row>
    <row r="8">
      <c r="A8" s="3" t="s">
        <v>17</v>
      </c>
      <c r="B8" s="5">
        <f t="shared" si="1"/>
        <v>428</v>
      </c>
      <c r="C8" s="4">
        <v>418.0</v>
      </c>
      <c r="D8" s="9">
        <v>1.367000981140303E7</v>
      </c>
      <c r="F8" s="8">
        <v>2.5079</v>
      </c>
      <c r="G8" s="9">
        <f t="shared" si="2"/>
        <v>-0.1109</v>
      </c>
    </row>
    <row r="9">
      <c r="A9" s="3" t="s">
        <v>18</v>
      </c>
      <c r="B9" s="5">
        <f t="shared" si="1"/>
        <v>418</v>
      </c>
      <c r="C9" s="4">
        <v>409.0</v>
      </c>
      <c r="D9" s="9">
        <v>8836258.584977651</v>
      </c>
      <c r="F9" s="8">
        <v>1.6211</v>
      </c>
      <c r="G9" s="9">
        <f t="shared" si="2"/>
        <v>-0.8868</v>
      </c>
    </row>
    <row r="10">
      <c r="A10" s="3" t="s">
        <v>19</v>
      </c>
      <c r="B10" s="5">
        <f t="shared" si="1"/>
        <v>409</v>
      </c>
      <c r="C10" s="4">
        <v>388.0</v>
      </c>
      <c r="D10" s="9">
        <v>6835277.444674589</v>
      </c>
      <c r="F10" s="8">
        <v>1.254</v>
      </c>
      <c r="G10" s="9">
        <f t="shared" si="2"/>
        <v>-0.3671</v>
      </c>
    </row>
    <row r="11">
      <c r="A11" s="3" t="s">
        <v>20</v>
      </c>
      <c r="B11" s="5">
        <f t="shared" si="1"/>
        <v>388</v>
      </c>
      <c r="C11" s="4">
        <v>370.0</v>
      </c>
      <c r="D11" s="9">
        <v>9609179.112613104</v>
      </c>
      <c r="F11" s="8">
        <v>1.7629</v>
      </c>
      <c r="G11" s="9">
        <f t="shared" si="2"/>
        <v>0.5089</v>
      </c>
    </row>
    <row r="12">
      <c r="A12" s="3" t="s">
        <v>21</v>
      </c>
      <c r="B12" s="5">
        <f t="shared" si="1"/>
        <v>370</v>
      </c>
      <c r="C12" s="4">
        <v>341.0</v>
      </c>
      <c r="D12" s="9">
        <v>1.1161561103237763E7</v>
      </c>
      <c r="F12" s="8">
        <v>2.0477</v>
      </c>
      <c r="G12" s="9">
        <f t="shared" si="2"/>
        <v>0.2848</v>
      </c>
    </row>
    <row r="13">
      <c r="A13" s="3" t="s">
        <v>22</v>
      </c>
      <c r="B13" s="5">
        <f t="shared" si="1"/>
        <v>341</v>
      </c>
      <c r="C13" s="4">
        <v>323.0</v>
      </c>
      <c r="D13" s="9">
        <v>1.1295105200043606E7</v>
      </c>
      <c r="F13" s="8">
        <v>2.0722</v>
      </c>
      <c r="G13" s="9">
        <f t="shared" si="2"/>
        <v>0.0245</v>
      </c>
    </row>
    <row r="14">
      <c r="A14" s="3" t="s">
        <v>23</v>
      </c>
      <c r="B14" s="5">
        <f t="shared" si="1"/>
        <v>323</v>
      </c>
      <c r="C14" s="4">
        <v>296.0</v>
      </c>
      <c r="D14" s="9">
        <v>6701733.347868746</v>
      </c>
      <c r="F14" s="8">
        <v>1.2295</v>
      </c>
      <c r="G14" s="9">
        <f t="shared" si="2"/>
        <v>-0.8427</v>
      </c>
    </row>
    <row r="15">
      <c r="A15" s="3" t="s">
        <v>24</v>
      </c>
      <c r="B15" s="5">
        <f t="shared" si="1"/>
        <v>296</v>
      </c>
      <c r="C15" s="4">
        <v>288.0</v>
      </c>
      <c r="D15" s="9">
        <v>8943093.862422327</v>
      </c>
      <c r="F15" s="8">
        <v>1.6407</v>
      </c>
      <c r="G15" s="9">
        <f t="shared" si="2"/>
        <v>0.4112</v>
      </c>
    </row>
    <row r="16">
      <c r="A16" s="3" t="s">
        <v>25</v>
      </c>
      <c r="B16" s="5">
        <f t="shared" si="1"/>
        <v>288</v>
      </c>
      <c r="C16" s="4">
        <v>251.0</v>
      </c>
      <c r="D16" s="9">
        <v>6701733.347868746</v>
      </c>
      <c r="F16" s="8">
        <v>1.2295</v>
      </c>
      <c r="G16" s="9">
        <f t="shared" si="2"/>
        <v>-0.4112</v>
      </c>
    </row>
    <row r="17">
      <c r="A17" s="3" t="s">
        <v>26</v>
      </c>
      <c r="B17" s="5">
        <f t="shared" si="1"/>
        <v>251</v>
      </c>
      <c r="C17" s="4">
        <v>225.0</v>
      </c>
      <c r="D17" s="8" t="s">
        <v>61</v>
      </c>
      <c r="F17" s="8" t="s">
        <v>61</v>
      </c>
      <c r="G17" s="9" t="str">
        <f t="shared" si="2"/>
        <v>#VALUE!</v>
      </c>
    </row>
    <row r="18">
      <c r="A18" s="3" t="s">
        <v>27</v>
      </c>
      <c r="B18" s="5">
        <f t="shared" si="1"/>
        <v>225</v>
      </c>
      <c r="C18" s="4">
        <v>198.0</v>
      </c>
      <c r="D18" s="9">
        <v>5618118.390929903</v>
      </c>
      <c r="F18" s="8">
        <v>1.0307</v>
      </c>
      <c r="G18" s="9" t="str">
        <f t="shared" si="2"/>
        <v>#VALUE!</v>
      </c>
    </row>
    <row r="19">
      <c r="A19" s="3" t="s">
        <v>28</v>
      </c>
      <c r="B19" s="5">
        <f t="shared" si="1"/>
        <v>198</v>
      </c>
      <c r="C19" s="4">
        <v>177.0</v>
      </c>
      <c r="D19" s="9">
        <v>5130273.629128966</v>
      </c>
      <c r="F19" s="8">
        <v>0.9412</v>
      </c>
      <c r="G19" s="9">
        <f t="shared" si="2"/>
        <v>-0.0895</v>
      </c>
    </row>
    <row r="20">
      <c r="A20" s="3" t="s">
        <v>29</v>
      </c>
      <c r="B20" s="5">
        <f t="shared" si="1"/>
        <v>177</v>
      </c>
      <c r="C20" s="4">
        <v>163.0</v>
      </c>
      <c r="D20" s="9">
        <v>8943093.862422327</v>
      </c>
      <c r="F20" s="8">
        <v>1.6407</v>
      </c>
      <c r="G20" s="9">
        <f t="shared" si="2"/>
        <v>0.6995</v>
      </c>
    </row>
    <row r="21">
      <c r="A21" s="3" t="s">
        <v>30</v>
      </c>
      <c r="B21" s="5">
        <f t="shared" si="1"/>
        <v>163</v>
      </c>
      <c r="C21" s="4">
        <v>145.0</v>
      </c>
      <c r="D21" s="9">
        <v>8048075.874850103</v>
      </c>
      <c r="F21" s="8">
        <v>1.4765</v>
      </c>
      <c r="G21" s="9">
        <f t="shared" si="2"/>
        <v>-0.1642</v>
      </c>
    </row>
    <row r="22">
      <c r="A22" s="3" t="s">
        <v>31</v>
      </c>
      <c r="B22" s="5">
        <f t="shared" si="1"/>
        <v>145</v>
      </c>
      <c r="C22" s="4">
        <v>135.0</v>
      </c>
      <c r="D22" s="9">
        <v>8980704.240706421</v>
      </c>
      <c r="F22" s="8">
        <v>1.6476</v>
      </c>
      <c r="G22" s="9">
        <f t="shared" si="2"/>
        <v>0.1711</v>
      </c>
    </row>
    <row r="23">
      <c r="A23" s="3" t="s">
        <v>32</v>
      </c>
      <c r="B23" s="5">
        <f t="shared" si="1"/>
        <v>135</v>
      </c>
      <c r="C23" s="4">
        <v>117.0</v>
      </c>
      <c r="D23" s="9">
        <v>9984192.739561759</v>
      </c>
      <c r="F23" s="8">
        <v>1.8317</v>
      </c>
      <c r="G23" s="9">
        <f t="shared" si="2"/>
        <v>0.1841</v>
      </c>
    </row>
    <row r="24">
      <c r="A24" s="3" t="s">
        <v>33</v>
      </c>
      <c r="B24" s="5">
        <f t="shared" si="1"/>
        <v>117</v>
      </c>
      <c r="C24" s="4">
        <v>94.0</v>
      </c>
      <c r="D24" s="9">
        <v>8300446.963915839</v>
      </c>
      <c r="F24" s="8">
        <v>1.5228</v>
      </c>
      <c r="G24" s="9">
        <f t="shared" si="2"/>
        <v>-0.3089</v>
      </c>
    </row>
    <row r="25">
      <c r="A25" s="3" t="s">
        <v>34</v>
      </c>
      <c r="B25" s="5">
        <f t="shared" si="1"/>
        <v>94</v>
      </c>
      <c r="C25" s="4">
        <v>81.0</v>
      </c>
      <c r="D25" s="9">
        <v>7062574.948217595</v>
      </c>
      <c r="F25" s="8">
        <v>1.2957</v>
      </c>
      <c r="G25" s="9">
        <f t="shared" si="2"/>
        <v>-0.2271</v>
      </c>
    </row>
    <row r="26">
      <c r="A26" s="3" t="s">
        <v>35</v>
      </c>
      <c r="B26" s="5">
        <f t="shared" si="1"/>
        <v>81</v>
      </c>
      <c r="C26" s="4">
        <v>58.0</v>
      </c>
      <c r="D26" s="9">
        <v>8471601.439005777</v>
      </c>
      <c r="F26" s="8">
        <v>1.5542</v>
      </c>
      <c r="G26" s="9">
        <f t="shared" si="2"/>
        <v>0.2585</v>
      </c>
    </row>
    <row r="27">
      <c r="A27" s="3" t="s">
        <v>36</v>
      </c>
      <c r="B27" s="5">
        <f t="shared" si="1"/>
        <v>58</v>
      </c>
      <c r="C27" s="4">
        <v>49.0</v>
      </c>
      <c r="D27" s="9">
        <v>1.4923144009593371E7</v>
      </c>
      <c r="F27" s="8">
        <v>2.7378</v>
      </c>
      <c r="G27" s="9">
        <f t="shared" si="2"/>
        <v>1.1836</v>
      </c>
    </row>
    <row r="28">
      <c r="A28" s="3" t="s">
        <v>37</v>
      </c>
      <c r="B28" s="5">
        <f t="shared" si="1"/>
        <v>49</v>
      </c>
      <c r="C28" s="4">
        <v>37.0</v>
      </c>
      <c r="D28" s="9">
        <v>1.6449907336749155E7</v>
      </c>
      <c r="F28" s="8">
        <v>3.0179</v>
      </c>
      <c r="G28" s="9">
        <f t="shared" si="2"/>
        <v>0.2801</v>
      </c>
    </row>
    <row r="29">
      <c r="A29" s="3" t="s">
        <v>38</v>
      </c>
      <c r="B29" s="5">
        <f t="shared" si="1"/>
        <v>37</v>
      </c>
      <c r="C29" s="4">
        <v>29.0</v>
      </c>
      <c r="D29" s="9">
        <v>9922598.931647226</v>
      </c>
      <c r="F29" s="8">
        <v>1.8204</v>
      </c>
      <c r="G29" s="9">
        <f t="shared" si="2"/>
        <v>-1.1975</v>
      </c>
    </row>
    <row r="30">
      <c r="A30" s="3" t="s">
        <v>39</v>
      </c>
      <c r="B30" s="5">
        <f t="shared" si="1"/>
        <v>29</v>
      </c>
      <c r="C30" s="4">
        <v>20.0</v>
      </c>
      <c r="D30" s="9">
        <v>1.5725498746320723E7</v>
      </c>
      <c r="F30" s="8">
        <v>2.885</v>
      </c>
      <c r="G30" s="9">
        <f t="shared" si="2"/>
        <v>1.0646</v>
      </c>
    </row>
    <row r="31">
      <c r="A31" s="3" t="s">
        <v>40</v>
      </c>
      <c r="B31" s="5">
        <f t="shared" si="1"/>
        <v>20</v>
      </c>
      <c r="C31" s="4">
        <v>11.0</v>
      </c>
      <c r="D31" s="9">
        <v>7995748.39202006</v>
      </c>
      <c r="F31" s="8">
        <v>1.4669</v>
      </c>
      <c r="G31" s="9">
        <f t="shared" si="2"/>
        <v>-1.4181</v>
      </c>
    </row>
    <row r="32">
      <c r="A32" s="3" t="s">
        <v>41</v>
      </c>
      <c r="B32" s="5">
        <f t="shared" si="1"/>
        <v>11</v>
      </c>
      <c r="C32" s="4">
        <v>2.0</v>
      </c>
      <c r="D32" s="9">
        <v>1.2461572004796688E7</v>
      </c>
      <c r="F32" s="8">
        <v>2.2862</v>
      </c>
      <c r="G32" s="9">
        <f t="shared" si="2"/>
        <v>0.8193</v>
      </c>
    </row>
    <row r="33">
      <c r="D33" s="9">
        <v>6984083.723972528</v>
      </c>
      <c r="F33" s="8">
        <v>1.2813</v>
      </c>
    </row>
    <row r="34">
      <c r="D34" s="9">
        <v>8244849.013408916</v>
      </c>
      <c r="F34" s="8">
        <v>1.5126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62</v>
      </c>
      <c r="B1" s="10" t="s">
        <v>63</v>
      </c>
      <c r="C1" s="10" t="s">
        <v>3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>
        <f t="shared" ref="A2:A31" si="1">500*C2/$G$2</f>
        <v>543.2106185</v>
      </c>
      <c r="B2" s="11">
        <f t="shared" ref="B2:B31" si="2">$E$2+($F$2-$E$2)*D2/$F$3</f>
        <v>3468146.064</v>
      </c>
      <c r="C2" s="12">
        <v>6.3271</v>
      </c>
      <c r="D2" s="12">
        <v>0.3523</v>
      </c>
      <c r="E2" s="11">
        <f>2*10^6</f>
        <v>2000000</v>
      </c>
      <c r="F2" s="11">
        <f>1.8*10^7</f>
        <v>18000000</v>
      </c>
      <c r="G2" s="10">
        <v>5.8238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>
        <f t="shared" si="1"/>
        <v>515.745733</v>
      </c>
      <c r="B3" s="11">
        <f t="shared" si="2"/>
        <v>9827889.774</v>
      </c>
      <c r="C3" s="12">
        <v>6.0072</v>
      </c>
      <c r="D3" s="12">
        <v>1.8784</v>
      </c>
      <c r="E3" s="11"/>
      <c r="F3" s="10">
        <v>3.8394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>
        <f t="shared" si="1"/>
        <v>485.9284316</v>
      </c>
      <c r="B4" s="11">
        <f t="shared" si="2"/>
        <v>12662207.64</v>
      </c>
      <c r="C4" s="12">
        <v>5.6599</v>
      </c>
      <c r="D4" s="12">
        <v>2.55853</v>
      </c>
      <c r="E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>
        <f t="shared" si="1"/>
        <v>449.551839</v>
      </c>
      <c r="B5" s="11">
        <f t="shared" si="2"/>
        <v>14361098.09</v>
      </c>
      <c r="C5" s="12">
        <v>5.2362</v>
      </c>
      <c r="D5" s="12">
        <v>2.9662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>
        <f t="shared" si="1"/>
        <v>432.7157526</v>
      </c>
      <c r="B6" s="11">
        <f t="shared" si="2"/>
        <v>13742251.39</v>
      </c>
      <c r="C6" s="12">
        <v>5.0401</v>
      </c>
      <c r="D6" s="12">
        <v>2.8177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>
        <f t="shared" si="1"/>
        <v>422.2243209</v>
      </c>
      <c r="B7" s="11">
        <f t="shared" si="2"/>
        <v>8891493.463</v>
      </c>
      <c r="C7" s="12">
        <v>4.9179</v>
      </c>
      <c r="D7" s="12">
        <v>1.6537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>
        <f t="shared" si="1"/>
        <v>409.8784299</v>
      </c>
      <c r="B8" s="11">
        <f t="shared" si="2"/>
        <v>6912850.966</v>
      </c>
      <c r="C8" s="12">
        <v>4.7741</v>
      </c>
      <c r="D8" s="12">
        <v>1.1789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>
        <f t="shared" si="1"/>
        <v>395.1887084</v>
      </c>
      <c r="B9" s="11">
        <f t="shared" si="2"/>
        <v>9653695.89</v>
      </c>
      <c r="C9" s="12">
        <v>4.603</v>
      </c>
      <c r="D9" s="12">
        <v>1.8366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>
        <f t="shared" si="1"/>
        <v>367.277379</v>
      </c>
      <c r="B10" s="11">
        <f t="shared" si="2"/>
        <v>11225608.17</v>
      </c>
      <c r="C10" s="12">
        <v>4.2779</v>
      </c>
      <c r="D10" s="12">
        <v>2.2138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>
        <f t="shared" si="1"/>
        <v>346.7152031</v>
      </c>
      <c r="B11" s="11">
        <f t="shared" si="2"/>
        <v>11339792.68</v>
      </c>
      <c r="C11" s="12">
        <v>4.0384</v>
      </c>
      <c r="D11" s="12">
        <v>2.2412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>
        <f t="shared" si="1"/>
        <v>326.1272709</v>
      </c>
      <c r="B12" s="11">
        <f t="shared" si="2"/>
        <v>6669896.338</v>
      </c>
      <c r="C12" s="12">
        <v>3.7986</v>
      </c>
      <c r="D12" s="12">
        <v>1.1206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>
        <f t="shared" si="1"/>
        <v>300.6112847</v>
      </c>
      <c r="B13" s="11">
        <f t="shared" si="2"/>
        <v>8953586.498</v>
      </c>
      <c r="C13" s="12">
        <v>3.5014</v>
      </c>
      <c r="D13" s="12">
        <v>1.6686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>
        <f t="shared" si="1"/>
        <v>285.7927813</v>
      </c>
      <c r="B14" s="11">
        <f t="shared" si="2"/>
        <v>6738657.082</v>
      </c>
      <c r="C14" s="12">
        <v>3.3288</v>
      </c>
      <c r="D14" s="12">
        <v>1.1371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>
        <f t="shared" si="1"/>
        <v>253.2968165</v>
      </c>
      <c r="B15" s="11">
        <f t="shared" si="2"/>
        <v>5533468.771</v>
      </c>
      <c r="C15" s="12">
        <v>2.9503</v>
      </c>
      <c r="D15" s="12">
        <v>0.8479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>
        <f t="shared" si="1"/>
        <v>230.3564683</v>
      </c>
      <c r="B16" s="11">
        <f t="shared" si="2"/>
        <v>5098400.792</v>
      </c>
      <c r="C16" s="12">
        <v>2.6831</v>
      </c>
      <c r="D16" s="12">
        <v>0.7435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>
        <f t="shared" si="1"/>
        <v>215.4950376</v>
      </c>
      <c r="B17" s="11">
        <f t="shared" si="2"/>
        <v>8876074.387</v>
      </c>
      <c r="C17" s="12">
        <v>2.51</v>
      </c>
      <c r="D17" s="12">
        <v>1.65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>
        <f t="shared" si="1"/>
        <v>193.1728425</v>
      </c>
      <c r="B18" s="11">
        <f t="shared" si="2"/>
        <v>8042610.825</v>
      </c>
      <c r="C18" s="12">
        <v>2.25</v>
      </c>
      <c r="D18" s="12">
        <v>1.45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>
        <f t="shared" si="1"/>
        <v>167.4164635</v>
      </c>
      <c r="B19" s="11">
        <f t="shared" si="2"/>
        <v>9001093.921</v>
      </c>
      <c r="C19" s="12">
        <v>1.95</v>
      </c>
      <c r="D19" s="12">
        <v>1.68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>
        <f t="shared" si="1"/>
        <v>150.2455441</v>
      </c>
      <c r="B20" s="11">
        <f t="shared" si="2"/>
        <v>10001250.2</v>
      </c>
      <c r="C20" s="12">
        <v>1.75</v>
      </c>
      <c r="D20" s="12">
        <v>1.92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>
        <f t="shared" si="1"/>
        <v>138.2259006</v>
      </c>
      <c r="B21" s="11">
        <f t="shared" si="2"/>
        <v>8250976.715</v>
      </c>
      <c r="C21" s="12">
        <v>1.61</v>
      </c>
      <c r="D21" s="12">
        <v>1.5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>
        <f t="shared" si="1"/>
        <v>124.4891651</v>
      </c>
      <c r="B22" s="11">
        <f t="shared" si="2"/>
        <v>7042454.55</v>
      </c>
      <c r="C22" s="12">
        <v>1.45</v>
      </c>
      <c r="D22" s="12">
        <v>1.21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>
        <f t="shared" si="1"/>
        <v>103.884062</v>
      </c>
      <c r="B23" s="11">
        <f t="shared" si="2"/>
        <v>8417669.428</v>
      </c>
      <c r="C23" s="12">
        <v>1.21</v>
      </c>
      <c r="D23" s="12">
        <v>1.54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>
        <f t="shared" si="1"/>
        <v>87.57168859</v>
      </c>
      <c r="B24" s="11">
        <f t="shared" si="2"/>
        <v>14960358.39</v>
      </c>
      <c r="C24" s="12">
        <v>1.02</v>
      </c>
      <c r="D24" s="12">
        <v>3.11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>
        <f t="shared" si="1"/>
        <v>74.69349909</v>
      </c>
      <c r="B25" s="11">
        <f t="shared" si="2"/>
        <v>16460592.8</v>
      </c>
      <c r="C25" s="12">
        <v>0.87</v>
      </c>
      <c r="D25" s="12">
        <v>3.47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>
        <f t="shared" si="1"/>
        <v>50.65421203</v>
      </c>
      <c r="B26" s="11">
        <f t="shared" si="2"/>
        <v>10001250.2</v>
      </c>
      <c r="C26" s="12">
        <v>0.59</v>
      </c>
      <c r="D26" s="12">
        <v>1.92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>
        <f t="shared" si="1"/>
        <v>42.92729833</v>
      </c>
      <c r="B27" s="11">
        <f t="shared" si="2"/>
        <v>15710475.6</v>
      </c>
      <c r="C27" s="12">
        <v>0.5</v>
      </c>
      <c r="D27" s="12">
        <v>3.29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>
        <f t="shared" si="1"/>
        <v>30.9076548</v>
      </c>
      <c r="B28" s="11">
        <f t="shared" si="2"/>
        <v>7959264.468</v>
      </c>
      <c r="C28" s="12">
        <v>0.36</v>
      </c>
      <c r="D28" s="12">
        <v>1.43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>
        <f t="shared" si="1"/>
        <v>19.74655723</v>
      </c>
      <c r="B29" s="11">
        <f t="shared" si="2"/>
        <v>13793509.4</v>
      </c>
      <c r="C29" s="12">
        <v>0.23</v>
      </c>
      <c r="D29" s="12">
        <v>2.83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>
        <f t="shared" si="1"/>
        <v>12.8781895</v>
      </c>
      <c r="B30" s="11">
        <f t="shared" si="2"/>
        <v>6917435.016</v>
      </c>
      <c r="C30" s="12">
        <v>0.15</v>
      </c>
      <c r="D30" s="12">
        <v>1.18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>
        <f t="shared" si="1"/>
        <v>4.292729833</v>
      </c>
      <c r="B31" s="11">
        <f t="shared" si="2"/>
        <v>8167630.359</v>
      </c>
      <c r="C31" s="12">
        <v>0.05</v>
      </c>
      <c r="D31" s="12">
        <v>1.48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3"/>
      <c r="D32" s="1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3"/>
      <c r="D33" s="13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3"/>
      <c r="D34" s="13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3"/>
      <c r="D35" s="1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3"/>
      <c r="D36" s="13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3"/>
      <c r="D37" s="13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3"/>
      <c r="D38" s="13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3"/>
      <c r="D39" s="13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3"/>
      <c r="D40" s="13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3"/>
      <c r="D41" s="13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</cols>
  <sheetData>
    <row r="1">
      <c r="A1" s="14" t="s">
        <v>62</v>
      </c>
      <c r="B1" s="14" t="s">
        <v>68</v>
      </c>
      <c r="C1" s="14" t="s">
        <v>3</v>
      </c>
      <c r="D1" s="14" t="s">
        <v>64</v>
      </c>
      <c r="E1" s="14" t="s">
        <v>69</v>
      </c>
      <c r="F1" s="14" t="s">
        <v>70</v>
      </c>
      <c r="G1" s="14" t="s">
        <v>71</v>
      </c>
      <c r="H1" s="14" t="s">
        <v>72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8">
        <v>220.0</v>
      </c>
      <c r="B2" s="8">
        <v>0.0</v>
      </c>
      <c r="C2" s="8">
        <v>0.0</v>
      </c>
      <c r="D2" s="8">
        <v>0.0</v>
      </c>
      <c r="E2" s="6">
        <v>225.0</v>
      </c>
      <c r="F2" s="6">
        <v>6.0951</v>
      </c>
      <c r="G2" s="6">
        <v>4.6119</v>
      </c>
      <c r="H2" s="6">
        <v>150.0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7">
        <f t="shared" ref="A3:A41" si="1">$E$2-(D3/$F$2)*$E$4</f>
        <v>222.7424489</v>
      </c>
      <c r="B3" s="5">
        <f t="shared" ref="B3:B41" si="2">$H$2*(C3/$G$2)</f>
        <v>0</v>
      </c>
      <c r="C3" s="6">
        <v>0.0</v>
      </c>
      <c r="D3" s="6">
        <v>0.086</v>
      </c>
      <c r="E3" s="6" t="s">
        <v>73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7">
        <f t="shared" si="1"/>
        <v>220.0202622</v>
      </c>
      <c r="B4" s="5">
        <f t="shared" si="2"/>
        <v>4.023287582</v>
      </c>
      <c r="C4" s="6">
        <v>0.1237</v>
      </c>
      <c r="D4" s="6">
        <v>0.1897</v>
      </c>
      <c r="E4" s="7">
        <f>E2-65</f>
        <v>160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>
        <f t="shared" si="1"/>
        <v>213.7122443</v>
      </c>
      <c r="B5" s="5">
        <f t="shared" si="2"/>
        <v>4.878683406</v>
      </c>
      <c r="C5" s="6">
        <v>0.15</v>
      </c>
      <c r="D5" s="6">
        <v>0.43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>
        <f t="shared" si="1"/>
        <v>207.6746075</v>
      </c>
      <c r="B6" s="5">
        <f t="shared" si="2"/>
        <v>4.878683406</v>
      </c>
      <c r="C6" s="6">
        <v>0.15</v>
      </c>
      <c r="D6" s="6">
        <v>0.66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>
        <f t="shared" si="1"/>
        <v>201.6369707</v>
      </c>
      <c r="B7" s="5">
        <f t="shared" si="2"/>
        <v>9.106875691</v>
      </c>
      <c r="C7" s="6">
        <v>0.28</v>
      </c>
      <c r="D7" s="6">
        <v>0.89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>
        <f t="shared" si="1"/>
        <v>195.5993339</v>
      </c>
      <c r="B8" s="5">
        <f t="shared" si="2"/>
        <v>25.04390815</v>
      </c>
      <c r="C8" s="6">
        <v>0.77</v>
      </c>
      <c r="D8" s="6">
        <v>1.12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>
        <f t="shared" si="1"/>
        <v>192.7117685</v>
      </c>
      <c r="B9" s="5">
        <f t="shared" si="2"/>
        <v>25.36915371</v>
      </c>
      <c r="C9" s="6">
        <v>0.78</v>
      </c>
      <c r="D9" s="6">
        <v>1.23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>
        <f t="shared" si="1"/>
        <v>189.5616971</v>
      </c>
      <c r="B10" s="5">
        <f t="shared" si="2"/>
        <v>38.37897613</v>
      </c>
      <c r="C10" s="6">
        <v>1.18</v>
      </c>
      <c r="D10" s="6">
        <v>1.35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>
        <f t="shared" si="1"/>
        <v>186.6741317</v>
      </c>
      <c r="B11" s="5">
        <f t="shared" si="2"/>
        <v>39.35471281</v>
      </c>
      <c r="C11" s="6">
        <v>1.21</v>
      </c>
      <c r="D11" s="6">
        <v>1.46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>
        <f t="shared" si="1"/>
        <v>183.7865663</v>
      </c>
      <c r="B12" s="5">
        <f t="shared" si="2"/>
        <v>29.27210044</v>
      </c>
      <c r="C12" s="6">
        <v>0.9</v>
      </c>
      <c r="D12" s="6">
        <v>1.57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>
        <f t="shared" si="1"/>
        <v>180.3739889</v>
      </c>
      <c r="B13" s="5">
        <f t="shared" si="2"/>
        <v>35.45176608</v>
      </c>
      <c r="C13" s="6">
        <v>1.09</v>
      </c>
      <c r="D13" s="6">
        <v>1.7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>
        <f t="shared" si="1"/>
        <v>178.0114354</v>
      </c>
      <c r="B14" s="5">
        <f t="shared" si="2"/>
        <v>37.07799389</v>
      </c>
      <c r="C14" s="6">
        <v>1.14</v>
      </c>
      <c r="D14" s="6">
        <v>1.79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>
        <f t="shared" si="1"/>
        <v>174.5988581</v>
      </c>
      <c r="B15" s="5">
        <f t="shared" si="2"/>
        <v>37.07799389</v>
      </c>
      <c r="C15" s="6">
        <v>1.14</v>
      </c>
      <c r="D15" s="6">
        <v>1.92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>
        <f t="shared" si="1"/>
        <v>170.9237748</v>
      </c>
      <c r="B16" s="5">
        <f t="shared" si="2"/>
        <v>33.50029272</v>
      </c>
      <c r="C16" s="6">
        <v>1.03</v>
      </c>
      <c r="D16" s="6">
        <v>2.06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>
        <f t="shared" si="1"/>
        <v>165.4111499</v>
      </c>
      <c r="B17" s="5">
        <f t="shared" si="2"/>
        <v>43.90815065</v>
      </c>
      <c r="C17" s="6">
        <v>1.35</v>
      </c>
      <c r="D17" s="6">
        <v>2.27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>
        <f t="shared" si="1"/>
        <v>162.7860905</v>
      </c>
      <c r="B18" s="5">
        <f t="shared" si="2"/>
        <v>41.30618617</v>
      </c>
      <c r="C18" s="6">
        <v>1.27</v>
      </c>
      <c r="D18" s="6">
        <v>2.37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>
        <f t="shared" si="1"/>
        <v>159.3735131</v>
      </c>
      <c r="B19" s="5">
        <f t="shared" si="2"/>
        <v>46.18486958</v>
      </c>
      <c r="C19" s="6">
        <v>1.42</v>
      </c>
      <c r="D19" s="6">
        <v>2.5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>
        <f t="shared" si="1"/>
        <v>153.8608883</v>
      </c>
      <c r="B20" s="5">
        <f t="shared" si="2"/>
        <v>43.58290509</v>
      </c>
      <c r="C20" s="6">
        <v>1.34</v>
      </c>
      <c r="D20" s="6">
        <v>2.71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>
        <f t="shared" si="1"/>
        <v>150.7108169</v>
      </c>
      <c r="B21" s="5">
        <f t="shared" si="2"/>
        <v>51.38879854</v>
      </c>
      <c r="C21" s="6">
        <v>1.58</v>
      </c>
      <c r="D21" s="6">
        <v>2.83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>
        <f t="shared" si="1"/>
        <v>147.5607455</v>
      </c>
      <c r="B22" s="5">
        <f t="shared" si="2"/>
        <v>50.73830742</v>
      </c>
      <c r="C22" s="6">
        <v>1.56</v>
      </c>
      <c r="D22" s="6">
        <v>2.95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>
        <f t="shared" si="1"/>
        <v>144.4106741</v>
      </c>
      <c r="B23" s="5">
        <f t="shared" si="2"/>
        <v>63.09763872</v>
      </c>
      <c r="C23" s="6">
        <v>1.94</v>
      </c>
      <c r="D23" s="6">
        <v>3.07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>
        <f t="shared" si="1"/>
        <v>141.5231087</v>
      </c>
      <c r="B24" s="5">
        <f t="shared" si="2"/>
        <v>60.82091979</v>
      </c>
      <c r="C24" s="6">
        <v>1.87</v>
      </c>
      <c r="D24" s="6">
        <v>3.18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>
        <f t="shared" si="1"/>
        <v>135.4854719</v>
      </c>
      <c r="B25" s="5">
        <f t="shared" si="2"/>
        <v>80.66089898</v>
      </c>
      <c r="C25" s="6">
        <v>2.48</v>
      </c>
      <c r="D25" s="6">
        <v>3.41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>
        <f t="shared" si="1"/>
        <v>128.9228233</v>
      </c>
      <c r="B26" s="5">
        <f t="shared" si="2"/>
        <v>90.09302023</v>
      </c>
      <c r="C26" s="6">
        <v>2.77</v>
      </c>
      <c r="D26" s="6">
        <v>3.66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>
        <f t="shared" si="1"/>
        <v>126.2977638</v>
      </c>
      <c r="B27" s="5">
        <f t="shared" si="2"/>
        <v>89.44252911</v>
      </c>
      <c r="C27" s="6">
        <v>2.75</v>
      </c>
      <c r="D27" s="6">
        <v>3.76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>
        <f t="shared" si="1"/>
        <v>123.6727043</v>
      </c>
      <c r="B28" s="5">
        <f t="shared" si="2"/>
        <v>75.78221557</v>
      </c>
      <c r="C28" s="6">
        <v>2.33</v>
      </c>
      <c r="D28" s="6">
        <v>3.86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>
        <f t="shared" si="1"/>
        <v>119.997621</v>
      </c>
      <c r="B29" s="5">
        <f t="shared" si="2"/>
        <v>76.43270669</v>
      </c>
      <c r="C29" s="6">
        <v>2.35</v>
      </c>
      <c r="D29" s="6">
        <v>4.0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>
        <f t="shared" si="1"/>
        <v>117.6350675</v>
      </c>
      <c r="B30" s="5">
        <f t="shared" si="2"/>
        <v>73.18025109</v>
      </c>
      <c r="C30" s="6">
        <v>2.25</v>
      </c>
      <c r="D30" s="6">
        <v>4.09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>
        <f t="shared" si="1"/>
        <v>110.284901</v>
      </c>
      <c r="B31" s="5">
        <f t="shared" si="2"/>
        <v>91.06875691</v>
      </c>
      <c r="C31" s="6">
        <v>2.8</v>
      </c>
      <c r="D31" s="6">
        <v>4.37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>
        <f t="shared" si="1"/>
        <v>99.2596512</v>
      </c>
      <c r="B32" s="5">
        <f t="shared" si="2"/>
        <v>116.7631562</v>
      </c>
      <c r="C32" s="6">
        <v>3.59</v>
      </c>
      <c r="D32" s="6">
        <v>4.79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>
        <f t="shared" si="1"/>
        <v>93.48452035</v>
      </c>
      <c r="B33" s="5">
        <f t="shared" si="2"/>
        <v>109.6077539</v>
      </c>
      <c r="C33" s="6">
        <v>3.37</v>
      </c>
      <c r="D33" s="6">
        <v>5.01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>
        <f t="shared" si="1"/>
        <v>90.85946088</v>
      </c>
      <c r="B34" s="5">
        <f t="shared" si="2"/>
        <v>110.5834905</v>
      </c>
      <c r="C34" s="6">
        <v>3.4</v>
      </c>
      <c r="D34" s="6">
        <v>5.11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>
        <f t="shared" si="1"/>
        <v>84.29681219</v>
      </c>
      <c r="B35" s="5">
        <f t="shared" si="2"/>
        <v>126.1952774</v>
      </c>
      <c r="C35" s="6">
        <v>3.88</v>
      </c>
      <c r="D35" s="6">
        <v>5.36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>
        <f t="shared" si="1"/>
        <v>80.62172893</v>
      </c>
      <c r="B36" s="5">
        <f t="shared" si="2"/>
        <v>140.8313277</v>
      </c>
      <c r="C36" s="6">
        <v>4.33</v>
      </c>
      <c r="D36" s="6">
        <v>5.5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>
        <f t="shared" si="1"/>
        <v>79.30919919</v>
      </c>
      <c r="B37" s="5">
        <f t="shared" si="2"/>
        <v>140.8313277</v>
      </c>
      <c r="C37" s="6">
        <v>4.33</v>
      </c>
      <c r="D37" s="6">
        <v>5.55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>
        <f t="shared" si="1"/>
        <v>74.32158619</v>
      </c>
      <c r="B38" s="5">
        <f t="shared" si="2"/>
        <v>150.5886945</v>
      </c>
      <c r="C38" s="6">
        <v>4.63</v>
      </c>
      <c r="D38" s="6">
        <v>5.74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>
        <f t="shared" si="1"/>
        <v>69.33397319</v>
      </c>
      <c r="B39" s="5">
        <f t="shared" si="2"/>
        <v>147.98673</v>
      </c>
      <c r="C39" s="6">
        <v>4.55</v>
      </c>
      <c r="D39" s="6">
        <v>5.93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>
        <f t="shared" si="1"/>
        <v>66.18390182</v>
      </c>
      <c r="B40" s="5">
        <f t="shared" si="2"/>
        <v>130.4234697</v>
      </c>
      <c r="C40" s="6">
        <v>4.01</v>
      </c>
      <c r="D40" s="6">
        <v>6.05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>
        <f t="shared" si="1"/>
        <v>64.87137209</v>
      </c>
      <c r="B41" s="5">
        <f t="shared" si="2"/>
        <v>93.02023027</v>
      </c>
      <c r="C41" s="6">
        <v>2.86</v>
      </c>
      <c r="D41" s="6">
        <v>6.1</v>
      </c>
      <c r="E41" s="6" t="s">
        <v>69</v>
      </c>
      <c r="F41" s="6" t="s">
        <v>70</v>
      </c>
      <c r="G41" s="6" t="s">
        <v>71</v>
      </c>
      <c r="H41" s="6" t="s">
        <v>72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>
        <f t="shared" ref="A42:A60" si="3">$E$42-(D42/$F$42)*$E$42</f>
        <v>63.18289786</v>
      </c>
      <c r="B42" s="5">
        <f>$H$42*(C42/$G$42)</f>
        <v>40.86486486</v>
      </c>
      <c r="C42" s="6">
        <v>1.26</v>
      </c>
      <c r="D42" s="6">
        <v>0.41</v>
      </c>
      <c r="E42" s="6">
        <v>70.0</v>
      </c>
      <c r="F42" s="6">
        <v>4.21</v>
      </c>
      <c r="G42" s="6">
        <v>3.7</v>
      </c>
      <c r="H42" s="6">
        <v>120.0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>
        <f t="shared" si="3"/>
        <v>60.19002375</v>
      </c>
      <c r="B43" s="5">
        <f t="shared" ref="B43:B61" si="4">$H$2*(C43/$G$2)</f>
        <v>63.09763872</v>
      </c>
      <c r="C43" s="6">
        <v>1.94</v>
      </c>
      <c r="D43" s="6">
        <v>0.59</v>
      </c>
      <c r="E43" s="6" t="s">
        <v>73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>
        <f t="shared" si="3"/>
        <v>57.36342043</v>
      </c>
      <c r="B44" s="5">
        <f t="shared" si="4"/>
        <v>65.37435764</v>
      </c>
      <c r="C44" s="6">
        <v>2.01</v>
      </c>
      <c r="D44" s="6">
        <v>0.76</v>
      </c>
      <c r="E44" s="6">
        <v>70.0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>
        <f t="shared" si="3"/>
        <v>54.20427553</v>
      </c>
      <c r="B45" s="5">
        <f t="shared" si="4"/>
        <v>120.0156118</v>
      </c>
      <c r="C45" s="6">
        <v>3.69</v>
      </c>
      <c r="D45" s="6">
        <v>0.95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>
        <f t="shared" si="3"/>
        <v>51.04513064</v>
      </c>
      <c r="B46" s="5">
        <f t="shared" si="4"/>
        <v>96.27268588</v>
      </c>
      <c r="C46" s="6">
        <v>2.96</v>
      </c>
      <c r="D46" s="6">
        <v>1.14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>
        <f t="shared" si="3"/>
        <v>51.21140143</v>
      </c>
      <c r="B47" s="5">
        <f t="shared" si="4"/>
        <v>85.53958238</v>
      </c>
      <c r="C47" s="6">
        <v>2.63</v>
      </c>
      <c r="D47" s="6">
        <v>1.13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>
        <f t="shared" si="3"/>
        <v>45.22565321</v>
      </c>
      <c r="B48" s="5">
        <f t="shared" si="4"/>
        <v>98.5494048</v>
      </c>
      <c r="C48" s="6">
        <v>3.03</v>
      </c>
      <c r="D48" s="6">
        <v>1.49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>
        <f t="shared" si="3"/>
        <v>39.23990499</v>
      </c>
      <c r="B49" s="5">
        <f t="shared" si="4"/>
        <v>69.60254993</v>
      </c>
      <c r="C49" s="6">
        <v>2.14</v>
      </c>
      <c r="D49" s="6">
        <v>1.85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>
        <f t="shared" si="3"/>
        <v>36.57957245</v>
      </c>
      <c r="B50" s="5">
        <f t="shared" si="4"/>
        <v>70.57828661</v>
      </c>
      <c r="C50" s="6">
        <v>2.17</v>
      </c>
      <c r="D50" s="6">
        <v>2.01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>
        <f t="shared" si="3"/>
        <v>30.42755344</v>
      </c>
      <c r="B51" s="5">
        <f t="shared" si="4"/>
        <v>41.63143173</v>
      </c>
      <c r="C51" s="6">
        <v>1.28</v>
      </c>
      <c r="D51" s="6">
        <v>2.38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>
        <f t="shared" si="3"/>
        <v>27.60095012</v>
      </c>
      <c r="B52" s="5">
        <f t="shared" si="4"/>
        <v>39.02946725</v>
      </c>
      <c r="C52" s="6">
        <v>1.2</v>
      </c>
      <c r="D52" s="6">
        <v>2.55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>
        <f t="shared" si="3"/>
        <v>24.44180523</v>
      </c>
      <c r="B53" s="5">
        <f t="shared" si="4"/>
        <v>42.28192285</v>
      </c>
      <c r="C53" s="6">
        <v>1.3</v>
      </c>
      <c r="D53" s="6">
        <v>2.74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>
        <f t="shared" si="3"/>
        <v>21.6152019</v>
      </c>
      <c r="B54" s="5">
        <f t="shared" si="4"/>
        <v>42.93241397</v>
      </c>
      <c r="C54" s="6">
        <v>1.32</v>
      </c>
      <c r="D54" s="6">
        <v>2.91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>
        <f t="shared" si="3"/>
        <v>18.45605701</v>
      </c>
      <c r="B55" s="5">
        <f t="shared" si="4"/>
        <v>41.95667729</v>
      </c>
      <c r="C55" s="6">
        <v>1.29</v>
      </c>
      <c r="D55" s="6">
        <v>3.1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>
        <f t="shared" si="3"/>
        <v>12.13776722</v>
      </c>
      <c r="B56" s="5">
        <f t="shared" si="4"/>
        <v>57.56846419</v>
      </c>
      <c r="C56" s="6">
        <v>1.77</v>
      </c>
      <c r="D56" s="6">
        <v>3.48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>
        <f t="shared" si="3"/>
        <v>9.643705463</v>
      </c>
      <c r="B57" s="5">
        <f t="shared" si="4"/>
        <v>66.35009432</v>
      </c>
      <c r="C57" s="6">
        <v>2.04</v>
      </c>
      <c r="D57" s="6">
        <v>3.63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>
        <f t="shared" si="3"/>
        <v>6.48456057</v>
      </c>
      <c r="B58" s="5">
        <f t="shared" si="4"/>
        <v>67.65107656</v>
      </c>
      <c r="C58" s="6">
        <v>2.08</v>
      </c>
      <c r="D58" s="6">
        <v>3.82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>
        <f t="shared" si="3"/>
        <v>3.491686461</v>
      </c>
      <c r="B59" s="5">
        <f t="shared" si="4"/>
        <v>54.96649971</v>
      </c>
      <c r="C59" s="6">
        <v>1.69</v>
      </c>
      <c r="D59" s="6">
        <v>4.0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>
        <f t="shared" si="3"/>
        <v>0.4988123515</v>
      </c>
      <c r="B60" s="5">
        <f t="shared" si="4"/>
        <v>47.81109738</v>
      </c>
      <c r="C60" s="6">
        <v>1.47</v>
      </c>
      <c r="D60" s="6">
        <v>4.18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6">
        <v>0.0</v>
      </c>
      <c r="B61" s="5">
        <f t="shared" si="4"/>
        <v>47.81109738</v>
      </c>
      <c r="C61" s="6">
        <v>1.47</v>
      </c>
      <c r="D61" s="6">
        <v>4.18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5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